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ctrlProps/ctrlProp3.xml" ContentType="application/vnd.ms-excel.controlproperties+xml"/>
  <Override PartName="/xl/drawings/drawing9.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codeName="ThisWorkbook" hidePivotFieldList="1" defaultThemeVersion="124226"/>
  <mc:AlternateContent xmlns:mc="http://schemas.openxmlformats.org/markup-compatibility/2006">
    <mc:Choice Requires="x15">
      <x15ac:absPath xmlns:x15ac="http://schemas.microsoft.com/office/spreadsheetml/2010/11/ac" url="E:\02.Escritorio 170426\ENTREGA FINAL - RELEVAMIENTOS\02. R. PUENTES V3-julio\A.03.-TRAMO 11_ok\01.-PUENTE AGUA BLANCA (PORTICO VIGA LOSA)\"/>
    </mc:Choice>
  </mc:AlternateContent>
  <xr:revisionPtr revIDLastSave="0" documentId="13_ncr:1_{9CE450F5-AC1C-41AE-985F-88CA32DF7C64}" xr6:coauthVersionLast="47" xr6:coauthVersionMax="47" xr10:uidLastSave="{00000000-0000-0000-0000-000000000000}"/>
  <bookViews>
    <workbookView xWindow="-108" yWindow="-108" windowWidth="23256" windowHeight="12456" tabRatio="926" activeTab="6" xr2:uid="{00000000-000D-0000-FFFF-FFFF00000000}"/>
  </bookViews>
  <sheets>
    <sheet name="A-D.- FICHA" sheetId="1" r:id="rId1"/>
    <sheet name="E.- CROQUIS" sheetId="4" r:id="rId2"/>
    <sheet name="F.- ELEMENTOS" sheetId="3" r:id="rId3"/>
    <sheet name="sec F" sheetId="2" r:id="rId4"/>
    <sheet name="F.2.-PANEL FOTOGRAFICO" sheetId="12" r:id="rId5"/>
    <sheet name="G.- CONDICION ESTADISTICA" sheetId="5" r:id="rId6"/>
    <sheet name="CONCLUSIONES" sheetId="13" r:id="rId7"/>
    <sheet name="AUXILIAR" sheetId="8" state="hidden" r:id="rId8"/>
    <sheet name="Hoja1" sheetId="9" state="hidden" r:id="rId9"/>
    <sheet name="Hoja3" sheetId="11" state="hidden" r:id="rId10"/>
  </sheets>
  <definedNames>
    <definedName name="_xlnm._FilterDatabase" localSheetId="7" hidden="1">AUXILIAR!$B$4:$G$116</definedName>
    <definedName name="Alineamiento" localSheetId="0">'A-D.- FICHA'!$G$49:$H$51</definedName>
    <definedName name="Alineamiento">#REF!</definedName>
    <definedName name="_xlnm.Print_Area" localSheetId="0">'A-D.- FICHA'!$A$1:$R$47,'A-D.- FICHA'!$A$58:$R$130,'A-D.- FICHA'!$A$167:$R$201,'A-D.- FICHA'!$A$220:$R$280,'A-D.- FICHA'!$A$300:$R$359,'A-D.- FICHA'!$A$382:$R$486</definedName>
    <definedName name="_xlnm.Print_Area" localSheetId="1">'E.- CROQUIS'!$A$1:$I$51</definedName>
    <definedName name="_xlnm.Print_Area" localSheetId="2">'F.- ELEMENTOS'!$B$1:$N$37</definedName>
    <definedName name="_xlnm.Print_Area" localSheetId="4">'F.2.-PANEL FOTOGRAFICO'!$A$1:$F$45</definedName>
    <definedName name="_xlnm.Print_Area" localSheetId="5">'G.- CONDICION ESTADISTICA'!$A$1:$L$195</definedName>
    <definedName name="_xlnm.Print_Area" localSheetId="3">'sec F'!$A$1:$L$41</definedName>
    <definedName name="CatTipo" localSheetId="0">'A-D.- FICHA'!$E$133:$R$133</definedName>
    <definedName name="CatTipo">#REF!</definedName>
    <definedName name="Cond.Borde" localSheetId="0">'A-D.- FICHA'!$C$144:$C$150</definedName>
    <definedName name="Cond.Borde">#REF!</definedName>
    <definedName name="Cond.Carretera" localSheetId="0">'A-D.- FICHA'!$J$375:$J$377</definedName>
    <definedName name="Cond.Carretera">#REF!</definedName>
    <definedName name="CondAmb" localSheetId="0">'A-D.- FICHA'!$N$49:$N$51</definedName>
    <definedName name="CondAmb">#REF!</definedName>
    <definedName name="elementos">'F.- ELEMENTOS'!$C$73:$J$184</definedName>
    <definedName name="FormaViga" localSheetId="0">'A-D.- FICHA'!$L$153:$L$156</definedName>
    <definedName name="FormaViga">#REF!</definedName>
    <definedName name="luisa" localSheetId="0">'A-D.- FICHA'!$C$161:$C$165</definedName>
    <definedName name="luisa">#REF!</definedName>
    <definedName name="MarcasdeCalzada" localSheetId="0">'A-D.- FICHA'!$G$372</definedName>
    <definedName name="MarcasdeCalzada">#REF!</definedName>
    <definedName name="Mat" localSheetId="0">'A-D.- FICHA'!$G$161:$G$164</definedName>
    <definedName name="Mat">#REF!</definedName>
    <definedName name="Mat.Predo" localSheetId="0">'A-D.- FICHA'!$G$144:$G$150</definedName>
    <definedName name="Mat.Predo">#REF!</definedName>
    <definedName name="MatBaranda" localSheetId="0">'A-D.- FICHA'!$G$282:$G$285</definedName>
    <definedName name="MatBaranda">#REF!</definedName>
    <definedName name="MatDrenaje" localSheetId="0">'A-D.- FICHA'!$M$290:$M$293</definedName>
    <definedName name="MatDrenaje">#REF!</definedName>
    <definedName name="MaterialCimenta" localSheetId="0">'A-D.- FICHA'!$N$161:$N$165</definedName>
    <definedName name="MaterialCimenta">#REF!</definedName>
    <definedName name="MaterialEleva" localSheetId="0">'A-D.- FICHA'!$G$161:$G$164</definedName>
    <definedName name="MaterialEleva">#REF!</definedName>
    <definedName name="Materiallosa" localSheetId="0">'A-D.- FICHA'!$J$144:$J$148</definedName>
    <definedName name="Materiallosa">#REF!</definedName>
    <definedName name="MatJuntas" localSheetId="0">'A-D.- FICHA'!$F$290:$F$293</definedName>
    <definedName name="MatJuntas">#REF!</definedName>
    <definedName name="MatVeredas" localSheetId="0">'A-D.- FICHA'!$J$282:$J$284</definedName>
    <definedName name="MatVeredas">#REF!</definedName>
    <definedName name="MatVigas" localSheetId="0">'A-D.- FICHA'!$H$153:$H$157</definedName>
    <definedName name="MatVigas">#REF!</definedName>
    <definedName name="Nat.Suelo" localSheetId="0">'A-D.- FICHA'!$N$375:$N$380</definedName>
    <definedName name="Nat.Suelo">#REF!</definedName>
    <definedName name="pendiente" localSheetId="0">#REF!</definedName>
    <definedName name="pendiente">#REF!</definedName>
    <definedName name="SeñaCarga" localSheetId="0">#REF!</definedName>
    <definedName name="SeñaCarga">#REF!</definedName>
    <definedName name="SeñalInformativa" localSheetId="0">'A-D.- FICHA'!$G$360</definedName>
    <definedName name="SeñalInformativa">#REF!</definedName>
    <definedName name="Señalpreventiva" localSheetId="0">'A-D.- FICHA'!$G$362:$G$365</definedName>
    <definedName name="Señalpreventiva">#REF!</definedName>
    <definedName name="SeñalReglamentaria" localSheetId="0">'A-D.- FICHA'!$G$367:$G$370</definedName>
    <definedName name="SeñalReglamentaria">#REF!</definedName>
    <definedName name="Sobre" localSheetId="0">'A-D.- FICHA'!$C$49:$E$56</definedName>
    <definedName name="Sobre">#REF!</definedName>
    <definedName name="Subestructura" localSheetId="0">'A-D.- FICHA'!$G$375:$G$376</definedName>
    <definedName name="Subestructura">#REF!</definedName>
    <definedName name="SuperDesgaste" localSheetId="0">'A-D.- FICHA'!$N$144:$N$148</definedName>
    <definedName name="SuperDesgaste">#REF!</definedName>
    <definedName name="TipoApoyos" localSheetId="0">'A-D.- FICHA'!$N$282:$N$287</definedName>
    <definedName name="TipoApoyos">#REF!</definedName>
    <definedName name="TipoBarandas" localSheetId="0">'A-D.- FICHA'!$C$282:$C$285</definedName>
    <definedName name="TipoBarandas">#REF!</definedName>
    <definedName name="TipoCimentación" localSheetId="0">'A-D.- FICHA'!$J$161:$J$164</definedName>
    <definedName name="TipoCimentación">#REF!</definedName>
    <definedName name="TipoDrenaje" localSheetId="0">'A-D.- FICHA'!$I$290:$I$292</definedName>
    <definedName name="TipoDrenaje">#REF!</definedName>
    <definedName name="TipoElevación" localSheetId="0">'A-D.- FICHA'!$C$161:$C$165</definedName>
    <definedName name="TipoElevación">#REF!</definedName>
    <definedName name="Tiposerv" localSheetId="0">'A-D.- FICHA'!$J$49:$L$53</definedName>
    <definedName name="Tiposerv">#REF!</definedName>
    <definedName name="TipoVigas" localSheetId="0">'A-D.- FICHA'!$E$153:$E$156</definedName>
    <definedName name="TipoVigas">#REF!</definedName>
    <definedName name="_xlnm.Print_Titles" localSheetId="0">'A-D.- FICHA'!$1:$4</definedName>
    <definedName name="_xlnm.Print_Titles" localSheetId="4">'F.2.-PANEL FOTOGRAFICO'!$1:$12</definedName>
    <definedName name="_xlnm.Print_Titles" localSheetId="5">'G.- CONDICION ESTADISTICA'!$1:$11</definedName>
    <definedName name="Tramos" localSheetId="0">'A-D.- FICHA'!$C$133:$C$134</definedName>
    <definedName name="Tramos">#REF!</definedName>
    <definedName name="Visibilidad" localSheetId="0">'A-D.- FICHA'!$C$296:$C$298</definedName>
    <definedName name="Visibilidad">#REF!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2" l="1"/>
  <c r="C26" i="5"/>
  <c r="C21" i="5"/>
  <c r="C20" i="5"/>
  <c r="C19" i="5"/>
  <c r="C18" i="5"/>
  <c r="C17" i="5"/>
  <c r="C16" i="5"/>
  <c r="C15" i="5"/>
  <c r="C14" i="5"/>
  <c r="D56" i="13"/>
  <c r="N411" i="1"/>
  <c r="M16" i="3"/>
  <c r="N16" i="3"/>
  <c r="D16" i="3"/>
  <c r="C24" i="2"/>
  <c r="B17" i="5"/>
  <c r="D17" i="5"/>
  <c r="E17" i="5"/>
  <c r="B18" i="5"/>
  <c r="D18" i="5"/>
  <c r="E18" i="5"/>
  <c r="B19" i="5"/>
  <c r="D19" i="5"/>
  <c r="E19" i="5"/>
  <c r="B20" i="5"/>
  <c r="D20" i="5"/>
  <c r="E20" i="5"/>
  <c r="B21" i="5"/>
  <c r="D21" i="5"/>
  <c r="E21" i="5"/>
  <c r="B22" i="5"/>
  <c r="D22" i="5"/>
  <c r="E22" i="5"/>
  <c r="B23" i="5"/>
  <c r="D23" i="5"/>
  <c r="E23" i="5"/>
  <c r="B24" i="5"/>
  <c r="D24" i="5"/>
  <c r="E24" i="5"/>
  <c r="B25" i="5"/>
  <c r="D25" i="5"/>
  <c r="E25" i="5"/>
  <c r="B26" i="5"/>
  <c r="D26" i="5"/>
  <c r="E26" i="5"/>
  <c r="B27" i="5"/>
  <c r="D27" i="5"/>
  <c r="E27" i="5"/>
  <c r="D25" i="3"/>
  <c r="M25" i="3"/>
  <c r="N25" i="3"/>
  <c r="C31" i="2"/>
  <c r="C30" i="2"/>
  <c r="C29" i="2"/>
  <c r="C26" i="2"/>
  <c r="C23" i="2"/>
  <c r="M26" i="3"/>
  <c r="N26" i="3"/>
  <c r="D26" i="3"/>
  <c r="M20" i="3"/>
  <c r="N20" i="3"/>
  <c r="D20" i="3"/>
  <c r="M15" i="3"/>
  <c r="N15" i="3"/>
  <c r="D15" i="3"/>
  <c r="E411" i="1" l="1"/>
  <c r="H313" i="1"/>
  <c r="N29" i="5"/>
  <c r="O29" i="5" s="1"/>
  <c r="C39" i="2" l="1"/>
  <c r="M34" i="3" l="1"/>
  <c r="N34" i="3"/>
  <c r="D34" i="3"/>
  <c r="E66" i="1"/>
  <c r="J62" i="1" s="1"/>
  <c r="D24" i="3"/>
  <c r="M24" i="3"/>
  <c r="N24" i="3"/>
  <c r="C27" i="11"/>
  <c r="C9" i="11"/>
  <c r="P13" i="1"/>
  <c r="M35" i="3"/>
  <c r="N35" i="3"/>
  <c r="D35" i="3"/>
  <c r="D9" i="12" l="1"/>
  <c r="D8" i="12"/>
  <c r="C26" i="11" l="1"/>
  <c r="C24" i="11" l="1"/>
  <c r="C23" i="11"/>
  <c r="C22" i="11"/>
  <c r="C21" i="11"/>
  <c r="C20" i="11"/>
  <c r="C19" i="11"/>
  <c r="C18" i="11"/>
  <c r="C17" i="11"/>
  <c r="C16" i="11"/>
  <c r="C15" i="11"/>
  <c r="C14" i="11"/>
  <c r="C13" i="11"/>
  <c r="C10" i="11"/>
  <c r="D14" i="13" s="1"/>
  <c r="C8" i="11"/>
  <c r="C6" i="11"/>
  <c r="C5" i="11"/>
  <c r="C4" i="11"/>
  <c r="C3" i="11"/>
  <c r="C7" i="11" l="1"/>
  <c r="D13" i="13" s="1"/>
  <c r="D15" i="5"/>
  <c r="E15" i="5"/>
  <c r="D16" i="5"/>
  <c r="E16" i="5"/>
  <c r="B15" i="5"/>
  <c r="B16" i="5"/>
  <c r="C32" i="2"/>
  <c r="B41" i="2"/>
  <c r="N33" i="3"/>
  <c r="M33" i="3"/>
  <c r="D33" i="3"/>
  <c r="A253" i="9" l="1"/>
  <c r="A254" i="9" s="1"/>
  <c r="A255" i="9" s="1"/>
  <c r="A267" i="9" s="1"/>
  <c r="A268" i="9" s="1"/>
  <c r="A269" i="9" s="1"/>
  <c r="A270" i="9" s="1"/>
  <c r="A271" i="9" s="1"/>
  <c r="A272" i="9" s="1"/>
  <c r="A273" i="9" s="1"/>
  <c r="A274" i="9" s="1"/>
  <c r="A275" i="9" s="1"/>
  <c r="A276" i="9" s="1"/>
  <c r="A277" i="9" s="1"/>
  <c r="A278" i="9" s="1"/>
  <c r="A279" i="9" s="1"/>
  <c r="A280" i="9" s="1"/>
  <c r="A281" i="9" s="1"/>
  <c r="A282" i="9" s="1"/>
  <c r="A283" i="9" s="1"/>
  <c r="A284" i="9" s="1"/>
  <c r="A285" i="9" s="1"/>
  <c r="A286" i="9" s="1"/>
  <c r="A287" i="9" s="1"/>
  <c r="A288" i="9" s="1"/>
  <c r="A289" i="9" s="1"/>
  <c r="A290" i="9" s="1"/>
  <c r="A291" i="9" s="1"/>
  <c r="A292" i="9" s="1"/>
  <c r="A293" i="9" s="1"/>
  <c r="A294" i="9" s="1"/>
  <c r="A295" i="9" s="1"/>
  <c r="A296" i="9" s="1"/>
  <c r="A297" i="9" s="1"/>
  <c r="A298" i="9" s="1"/>
  <c r="A299" i="9" s="1"/>
  <c r="A300" i="9" s="1"/>
  <c r="A301" i="9" s="1"/>
  <c r="A302" i="9" s="1"/>
  <c r="A303" i="9" s="1"/>
  <c r="A304" i="9" s="1"/>
  <c r="A305" i="9" s="1"/>
  <c r="A306" i="9" s="1"/>
  <c r="A307" i="9" s="1"/>
  <c r="A308" i="9" s="1"/>
  <c r="A309" i="9" s="1"/>
  <c r="A310" i="9" s="1"/>
  <c r="A311" i="9" s="1"/>
  <c r="A312" i="9" s="1"/>
  <c r="A313" i="9" s="1"/>
  <c r="A314" i="9" s="1"/>
  <c r="A315" i="9" s="1"/>
  <c r="A316" i="9" s="1"/>
  <c r="A317" i="9" s="1"/>
  <c r="A318" i="9" s="1"/>
  <c r="A319" i="9" s="1"/>
  <c r="A332" i="9" s="1"/>
  <c r="A333" i="9" s="1"/>
  <c r="A334" i="9" s="1"/>
  <c r="A335" i="9" s="1"/>
  <c r="A336" i="9" s="1"/>
  <c r="A337" i="9" s="1"/>
  <c r="A338" i="9" s="1"/>
  <c r="A339" i="9" s="1"/>
  <c r="A340" i="9" s="1"/>
  <c r="A341" i="9" s="1"/>
  <c r="A342" i="9" s="1"/>
  <c r="A343" i="9" s="1"/>
  <c r="A344" i="9" s="1"/>
  <c r="A345" i="9" s="1"/>
  <c r="A346" i="9" s="1"/>
  <c r="A347" i="9" s="1"/>
  <c r="A348" i="9" s="1"/>
  <c r="A349" i="9" s="1"/>
  <c r="A350" i="9" s="1"/>
  <c r="A351" i="9" s="1"/>
  <c r="A352" i="9" s="1"/>
  <c r="A353" i="9" s="1"/>
  <c r="A354" i="9" s="1"/>
  <c r="A355" i="9" s="1"/>
  <c r="A356" i="9" s="1"/>
  <c r="A357" i="9" s="1"/>
  <c r="A358" i="9" s="1"/>
  <c r="A359" i="9" s="1"/>
  <c r="A360" i="9" s="1"/>
  <c r="A361" i="9" s="1"/>
  <c r="A362" i="9" s="1"/>
  <c r="A363" i="9" s="1"/>
  <c r="A364" i="9" s="1"/>
  <c r="A365" i="9" s="1"/>
  <c r="A366" i="9" s="1"/>
  <c r="A367" i="9" s="1"/>
  <c r="E231" i="9"/>
  <c r="I128" i="9"/>
  <c r="I193" i="9" s="1"/>
  <c r="I258" i="9" s="1"/>
  <c r="I323" i="9" s="1"/>
  <c r="I388" i="9" s="1"/>
  <c r="H96" i="9"/>
  <c r="G96" i="9"/>
  <c r="F96" i="9"/>
  <c r="E96" i="9"/>
  <c r="D96" i="9"/>
  <c r="C96" i="9"/>
  <c r="L96" i="9" s="1"/>
  <c r="C117" i="9" s="1"/>
  <c r="L117" i="9" s="1"/>
  <c r="H95" i="9"/>
  <c r="G95" i="9"/>
  <c r="F95" i="9"/>
  <c r="E95" i="9"/>
  <c r="D95" i="9"/>
  <c r="C95" i="9"/>
  <c r="H94" i="9"/>
  <c r="G94" i="9"/>
  <c r="F94" i="9"/>
  <c r="E94" i="9"/>
  <c r="D94" i="9"/>
  <c r="C94" i="9"/>
  <c r="H93" i="9"/>
  <c r="G93" i="9"/>
  <c r="F93" i="9"/>
  <c r="E93" i="9"/>
  <c r="D93" i="9"/>
  <c r="C93" i="9"/>
  <c r="M93" i="9" s="1"/>
  <c r="H92" i="9"/>
  <c r="G92" i="9"/>
  <c r="F92" i="9"/>
  <c r="E92" i="9"/>
  <c r="D92" i="9"/>
  <c r="C92" i="9"/>
  <c r="I57" i="9"/>
  <c r="I56" i="9"/>
  <c r="I55" i="9"/>
  <c r="I54" i="9"/>
  <c r="I53" i="9"/>
  <c r="M95" i="9" l="1"/>
  <c r="E116" i="9" s="1"/>
  <c r="N96" i="9"/>
  <c r="F117" i="9" s="1"/>
  <c r="N92" i="9"/>
  <c r="M92" i="9"/>
  <c r="L93" i="9"/>
  <c r="M96" i="9"/>
  <c r="D117" i="9" s="1"/>
  <c r="L94" i="9"/>
  <c r="N94" i="9"/>
  <c r="F115" i="9" s="1"/>
  <c r="M94" i="9"/>
  <c r="E115" i="9" s="1"/>
  <c r="Q94" i="9"/>
  <c r="P95" i="9"/>
  <c r="H116" i="9" s="1"/>
  <c r="O95" i="9"/>
  <c r="G116" i="9" s="1"/>
  <c r="N95" i="9"/>
  <c r="F116" i="9" s="1"/>
  <c r="Q95" i="9"/>
  <c r="C146" i="9"/>
  <c r="L92" i="9"/>
  <c r="Q92" i="9"/>
  <c r="O92" i="9"/>
  <c r="O94" i="9"/>
  <c r="G115" i="9" s="1"/>
  <c r="P92" i="9"/>
  <c r="H113" i="9" s="1"/>
  <c r="P94" i="9"/>
  <c r="H115" i="9" s="1"/>
  <c r="L95" i="9"/>
  <c r="O96" i="9"/>
  <c r="G117" i="9" s="1"/>
  <c r="P93" i="9"/>
  <c r="H114" i="9" s="1"/>
  <c r="O93" i="9"/>
  <c r="G114" i="9" s="1"/>
  <c r="N93" i="9"/>
  <c r="P96" i="9"/>
  <c r="H117" i="9" s="1"/>
  <c r="Q93" i="9"/>
  <c r="Q96" i="9"/>
  <c r="J9" i="1"/>
  <c r="N36" i="5"/>
  <c r="O36" i="5" s="1"/>
  <c r="N35" i="5"/>
  <c r="O35" i="5" s="1"/>
  <c r="N34" i="5"/>
  <c r="O34" i="5" s="1"/>
  <c r="N33" i="5"/>
  <c r="O33" i="5" s="1"/>
  <c r="N32" i="5"/>
  <c r="O32" i="5" s="1"/>
  <c r="N31" i="5"/>
  <c r="O31" i="5" s="1"/>
  <c r="N30" i="5"/>
  <c r="O30" i="5" s="1"/>
  <c r="N28" i="5"/>
  <c r="O28" i="5" s="1"/>
  <c r="N27" i="5"/>
  <c r="O27" i="5" s="1"/>
  <c r="N26" i="5"/>
  <c r="O26" i="5" s="1"/>
  <c r="N25" i="5"/>
  <c r="O25" i="5" s="1"/>
  <c r="N24" i="5"/>
  <c r="O24" i="5" s="1"/>
  <c r="N23" i="5"/>
  <c r="O23" i="5" s="1"/>
  <c r="N22" i="5"/>
  <c r="O22" i="5" s="1"/>
  <c r="N21" i="5"/>
  <c r="O21" i="5" s="1"/>
  <c r="N20" i="5"/>
  <c r="O20" i="5" s="1"/>
  <c r="N19" i="5"/>
  <c r="O19" i="5" s="1"/>
  <c r="N18" i="5"/>
  <c r="O18" i="5" s="1"/>
  <c r="N17" i="5"/>
  <c r="O17" i="5" s="1"/>
  <c r="N16" i="5"/>
  <c r="O16" i="5" s="1"/>
  <c r="N15" i="5"/>
  <c r="O15" i="5" s="1"/>
  <c r="N14" i="5"/>
  <c r="O14" i="5" s="1"/>
  <c r="D36" i="5"/>
  <c r="B36" i="5"/>
  <c r="E113" i="9" l="1"/>
  <c r="E39" i="13"/>
  <c r="B29" i="13"/>
  <c r="B19" i="13"/>
  <c r="E117" i="9"/>
  <c r="Q117" i="9" s="1"/>
  <c r="D7" i="12"/>
  <c r="A7" i="5"/>
  <c r="C11" i="11"/>
  <c r="D12" i="13" s="1"/>
  <c r="D114" i="9"/>
  <c r="C114" i="9"/>
  <c r="N117" i="9"/>
  <c r="F146" i="9" s="1"/>
  <c r="F173" i="9" s="1"/>
  <c r="M117" i="9"/>
  <c r="G113" i="9"/>
  <c r="F113" i="9"/>
  <c r="O117" i="9"/>
  <c r="G146" i="9" s="1"/>
  <c r="G173" i="9" s="1"/>
  <c r="D115" i="9"/>
  <c r="C115" i="9"/>
  <c r="P117" i="9"/>
  <c r="H146" i="9" s="1"/>
  <c r="H173" i="9" s="1"/>
  <c r="D113" i="9"/>
  <c r="C113" i="9"/>
  <c r="D116" i="9"/>
  <c r="C116" i="9"/>
  <c r="F114" i="9"/>
  <c r="E114" i="9"/>
  <c r="C173" i="9"/>
  <c r="B6" i="8"/>
  <c r="B7" i="8" s="1"/>
  <c r="B8" i="8" s="1"/>
  <c r="B9" i="8" s="1"/>
  <c r="B10" i="8" s="1"/>
  <c r="B11" i="8" s="1"/>
  <c r="B12" i="8" s="1"/>
  <c r="B13" i="8" s="1"/>
  <c r="B14" i="8" s="1"/>
  <c r="B15" i="8" s="1"/>
  <c r="B16" i="8" s="1"/>
  <c r="B17" i="8" s="1"/>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7" i="8" s="1"/>
  <c r="B58" i="8" s="1"/>
  <c r="B59" i="8" s="1"/>
  <c r="B60" i="8" s="1"/>
  <c r="B61" i="8" s="1"/>
  <c r="B62" i="8" s="1"/>
  <c r="B63" i="8" s="1"/>
  <c r="B64" i="8" s="1"/>
  <c r="B65" i="8" s="1"/>
  <c r="B66" i="8" s="1"/>
  <c r="B67" i="8" s="1"/>
  <c r="B68" i="8" s="1"/>
  <c r="B69" i="8" s="1"/>
  <c r="B70" i="8" s="1"/>
  <c r="B71" i="8" s="1"/>
  <c r="B72" i="8" s="1"/>
  <c r="B73" i="8" s="1"/>
  <c r="B74" i="8" s="1"/>
  <c r="B75" i="8" s="1"/>
  <c r="B76" i="8" s="1"/>
  <c r="B77" i="8" s="1"/>
  <c r="B78" i="8" s="1"/>
  <c r="B79" i="8" s="1"/>
  <c r="B80" i="8" s="1"/>
  <c r="B81" i="8" s="1"/>
  <c r="B82" i="8" s="1"/>
  <c r="B83" i="8" s="1"/>
  <c r="B84" i="8" s="1"/>
  <c r="B85" i="8" s="1"/>
  <c r="B86" i="8" s="1"/>
  <c r="B87" i="8" s="1"/>
  <c r="B88" i="8" s="1"/>
  <c r="B89" i="8" s="1"/>
  <c r="B90" i="8" s="1"/>
  <c r="B91" i="8" s="1"/>
  <c r="B92" i="8" s="1"/>
  <c r="B93" i="8" s="1"/>
  <c r="B94" i="8" s="1"/>
  <c r="B95" i="8" s="1"/>
  <c r="B96" i="8" s="1"/>
  <c r="B97" i="8" s="1"/>
  <c r="B98" i="8" s="1"/>
  <c r="B99" i="8" s="1"/>
  <c r="B100" i="8" s="1"/>
  <c r="B101" i="8" s="1"/>
  <c r="B102" i="8" s="1"/>
  <c r="B103" i="8" s="1"/>
  <c r="B104" i="8" s="1"/>
  <c r="B105" i="8" s="1"/>
  <c r="B106" i="8" s="1"/>
  <c r="B107" i="8" s="1"/>
  <c r="B108" i="8" s="1"/>
  <c r="B109" i="8" s="1"/>
  <c r="B110" i="8" s="1"/>
  <c r="B111" i="8" s="1"/>
  <c r="B112" i="8" s="1"/>
  <c r="B113" i="8" s="1"/>
  <c r="B114" i="8" s="1"/>
  <c r="B115" i="8" s="1"/>
  <c r="B116" i="8" s="1"/>
  <c r="M114" i="9" l="1"/>
  <c r="L114" i="9"/>
  <c r="P113" i="9"/>
  <c r="H142" i="9" s="1"/>
  <c r="H169" i="9" s="1"/>
  <c r="O113" i="9"/>
  <c r="Q113" i="9"/>
  <c r="N113" i="9"/>
  <c r="M113" i="9"/>
  <c r="L113" i="9"/>
  <c r="E146" i="9"/>
  <c r="E173" i="9" s="1"/>
  <c r="D146" i="9"/>
  <c r="O114" i="9"/>
  <c r="G143" i="9" s="1"/>
  <c r="G170" i="9" s="1"/>
  <c r="N114" i="9"/>
  <c r="P114" i="9"/>
  <c r="H143" i="9" s="1"/>
  <c r="H170" i="9" s="1"/>
  <c r="Q114" i="9"/>
  <c r="P115" i="9"/>
  <c r="H144" i="9" s="1"/>
  <c r="H171" i="9" s="1"/>
  <c r="O115" i="9"/>
  <c r="G144" i="9" s="1"/>
  <c r="G171" i="9" s="1"/>
  <c r="M115" i="9"/>
  <c r="E144" i="9" s="1"/>
  <c r="E171" i="9" s="1"/>
  <c r="L115" i="9"/>
  <c r="Q115" i="9"/>
  <c r="N115" i="9"/>
  <c r="F144" i="9" s="1"/>
  <c r="F171" i="9" s="1"/>
  <c r="L116" i="9"/>
  <c r="M116" i="9"/>
  <c r="E145" i="9" s="1"/>
  <c r="E172" i="9" s="1"/>
  <c r="P116" i="9"/>
  <c r="H145" i="9" s="1"/>
  <c r="H172" i="9" s="1"/>
  <c r="O116" i="9"/>
  <c r="G145" i="9" s="1"/>
  <c r="G172" i="9" s="1"/>
  <c r="N116" i="9"/>
  <c r="F145" i="9" s="1"/>
  <c r="F172" i="9" s="1"/>
  <c r="Q116" i="9"/>
  <c r="E142" i="9" l="1"/>
  <c r="E169" i="9" s="1"/>
  <c r="D143" i="9"/>
  <c r="D170" i="9" s="1"/>
  <c r="C143" i="9"/>
  <c r="C170" i="9" s="1"/>
  <c r="G142" i="9"/>
  <c r="G169" i="9" s="1"/>
  <c r="D142" i="9"/>
  <c r="D169" i="9" s="1"/>
  <c r="C142" i="9"/>
  <c r="C145" i="9"/>
  <c r="D145" i="9"/>
  <c r="D172" i="9" s="1"/>
  <c r="F142" i="9"/>
  <c r="F169" i="9" s="1"/>
  <c r="F143" i="9"/>
  <c r="F170" i="9" s="1"/>
  <c r="E143" i="9"/>
  <c r="C144" i="9"/>
  <c r="D144" i="9"/>
  <c r="D171" i="9" s="1"/>
  <c r="D173" i="9"/>
  <c r="I173" i="9" s="1"/>
  <c r="C229" i="9" s="1"/>
  <c r="E229" i="9" s="1"/>
  <c r="I146" i="9"/>
  <c r="I144" i="9" l="1"/>
  <c r="C171" i="9"/>
  <c r="I171" i="9" s="1"/>
  <c r="C227" i="9" s="1"/>
  <c r="E227" i="9" s="1"/>
  <c r="E170" i="9"/>
  <c r="I170" i="9" s="1"/>
  <c r="C226" i="9" s="1"/>
  <c r="E226" i="9" s="1"/>
  <c r="I143" i="9"/>
  <c r="C172" i="9"/>
  <c r="I172" i="9" s="1"/>
  <c r="C228" i="9" s="1"/>
  <c r="E228" i="9" s="1"/>
  <c r="I145" i="9"/>
  <c r="C169" i="9"/>
  <c r="I169" i="9" s="1"/>
  <c r="C225" i="9" s="1"/>
  <c r="E225" i="9" s="1"/>
  <c r="I142" i="9"/>
  <c r="A194" i="5"/>
  <c r="C37" i="3"/>
  <c r="B51" i="4"/>
  <c r="C479" i="1"/>
  <c r="C359" i="1"/>
  <c r="C280" i="1"/>
  <c r="C201" i="1"/>
  <c r="C130" i="1"/>
  <c r="E233" i="9" l="1"/>
  <c r="E232" i="9"/>
  <c r="E234" i="9" l="1"/>
  <c r="F225" i="9" s="1"/>
  <c r="C38" i="2"/>
  <c r="A3" i="5" l="1"/>
  <c r="C5" i="4"/>
  <c r="E7" i="3" s="1"/>
  <c r="D6" i="2" s="1"/>
  <c r="N307" i="1"/>
  <c r="C80" i="1"/>
  <c r="H307" i="1"/>
  <c r="C233" i="1"/>
  <c r="E110" i="1"/>
  <c r="L74" i="1"/>
  <c r="E14" i="5"/>
  <c r="L157" i="5" s="1"/>
  <c r="L172" i="5"/>
  <c r="L171" i="5"/>
  <c r="L170" i="5"/>
  <c r="L169" i="5"/>
  <c r="L168" i="5"/>
  <c r="L167" i="5"/>
  <c r="L166" i="5"/>
  <c r="L165" i="5"/>
  <c r="L164" i="5"/>
  <c r="L163" i="5"/>
  <c r="L162" i="5"/>
  <c r="L161" i="5"/>
  <c r="L160" i="5"/>
  <c r="L159" i="5"/>
  <c r="L158" i="5"/>
  <c r="L183" i="5"/>
  <c r="L182" i="5"/>
  <c r="L181" i="5"/>
  <c r="L180" i="5"/>
  <c r="L179" i="5"/>
  <c r="L178" i="5"/>
  <c r="L177" i="5"/>
  <c r="L176" i="5"/>
  <c r="L175" i="5"/>
  <c r="L174" i="5"/>
  <c r="L173" i="5"/>
  <c r="B63" i="5"/>
  <c r="D14" i="5"/>
  <c r="D44" i="5"/>
  <c r="D43" i="5"/>
  <c r="D42" i="5"/>
  <c r="D41" i="5"/>
  <c r="D40" i="5"/>
  <c r="D39" i="5"/>
  <c r="D38" i="5"/>
  <c r="D37" i="5"/>
  <c r="B44" i="5"/>
  <c r="B43" i="5"/>
  <c r="B42" i="5"/>
  <c r="B41" i="5"/>
  <c r="B113" i="5" s="1"/>
  <c r="B148" i="5" s="1"/>
  <c r="B183" i="5" s="1"/>
  <c r="B40" i="5"/>
  <c r="B76" i="5" s="1"/>
  <c r="B39" i="5"/>
  <c r="B75" i="5" s="1"/>
  <c r="B38" i="5"/>
  <c r="B74" i="5" s="1"/>
  <c r="B37" i="5"/>
  <c r="B109" i="5" s="1"/>
  <c r="B144" i="5" s="1"/>
  <c r="B179" i="5" s="1"/>
  <c r="B72" i="5"/>
  <c r="B71" i="5"/>
  <c r="B70" i="5"/>
  <c r="B69" i="5"/>
  <c r="B68" i="5"/>
  <c r="B67" i="5"/>
  <c r="B102" i="5"/>
  <c r="B137" i="5" s="1"/>
  <c r="B172" i="5" s="1"/>
  <c r="B101" i="5"/>
  <c r="B136" i="5" s="1"/>
  <c r="B171" i="5" s="1"/>
  <c r="B98" i="5"/>
  <c r="B133" i="5" s="1"/>
  <c r="B168" i="5" s="1"/>
  <c r="B97" i="5"/>
  <c r="B132" i="5" s="1"/>
  <c r="B167" i="5" s="1"/>
  <c r="B58" i="5"/>
  <c r="B57" i="5"/>
  <c r="B54" i="5"/>
  <c r="B53" i="5"/>
  <c r="B52" i="5"/>
  <c r="B14" i="5"/>
  <c r="B51" i="5" s="1"/>
  <c r="A116" i="5"/>
  <c r="A151" i="5" s="1"/>
  <c r="A115" i="5"/>
  <c r="A150" i="5" s="1"/>
  <c r="A114" i="5"/>
  <c r="A149" i="5" s="1"/>
  <c r="A113" i="5"/>
  <c r="A148" i="5" s="1"/>
  <c r="A183" i="5" s="1"/>
  <c r="O183" i="5" s="1"/>
  <c r="A112" i="5"/>
  <c r="A147" i="5" s="1"/>
  <c r="A182" i="5" s="1"/>
  <c r="O182" i="5" s="1"/>
  <c r="A111" i="5"/>
  <c r="A146" i="5" s="1"/>
  <c r="A181" i="5" s="1"/>
  <c r="O181" i="5" s="1"/>
  <c r="A110" i="5"/>
  <c r="A145" i="5" s="1"/>
  <c r="A180" i="5" s="1"/>
  <c r="O180" i="5" s="1"/>
  <c r="A109" i="5"/>
  <c r="A144" i="5" s="1"/>
  <c r="A179" i="5" s="1"/>
  <c r="O179" i="5" s="1"/>
  <c r="A108" i="5"/>
  <c r="A143" i="5" s="1"/>
  <c r="A178" i="5" s="1"/>
  <c r="O178" i="5" s="1"/>
  <c r="A107" i="5"/>
  <c r="A142" i="5" s="1"/>
  <c r="A177" i="5" s="1"/>
  <c r="O177" i="5" s="1"/>
  <c r="A106" i="5"/>
  <c r="A141" i="5" s="1"/>
  <c r="A176" i="5" s="1"/>
  <c r="O176" i="5" s="1"/>
  <c r="A105" i="5"/>
  <c r="A140" i="5" s="1"/>
  <c r="A175" i="5" s="1"/>
  <c r="O175" i="5" s="1"/>
  <c r="A104" i="5"/>
  <c r="A139" i="5" s="1"/>
  <c r="A174" i="5" s="1"/>
  <c r="O174" i="5" s="1"/>
  <c r="A103" i="5"/>
  <c r="A138" i="5" s="1"/>
  <c r="A173" i="5" s="1"/>
  <c r="O173" i="5" s="1"/>
  <c r="A102" i="5"/>
  <c r="A137" i="5" s="1"/>
  <c r="A172" i="5" s="1"/>
  <c r="O172" i="5" s="1"/>
  <c r="A101" i="5"/>
  <c r="A136" i="5" s="1"/>
  <c r="A171" i="5" s="1"/>
  <c r="O171" i="5" s="1"/>
  <c r="A100" i="5"/>
  <c r="A135" i="5" s="1"/>
  <c r="A170" i="5" s="1"/>
  <c r="O170" i="5" s="1"/>
  <c r="A99" i="5"/>
  <c r="A134" i="5" s="1"/>
  <c r="A169" i="5" s="1"/>
  <c r="O169" i="5" s="1"/>
  <c r="A98" i="5"/>
  <c r="A133" i="5" s="1"/>
  <c r="A168" i="5" s="1"/>
  <c r="O168" i="5" s="1"/>
  <c r="A97" i="5"/>
  <c r="A132" i="5" s="1"/>
  <c r="A167" i="5" s="1"/>
  <c r="O167" i="5" s="1"/>
  <c r="A96" i="5"/>
  <c r="A131" i="5" s="1"/>
  <c r="A166" i="5" s="1"/>
  <c r="O166" i="5" s="1"/>
  <c r="A95" i="5"/>
  <c r="A130" i="5" s="1"/>
  <c r="A165" i="5" s="1"/>
  <c r="O165" i="5" s="1"/>
  <c r="A94" i="5"/>
  <c r="A129" i="5" s="1"/>
  <c r="A164" i="5" s="1"/>
  <c r="O164" i="5" s="1"/>
  <c r="A93" i="5"/>
  <c r="A128" i="5" s="1"/>
  <c r="A163" i="5" s="1"/>
  <c r="O163" i="5" s="1"/>
  <c r="A92" i="5"/>
  <c r="A127" i="5" s="1"/>
  <c r="A162" i="5" s="1"/>
  <c r="O162" i="5" s="1"/>
  <c r="A91" i="5"/>
  <c r="A126" i="5" s="1"/>
  <c r="A161" i="5" s="1"/>
  <c r="O161" i="5" s="1"/>
  <c r="A90" i="5"/>
  <c r="A125" i="5" s="1"/>
  <c r="A160" i="5" s="1"/>
  <c r="O160" i="5" s="1"/>
  <c r="A89" i="5"/>
  <c r="A124" i="5" s="1"/>
  <c r="A159" i="5" s="1"/>
  <c r="A88" i="5"/>
  <c r="A123" i="5" s="1"/>
  <c r="A158" i="5" s="1"/>
  <c r="A87" i="5"/>
  <c r="A122" i="5" s="1"/>
  <c r="A157" i="5" s="1"/>
  <c r="O157" i="5" s="1"/>
  <c r="A61" i="5"/>
  <c r="K80" i="5"/>
  <c r="K116" i="5" s="1"/>
  <c r="K151" i="5" s="1"/>
  <c r="J80" i="5"/>
  <c r="I80" i="5"/>
  <c r="H80" i="5"/>
  <c r="G80" i="5"/>
  <c r="F80" i="5"/>
  <c r="A80" i="5"/>
  <c r="K79" i="5"/>
  <c r="K115" i="5" s="1"/>
  <c r="J79" i="5"/>
  <c r="I79" i="5"/>
  <c r="H79" i="5"/>
  <c r="G79" i="5"/>
  <c r="F79" i="5"/>
  <c r="A79" i="5"/>
  <c r="K78" i="5"/>
  <c r="K114" i="5" s="1"/>
  <c r="T149" i="5" s="1"/>
  <c r="J78" i="5"/>
  <c r="I78" i="5"/>
  <c r="H78" i="5"/>
  <c r="G78" i="5"/>
  <c r="F78" i="5"/>
  <c r="A78" i="5"/>
  <c r="K77" i="5"/>
  <c r="K113" i="5" s="1"/>
  <c r="T148" i="5" s="1"/>
  <c r="J77" i="5"/>
  <c r="I77" i="5"/>
  <c r="H77" i="5"/>
  <c r="G77" i="5"/>
  <c r="F77" i="5"/>
  <c r="A77" i="5"/>
  <c r="K76" i="5"/>
  <c r="K112" i="5" s="1"/>
  <c r="K147" i="5" s="1"/>
  <c r="K182" i="5" s="1"/>
  <c r="J76" i="5"/>
  <c r="I76" i="5"/>
  <c r="H76" i="5"/>
  <c r="G76" i="5"/>
  <c r="F76" i="5"/>
  <c r="A76" i="5"/>
  <c r="K75" i="5"/>
  <c r="K111" i="5" s="1"/>
  <c r="J75" i="5"/>
  <c r="I75" i="5"/>
  <c r="H75" i="5"/>
  <c r="G75" i="5"/>
  <c r="F75" i="5"/>
  <c r="A75" i="5"/>
  <c r="K74" i="5"/>
  <c r="K110" i="5" s="1"/>
  <c r="K145" i="5" s="1"/>
  <c r="K180" i="5" s="1"/>
  <c r="J74" i="5"/>
  <c r="I74" i="5"/>
  <c r="H74" i="5"/>
  <c r="G74" i="5"/>
  <c r="F74" i="5"/>
  <c r="A74" i="5"/>
  <c r="K73" i="5"/>
  <c r="K109" i="5" s="1"/>
  <c r="J73" i="5"/>
  <c r="I73" i="5"/>
  <c r="H73" i="5"/>
  <c r="G73" i="5"/>
  <c r="F73" i="5"/>
  <c r="A73" i="5"/>
  <c r="K72" i="5"/>
  <c r="K108" i="5" s="1"/>
  <c r="T143" i="5" s="1"/>
  <c r="J72" i="5"/>
  <c r="I72" i="5"/>
  <c r="H72" i="5"/>
  <c r="G72" i="5"/>
  <c r="F72" i="5"/>
  <c r="A72" i="5"/>
  <c r="K71" i="5"/>
  <c r="K107" i="5" s="1"/>
  <c r="K142" i="5" s="1"/>
  <c r="K177" i="5" s="1"/>
  <c r="J71" i="5"/>
  <c r="I71" i="5"/>
  <c r="H71" i="5"/>
  <c r="G71" i="5"/>
  <c r="F71" i="5"/>
  <c r="A71" i="5"/>
  <c r="K70" i="5"/>
  <c r="K106" i="5" s="1"/>
  <c r="J70" i="5"/>
  <c r="I70" i="5"/>
  <c r="H70" i="5"/>
  <c r="G70" i="5"/>
  <c r="F70" i="5"/>
  <c r="A70" i="5"/>
  <c r="K69" i="5"/>
  <c r="K105" i="5" s="1"/>
  <c r="K140" i="5" s="1"/>
  <c r="K175" i="5" s="1"/>
  <c r="J69" i="5"/>
  <c r="I69" i="5"/>
  <c r="H69" i="5"/>
  <c r="G69" i="5"/>
  <c r="F69" i="5"/>
  <c r="A69" i="5"/>
  <c r="K68" i="5"/>
  <c r="K104" i="5" s="1"/>
  <c r="K139" i="5" s="1"/>
  <c r="K174" i="5" s="1"/>
  <c r="J68" i="5"/>
  <c r="I68" i="5"/>
  <c r="H68" i="5"/>
  <c r="G68" i="5"/>
  <c r="F68" i="5"/>
  <c r="A68" i="5"/>
  <c r="K67" i="5"/>
  <c r="K103" i="5" s="1"/>
  <c r="K138" i="5" s="1"/>
  <c r="K173" i="5" s="1"/>
  <c r="J67" i="5"/>
  <c r="I67" i="5"/>
  <c r="H67" i="5"/>
  <c r="G67" i="5"/>
  <c r="F67" i="5"/>
  <c r="A67" i="5"/>
  <c r="K66" i="5"/>
  <c r="K102" i="5" s="1"/>
  <c r="J66" i="5"/>
  <c r="I66" i="5"/>
  <c r="H66" i="5"/>
  <c r="G66" i="5"/>
  <c r="F66" i="5"/>
  <c r="A66" i="5"/>
  <c r="K65" i="5"/>
  <c r="K101" i="5" s="1"/>
  <c r="J65" i="5"/>
  <c r="I65" i="5"/>
  <c r="H65" i="5"/>
  <c r="G65" i="5"/>
  <c r="F65" i="5"/>
  <c r="A65" i="5"/>
  <c r="C37" i="2"/>
  <c r="C35" i="2"/>
  <c r="C34" i="2"/>
  <c r="C27" i="2"/>
  <c r="C22" i="2"/>
  <c r="D14" i="3"/>
  <c r="E7" i="5"/>
  <c r="E9" i="3"/>
  <c r="E8" i="3"/>
  <c r="G6" i="4"/>
  <c r="C6" i="4"/>
  <c r="K6" i="2"/>
  <c r="G6" i="2"/>
  <c r="W457" i="1"/>
  <c r="W456" i="1"/>
  <c r="W455" i="1"/>
  <c r="F415" i="1"/>
  <c r="F413" i="1"/>
  <c r="F405" i="1"/>
  <c r="L7" i="5"/>
  <c r="S96" i="3"/>
  <c r="S95" i="3"/>
  <c r="S184" i="3"/>
  <c r="S183" i="3"/>
  <c r="S182" i="3"/>
  <c r="S181" i="3"/>
  <c r="S180" i="3"/>
  <c r="S179" i="3"/>
  <c r="S178" i="3"/>
  <c r="S177" i="3"/>
  <c r="S176" i="3"/>
  <c r="S175" i="3"/>
  <c r="S174" i="3"/>
  <c r="S171" i="3"/>
  <c r="S170" i="3"/>
  <c r="S169" i="3"/>
  <c r="S168" i="3"/>
  <c r="S167" i="3"/>
  <c r="S166" i="3"/>
  <c r="S165" i="3"/>
  <c r="S164" i="3"/>
  <c r="S163" i="3"/>
  <c r="S162" i="3"/>
  <c r="S161" i="3"/>
  <c r="S156" i="3"/>
  <c r="S155" i="3"/>
  <c r="S154" i="3"/>
  <c r="S153" i="3"/>
  <c r="S152" i="3"/>
  <c r="S151" i="3"/>
  <c r="S150" i="3"/>
  <c r="S149" i="3"/>
  <c r="S148" i="3"/>
  <c r="S147" i="3"/>
  <c r="S146" i="3"/>
  <c r="S145" i="3"/>
  <c r="S144" i="3"/>
  <c r="S143" i="3"/>
  <c r="S142" i="3"/>
  <c r="S141" i="3"/>
  <c r="S140" i="3"/>
  <c r="S139" i="3"/>
  <c r="S138" i="3"/>
  <c r="S137" i="3"/>
  <c r="S136" i="3"/>
  <c r="S135" i="3"/>
  <c r="S133" i="3"/>
  <c r="S132" i="3"/>
  <c r="S131" i="3"/>
  <c r="S130" i="3"/>
  <c r="S129" i="3"/>
  <c r="S128" i="3"/>
  <c r="S127" i="3"/>
  <c r="S126" i="3"/>
  <c r="S125" i="3"/>
  <c r="S124" i="3"/>
  <c r="S123" i="3"/>
  <c r="S122" i="3"/>
  <c r="S121" i="3"/>
  <c r="S120" i="3"/>
  <c r="S119" i="3"/>
  <c r="S118" i="3"/>
  <c r="S117" i="3"/>
  <c r="S116" i="3"/>
  <c r="S115" i="3"/>
  <c r="S89" i="3"/>
  <c r="S90" i="3"/>
  <c r="S91" i="3"/>
  <c r="S92" i="3"/>
  <c r="S93" i="3"/>
  <c r="S88" i="3"/>
  <c r="S87" i="3"/>
  <c r="S86" i="3"/>
  <c r="S85" i="3"/>
  <c r="S84" i="3"/>
  <c r="S83" i="3"/>
  <c r="S82" i="3"/>
  <c r="S81" i="3"/>
  <c r="S80" i="3"/>
  <c r="S79" i="3"/>
  <c r="S78" i="3"/>
  <c r="S77" i="3"/>
  <c r="S76" i="3"/>
  <c r="S75" i="3"/>
  <c r="S74" i="3"/>
  <c r="K64" i="5"/>
  <c r="K100" i="5" s="1"/>
  <c r="K135" i="5" s="1"/>
  <c r="K170" i="5" s="1"/>
  <c r="J64" i="5"/>
  <c r="I64" i="5"/>
  <c r="H64" i="5"/>
  <c r="G64" i="5"/>
  <c r="F64" i="5"/>
  <c r="A64" i="5"/>
  <c r="K63" i="5"/>
  <c r="K99" i="5" s="1"/>
  <c r="T134" i="5" s="1"/>
  <c r="J63" i="5"/>
  <c r="I63" i="5"/>
  <c r="H63" i="5"/>
  <c r="G63" i="5"/>
  <c r="F63" i="5"/>
  <c r="A63" i="5"/>
  <c r="K62" i="5"/>
  <c r="K98" i="5" s="1"/>
  <c r="J62" i="5"/>
  <c r="I62" i="5"/>
  <c r="H62" i="5"/>
  <c r="G62" i="5"/>
  <c r="F62" i="5"/>
  <c r="A62" i="5"/>
  <c r="K61" i="5"/>
  <c r="K97" i="5" s="1"/>
  <c r="J61" i="5"/>
  <c r="I61" i="5"/>
  <c r="H61" i="5"/>
  <c r="G61" i="5"/>
  <c r="F61" i="5"/>
  <c r="K60" i="5"/>
  <c r="K96" i="5" s="1"/>
  <c r="J60" i="5"/>
  <c r="I60" i="5"/>
  <c r="H60" i="5"/>
  <c r="G60" i="5"/>
  <c r="F60" i="5"/>
  <c r="A60" i="5"/>
  <c r="K59" i="5"/>
  <c r="K95" i="5" s="1"/>
  <c r="J59" i="5"/>
  <c r="I59" i="5"/>
  <c r="H59" i="5"/>
  <c r="G59" i="5"/>
  <c r="F59" i="5"/>
  <c r="A59" i="5"/>
  <c r="K58" i="5"/>
  <c r="K94" i="5" s="1"/>
  <c r="K129" i="5" s="1"/>
  <c r="K164" i="5" s="1"/>
  <c r="J58" i="5"/>
  <c r="I58" i="5"/>
  <c r="H58" i="5"/>
  <c r="G58" i="5"/>
  <c r="F58" i="5"/>
  <c r="A58" i="5"/>
  <c r="K57" i="5"/>
  <c r="K93" i="5" s="1"/>
  <c r="J57" i="5"/>
  <c r="I57" i="5"/>
  <c r="H57" i="5"/>
  <c r="G57" i="5"/>
  <c r="F57" i="5"/>
  <c r="A57" i="5"/>
  <c r="K56" i="5"/>
  <c r="K92" i="5" s="1"/>
  <c r="K127" i="5" s="1"/>
  <c r="K162" i="5" s="1"/>
  <c r="J56" i="5"/>
  <c r="I56" i="5"/>
  <c r="H56" i="5"/>
  <c r="G56" i="5"/>
  <c r="F56" i="5"/>
  <c r="A56" i="5"/>
  <c r="K55" i="5"/>
  <c r="K91" i="5" s="1"/>
  <c r="J55" i="5"/>
  <c r="I55" i="5"/>
  <c r="H55" i="5"/>
  <c r="G55" i="5"/>
  <c r="F55" i="5"/>
  <c r="A55" i="5"/>
  <c r="K54" i="5"/>
  <c r="K90" i="5" s="1"/>
  <c r="J54" i="5"/>
  <c r="I54" i="5"/>
  <c r="H54" i="5"/>
  <c r="G54" i="5"/>
  <c r="F54" i="5"/>
  <c r="A54" i="5"/>
  <c r="K53" i="5"/>
  <c r="K89" i="5" s="1"/>
  <c r="K124" i="5" s="1"/>
  <c r="K159" i="5" s="1"/>
  <c r="J53" i="5"/>
  <c r="I53" i="5"/>
  <c r="H53" i="5"/>
  <c r="G53" i="5"/>
  <c r="F53" i="5"/>
  <c r="A53" i="5"/>
  <c r="K52" i="5"/>
  <c r="K88" i="5" s="1"/>
  <c r="K123" i="5" s="1"/>
  <c r="K158" i="5" s="1"/>
  <c r="J52" i="5"/>
  <c r="I52" i="5"/>
  <c r="H52" i="5"/>
  <c r="G52" i="5"/>
  <c r="F52" i="5"/>
  <c r="A52" i="5"/>
  <c r="K51" i="5"/>
  <c r="K87" i="5" s="1"/>
  <c r="J51" i="5"/>
  <c r="I51" i="5"/>
  <c r="H51" i="5"/>
  <c r="G51" i="5"/>
  <c r="F51" i="5"/>
  <c r="A51" i="5"/>
  <c r="N313" i="1"/>
  <c r="D61" i="3"/>
  <c r="D60" i="3"/>
  <c r="D59" i="3"/>
  <c r="D58" i="3"/>
  <c r="D57" i="3"/>
  <c r="D56" i="3"/>
  <c r="D55" i="3"/>
  <c r="D54" i="3"/>
  <c r="D53" i="3"/>
  <c r="D52" i="3"/>
  <c r="D51" i="3"/>
  <c r="D50" i="3"/>
  <c r="D49" i="3"/>
  <c r="D48" i="3"/>
  <c r="D47" i="3"/>
  <c r="D46" i="3"/>
  <c r="D45" i="3"/>
  <c r="M30" i="3"/>
  <c r="M29" i="3"/>
  <c r="D30" i="3"/>
  <c r="D29" i="3"/>
  <c r="M23" i="3"/>
  <c r="M19" i="3"/>
  <c r="D23" i="3"/>
  <c r="D19" i="3"/>
  <c r="N23" i="3"/>
  <c r="N30" i="3"/>
  <c r="N29" i="3"/>
  <c r="N19" i="3"/>
  <c r="N14" i="3"/>
  <c r="M14" i="3"/>
  <c r="B74" i="3"/>
  <c r="B75" i="3" s="1"/>
  <c r="B76" i="3" s="1"/>
  <c r="B77" i="3" s="1"/>
  <c r="B78" i="3" s="1"/>
  <c r="B79" i="3" s="1"/>
  <c r="B80" i="3" s="1"/>
  <c r="B81" i="3" s="1"/>
  <c r="B82" i="3" s="1"/>
  <c r="B83" i="3" s="1"/>
  <c r="B84" i="3" s="1"/>
  <c r="B85" i="3" s="1"/>
  <c r="B86" i="3" s="1"/>
  <c r="B87" i="3" s="1"/>
  <c r="B88" i="3" s="1"/>
  <c r="B89" i="3" s="1"/>
  <c r="B90" i="3" s="1"/>
  <c r="B91" i="3" s="1"/>
  <c r="B92" i="3" s="1"/>
  <c r="B93" i="3" s="1"/>
  <c r="B94" i="3" s="1"/>
  <c r="B95" i="3" s="1"/>
  <c r="B96" i="3" s="1"/>
  <c r="B97" i="3" s="1"/>
  <c r="B98" i="3" s="1"/>
  <c r="B99" i="3" s="1"/>
  <c r="B100" i="3" s="1"/>
  <c r="B101" i="3" s="1"/>
  <c r="B102" i="3" s="1"/>
  <c r="B103" i="3" s="1"/>
  <c r="B104" i="3" s="1"/>
  <c r="B105" i="3" s="1"/>
  <c r="B106" i="3" s="1"/>
  <c r="B107" i="3" s="1"/>
  <c r="B108" i="3" s="1"/>
  <c r="B109" i="3" s="1"/>
  <c r="B110" i="3" s="1"/>
  <c r="B111" i="3" s="1"/>
  <c r="B112" i="3" s="1"/>
  <c r="B113" i="3" s="1"/>
  <c r="B114" i="3" s="1"/>
  <c r="B115" i="3" s="1"/>
  <c r="B116" i="3" s="1"/>
  <c r="B117" i="3" s="1"/>
  <c r="B118" i="3" s="1"/>
  <c r="B119" i="3" s="1"/>
  <c r="B120" i="3" s="1"/>
  <c r="B121" i="3" s="1"/>
  <c r="B122" i="3" s="1"/>
  <c r="B123" i="3" s="1"/>
  <c r="B124" i="3" s="1"/>
  <c r="B125" i="3" s="1"/>
  <c r="B126" i="3" s="1"/>
  <c r="B127" i="3" s="1"/>
  <c r="B128" i="3" s="1"/>
  <c r="B129" i="3" s="1"/>
  <c r="B130" i="3" s="1"/>
  <c r="B131" i="3" s="1"/>
  <c r="B132" i="3" s="1"/>
  <c r="B133" i="3" s="1"/>
  <c r="B134" i="3" s="1"/>
  <c r="B135" i="3" s="1"/>
  <c r="B136" i="3" s="1"/>
  <c r="B137" i="3" s="1"/>
  <c r="B138" i="3" s="1"/>
  <c r="B139" i="3" s="1"/>
  <c r="B140" i="3" s="1"/>
  <c r="B141" i="3" s="1"/>
  <c r="B142" i="3" s="1"/>
  <c r="B143" i="3" s="1"/>
  <c r="B144" i="3" s="1"/>
  <c r="B145" i="3" s="1"/>
  <c r="B146" i="3" s="1"/>
  <c r="B147" i="3" s="1"/>
  <c r="B148" i="3" s="1"/>
  <c r="B149" i="3" s="1"/>
  <c r="B150" i="3" s="1"/>
  <c r="B151" i="3" s="1"/>
  <c r="B152" i="3" s="1"/>
  <c r="B153" i="3" s="1"/>
  <c r="B154" i="3" s="1"/>
  <c r="B155" i="3" s="1"/>
  <c r="B156" i="3" s="1"/>
  <c r="B157" i="3" s="1"/>
  <c r="B158" i="3" s="1"/>
  <c r="B159" i="3" s="1"/>
  <c r="B160" i="3" s="1"/>
  <c r="B161" i="3" s="1"/>
  <c r="B162" i="3" s="1"/>
  <c r="B163" i="3" s="1"/>
  <c r="B164" i="3" s="1"/>
  <c r="B165" i="3" s="1"/>
  <c r="B166" i="3" s="1"/>
  <c r="B167" i="3" s="1"/>
  <c r="B168" i="3" s="1"/>
  <c r="B169" i="3" s="1"/>
  <c r="B170" i="3" s="1"/>
  <c r="B171" i="3" s="1"/>
  <c r="B172" i="3" s="1"/>
  <c r="B173" i="3" s="1"/>
  <c r="B174" i="3" s="1"/>
  <c r="B175" i="3" s="1"/>
  <c r="B176" i="3" s="1"/>
  <c r="B177" i="3" s="1"/>
  <c r="B178" i="3" s="1"/>
  <c r="B179" i="3" s="1"/>
  <c r="B180" i="3" s="1"/>
  <c r="B181" i="3" s="1"/>
  <c r="B182" i="3" s="1"/>
  <c r="B183" i="3" s="1"/>
  <c r="B184" i="3" s="1"/>
  <c r="K61" i="3"/>
  <c r="K59" i="3"/>
  <c r="K58" i="3"/>
  <c r="K56" i="3"/>
  <c r="K55" i="3"/>
  <c r="K54" i="3"/>
  <c r="K51" i="3"/>
  <c r="K50" i="3"/>
  <c r="K47" i="3"/>
  <c r="K45" i="3"/>
  <c r="K57" i="3"/>
  <c r="K46" i="3"/>
  <c r="K48" i="3"/>
  <c r="K49" i="3"/>
  <c r="K52" i="3"/>
  <c r="K53" i="3"/>
  <c r="K60" i="3"/>
  <c r="B105" i="5"/>
  <c r="B140" i="5" s="1"/>
  <c r="B175" i="5" s="1"/>
  <c r="K146" i="5" l="1"/>
  <c r="K181" i="5" s="1"/>
  <c r="T146" i="5"/>
  <c r="T127" i="5"/>
  <c r="T145" i="5"/>
  <c r="T123" i="5"/>
  <c r="J113" i="5"/>
  <c r="S148" i="5" s="1"/>
  <c r="J148" i="5" s="1"/>
  <c r="J183" i="5" s="1"/>
  <c r="B110" i="5"/>
  <c r="B145" i="5" s="1"/>
  <c r="B180" i="5" s="1"/>
  <c r="B87" i="5"/>
  <c r="B122" i="5" s="1"/>
  <c r="B157" i="5" s="1"/>
  <c r="J101" i="5"/>
  <c r="S136" i="5" s="1"/>
  <c r="J136" i="5" s="1"/>
  <c r="J171" i="5" s="1"/>
  <c r="J88" i="5"/>
  <c r="S123" i="5" s="1"/>
  <c r="J123" i="5" s="1"/>
  <c r="J158" i="5" s="1"/>
  <c r="B112" i="5"/>
  <c r="B147" i="5" s="1"/>
  <c r="B182" i="5" s="1"/>
  <c r="B103" i="5"/>
  <c r="B138" i="5" s="1"/>
  <c r="B173" i="5" s="1"/>
  <c r="B108" i="5"/>
  <c r="B143" i="5" s="1"/>
  <c r="B178" i="5" s="1"/>
  <c r="B106" i="5"/>
  <c r="B141" i="5" s="1"/>
  <c r="B176" i="5" s="1"/>
  <c r="B104" i="5"/>
  <c r="B139" i="5" s="1"/>
  <c r="B174" i="5" s="1"/>
  <c r="O159" i="5"/>
  <c r="E199" i="5"/>
  <c r="T139" i="5"/>
  <c r="T133" i="5"/>
  <c r="K133" i="5"/>
  <c r="K168" i="5" s="1"/>
  <c r="B94" i="5"/>
  <c r="B129" i="5" s="1"/>
  <c r="B164" i="5" s="1"/>
  <c r="B107" i="5"/>
  <c r="B142" i="5" s="1"/>
  <c r="B177" i="5" s="1"/>
  <c r="B111" i="5"/>
  <c r="B146" i="5" s="1"/>
  <c r="B181" i="5" s="1"/>
  <c r="K148" i="5"/>
  <c r="K183" i="5" s="1"/>
  <c r="B77" i="5"/>
  <c r="J100" i="5"/>
  <c r="I100" i="5" s="1"/>
  <c r="K122" i="5"/>
  <c r="K157" i="5" s="1"/>
  <c r="T122" i="5"/>
  <c r="J112" i="5"/>
  <c r="S147" i="5" s="1"/>
  <c r="J147" i="5" s="1"/>
  <c r="J182" i="5" s="1"/>
  <c r="J98" i="5"/>
  <c r="S133" i="5" s="1"/>
  <c r="J133" i="5" s="1"/>
  <c r="J168" i="5" s="1"/>
  <c r="J104" i="5"/>
  <c r="S139" i="5" s="1"/>
  <c r="J139" i="5" s="1"/>
  <c r="J174" i="5" s="1"/>
  <c r="J92" i="5"/>
  <c r="J110" i="5"/>
  <c r="I110" i="5" s="1"/>
  <c r="J111" i="5"/>
  <c r="I111" i="5" s="1"/>
  <c r="T147" i="5"/>
  <c r="T135" i="5"/>
  <c r="J87" i="5"/>
  <c r="S122" i="5" s="1"/>
  <c r="J122" i="5" s="1"/>
  <c r="J157" i="5" s="1"/>
  <c r="B66" i="5"/>
  <c r="B62" i="5"/>
  <c r="B61" i="5"/>
  <c r="J90" i="5"/>
  <c r="T125" i="5"/>
  <c r="B60" i="5"/>
  <c r="B96" i="5"/>
  <c r="B131" i="5" s="1"/>
  <c r="B166" i="5" s="1"/>
  <c r="B80" i="5"/>
  <c r="B116" i="5"/>
  <c r="B151" i="5" s="1"/>
  <c r="K131" i="5"/>
  <c r="K166" i="5" s="1"/>
  <c r="J96" i="5"/>
  <c r="T131" i="5"/>
  <c r="K137" i="5"/>
  <c r="K172" i="5" s="1"/>
  <c r="T137" i="5"/>
  <c r="J91" i="5"/>
  <c r="K126" i="5"/>
  <c r="K161" i="5" s="1"/>
  <c r="J97" i="5"/>
  <c r="T132" i="5"/>
  <c r="K132" i="5"/>
  <c r="K167" i="5" s="1"/>
  <c r="J103" i="5"/>
  <c r="T138" i="5"/>
  <c r="K130" i="5"/>
  <c r="K165" i="5" s="1"/>
  <c r="T130" i="5"/>
  <c r="J95" i="5"/>
  <c r="J102" i="5"/>
  <c r="B55" i="5"/>
  <c r="B91" i="5"/>
  <c r="B126" i="5" s="1"/>
  <c r="B161" i="5" s="1"/>
  <c r="B100" i="5"/>
  <c r="B135" i="5" s="1"/>
  <c r="B170" i="5" s="1"/>
  <c r="B64" i="5"/>
  <c r="K125" i="5"/>
  <c r="K160" i="5" s="1"/>
  <c r="B92" i="5"/>
  <c r="B127" i="5" s="1"/>
  <c r="B162" i="5" s="1"/>
  <c r="B56" i="5"/>
  <c r="T129" i="5"/>
  <c r="B99" i="5"/>
  <c r="B134" i="5" s="1"/>
  <c r="B169" i="5" s="1"/>
  <c r="T141" i="5"/>
  <c r="K141" i="5"/>
  <c r="K176" i="5" s="1"/>
  <c r="J106" i="5"/>
  <c r="T142" i="5"/>
  <c r="J107" i="5"/>
  <c r="K143" i="5"/>
  <c r="K178" i="5" s="1"/>
  <c r="J108" i="5"/>
  <c r="T144" i="5"/>
  <c r="K144" i="5"/>
  <c r="K179" i="5" s="1"/>
  <c r="J109" i="5"/>
  <c r="K150" i="5"/>
  <c r="J115" i="5"/>
  <c r="T150" i="5"/>
  <c r="J94" i="5"/>
  <c r="J114" i="5"/>
  <c r="K149" i="5"/>
  <c r="B73" i="5"/>
  <c r="T151" i="5"/>
  <c r="J116" i="5"/>
  <c r="T126" i="5"/>
  <c r="B88" i="5"/>
  <c r="B123" i="5" s="1"/>
  <c r="B158" i="5" s="1"/>
  <c r="B59" i="5"/>
  <c r="B95" i="5"/>
  <c r="B130" i="5" s="1"/>
  <c r="B165" i="5" s="1"/>
  <c r="B115" i="5"/>
  <c r="B150" i="5" s="1"/>
  <c r="B79" i="5"/>
  <c r="J89" i="5"/>
  <c r="S124" i="5" s="1"/>
  <c r="J124" i="5" s="1"/>
  <c r="J159" i="5" s="1"/>
  <c r="T124" i="5"/>
  <c r="J93" i="5"/>
  <c r="K128" i="5"/>
  <c r="K163" i="5" s="1"/>
  <c r="T128" i="5"/>
  <c r="K136" i="5"/>
  <c r="K171" i="5" s="1"/>
  <c r="T136" i="5"/>
  <c r="J99" i="5"/>
  <c r="K134" i="5"/>
  <c r="K169" i="5" s="1"/>
  <c r="J105" i="5"/>
  <c r="T140" i="5"/>
  <c r="B114" i="5"/>
  <c r="B149" i="5" s="1"/>
  <c r="B78" i="5"/>
  <c r="B89" i="5"/>
  <c r="B124" i="5" s="1"/>
  <c r="B159" i="5" s="1"/>
  <c r="B93" i="5"/>
  <c r="B128" i="5" s="1"/>
  <c r="B163" i="5" s="1"/>
  <c r="B90" i="5"/>
  <c r="B125" i="5" s="1"/>
  <c r="B160" i="5" s="1"/>
  <c r="B65" i="5"/>
  <c r="O158" i="5"/>
  <c r="I113" i="5" l="1"/>
  <c r="I88" i="5"/>
  <c r="R123" i="5" s="1"/>
  <c r="I123" i="5" s="1"/>
  <c r="I158" i="5" s="1"/>
  <c r="I112" i="5"/>
  <c r="I101" i="5"/>
  <c r="R136" i="5" s="1"/>
  <c r="I136" i="5" s="1"/>
  <c r="I171" i="5" s="1"/>
  <c r="O184" i="5"/>
  <c r="E186" i="5" s="1"/>
  <c r="I87" i="5"/>
  <c r="R122" i="5" s="1"/>
  <c r="I122" i="5" s="1"/>
  <c r="I157" i="5" s="1"/>
  <c r="S135" i="5"/>
  <c r="J135" i="5" s="1"/>
  <c r="J170" i="5" s="1"/>
  <c r="S146" i="5"/>
  <c r="J146" i="5" s="1"/>
  <c r="J181" i="5" s="1"/>
  <c r="S145" i="5"/>
  <c r="J145" i="5" s="1"/>
  <c r="J180" i="5" s="1"/>
  <c r="I92" i="5"/>
  <c r="S127" i="5"/>
  <c r="J127" i="5" s="1"/>
  <c r="J162" i="5" s="1"/>
  <c r="I104" i="5"/>
  <c r="H104" i="5" s="1"/>
  <c r="I98" i="5"/>
  <c r="I89" i="5"/>
  <c r="H111" i="5"/>
  <c r="R146" i="5"/>
  <c r="I146" i="5" s="1"/>
  <c r="I181" i="5" s="1"/>
  <c r="I109" i="5"/>
  <c r="S144" i="5"/>
  <c r="J144" i="5" s="1"/>
  <c r="J179" i="5" s="1"/>
  <c r="S132" i="5"/>
  <c r="J132" i="5" s="1"/>
  <c r="J167" i="5" s="1"/>
  <c r="I97" i="5"/>
  <c r="S130" i="5"/>
  <c r="J130" i="5" s="1"/>
  <c r="J165" i="5" s="1"/>
  <c r="I95" i="5"/>
  <c r="S134" i="5"/>
  <c r="J134" i="5" s="1"/>
  <c r="J169" i="5" s="1"/>
  <c r="I99" i="5"/>
  <c r="H113" i="5"/>
  <c r="R148" i="5"/>
  <c r="I148" i="5" s="1"/>
  <c r="I183" i="5" s="1"/>
  <c r="R135" i="5"/>
  <c r="I135" i="5" s="1"/>
  <c r="I170" i="5" s="1"/>
  <c r="H100" i="5"/>
  <c r="I93" i="5"/>
  <c r="S128" i="5"/>
  <c r="J128" i="5" s="1"/>
  <c r="J163" i="5" s="1"/>
  <c r="I114" i="5"/>
  <c r="S149" i="5"/>
  <c r="J149" i="5" s="1"/>
  <c r="S143" i="5"/>
  <c r="J143" i="5" s="1"/>
  <c r="J178" i="5" s="1"/>
  <c r="I108" i="5"/>
  <c r="S129" i="5"/>
  <c r="J129" i="5" s="1"/>
  <c r="J164" i="5" s="1"/>
  <c r="I94" i="5"/>
  <c r="S125" i="5"/>
  <c r="J125" i="5" s="1"/>
  <c r="J160" i="5" s="1"/>
  <c r="I90" i="5"/>
  <c r="H112" i="5"/>
  <c r="R147" i="5"/>
  <c r="I147" i="5" s="1"/>
  <c r="I182" i="5" s="1"/>
  <c r="I91" i="5"/>
  <c r="S126" i="5"/>
  <c r="J126" i="5" s="1"/>
  <c r="J161" i="5" s="1"/>
  <c r="S140" i="5"/>
  <c r="J140" i="5" s="1"/>
  <c r="J175" i="5" s="1"/>
  <c r="I105" i="5"/>
  <c r="I116" i="5"/>
  <c r="S151" i="5"/>
  <c r="J151" i="5" s="1"/>
  <c r="S142" i="5"/>
  <c r="J142" i="5" s="1"/>
  <c r="J177" i="5" s="1"/>
  <c r="I107" i="5"/>
  <c r="S138" i="5"/>
  <c r="J138" i="5" s="1"/>
  <c r="J173" i="5" s="1"/>
  <c r="I103" i="5"/>
  <c r="I96" i="5"/>
  <c r="S131" i="5"/>
  <c r="J131" i="5" s="1"/>
  <c r="J166" i="5" s="1"/>
  <c r="I106" i="5"/>
  <c r="S141" i="5"/>
  <c r="J141" i="5" s="1"/>
  <c r="J176" i="5" s="1"/>
  <c r="I115" i="5"/>
  <c r="S150" i="5"/>
  <c r="J150" i="5" s="1"/>
  <c r="I102" i="5"/>
  <c r="S137" i="5"/>
  <c r="J137" i="5" s="1"/>
  <c r="J172" i="5" s="1"/>
  <c r="R145" i="5"/>
  <c r="I145" i="5" s="1"/>
  <c r="I180" i="5" s="1"/>
  <c r="H110" i="5"/>
  <c r="H101" i="5" l="1"/>
  <c r="Q136" i="5" s="1"/>
  <c r="H136" i="5" s="1"/>
  <c r="H171" i="5" s="1"/>
  <c r="H88" i="5"/>
  <c r="Q123" i="5" s="1"/>
  <c r="H123" i="5" s="1"/>
  <c r="H158" i="5" s="1"/>
  <c r="H87" i="5"/>
  <c r="Q122" i="5" s="1"/>
  <c r="H122" i="5" s="1"/>
  <c r="H157" i="5" s="1"/>
  <c r="R139" i="5"/>
  <c r="I139" i="5" s="1"/>
  <c r="I174" i="5" s="1"/>
  <c r="H92" i="5"/>
  <c r="R127" i="5"/>
  <c r="I127" i="5" s="1"/>
  <c r="I162" i="5" s="1"/>
  <c r="R133" i="5"/>
  <c r="I133" i="5" s="1"/>
  <c r="I168" i="5" s="1"/>
  <c r="H98" i="5"/>
  <c r="R124" i="5"/>
  <c r="I124" i="5" s="1"/>
  <c r="I159" i="5" s="1"/>
  <c r="H89" i="5"/>
  <c r="H105" i="5"/>
  <c r="R140" i="5"/>
  <c r="I140" i="5" s="1"/>
  <c r="I175" i="5" s="1"/>
  <c r="R138" i="5"/>
  <c r="I138" i="5" s="1"/>
  <c r="I173" i="5" s="1"/>
  <c r="H103" i="5"/>
  <c r="H108" i="5"/>
  <c r="R143" i="5"/>
  <c r="I143" i="5" s="1"/>
  <c r="I178" i="5" s="1"/>
  <c r="H115" i="5"/>
  <c r="R150" i="5"/>
  <c r="I150" i="5" s="1"/>
  <c r="H91" i="5"/>
  <c r="R126" i="5"/>
  <c r="I126" i="5" s="1"/>
  <c r="I161" i="5" s="1"/>
  <c r="G113" i="5"/>
  <c r="Q148" i="5"/>
  <c r="H148" i="5" s="1"/>
  <c r="H183" i="5" s="1"/>
  <c r="Q145" i="5"/>
  <c r="H145" i="5" s="1"/>
  <c r="H180" i="5" s="1"/>
  <c r="G110" i="5"/>
  <c r="R142" i="5"/>
  <c r="I142" i="5" s="1"/>
  <c r="I177" i="5" s="1"/>
  <c r="H107" i="5"/>
  <c r="R134" i="5"/>
  <c r="I134" i="5" s="1"/>
  <c r="I169" i="5" s="1"/>
  <c r="H99" i="5"/>
  <c r="Q139" i="5"/>
  <c r="H139" i="5" s="1"/>
  <c r="H174" i="5" s="1"/>
  <c r="G104" i="5"/>
  <c r="R125" i="5"/>
  <c r="I125" i="5" s="1"/>
  <c r="I160" i="5" s="1"/>
  <c r="H90" i="5"/>
  <c r="R130" i="5"/>
  <c r="I130" i="5" s="1"/>
  <c r="I165" i="5" s="1"/>
  <c r="H95" i="5"/>
  <c r="R129" i="5"/>
  <c r="I129" i="5" s="1"/>
  <c r="I164" i="5" s="1"/>
  <c r="H94" i="5"/>
  <c r="Q135" i="5"/>
  <c r="H135" i="5" s="1"/>
  <c r="H170" i="5" s="1"/>
  <c r="G100" i="5"/>
  <c r="R132" i="5"/>
  <c r="I132" i="5" s="1"/>
  <c r="I167" i="5" s="1"/>
  <c r="H97" i="5"/>
  <c r="H96" i="5"/>
  <c r="R131" i="5"/>
  <c r="I131" i="5" s="1"/>
  <c r="I166" i="5" s="1"/>
  <c r="Q147" i="5"/>
  <c r="H147" i="5" s="1"/>
  <c r="H182" i="5" s="1"/>
  <c r="G112" i="5"/>
  <c r="H114" i="5"/>
  <c r="R149" i="5"/>
  <c r="I149" i="5" s="1"/>
  <c r="H109" i="5"/>
  <c r="R144" i="5"/>
  <c r="I144" i="5" s="1"/>
  <c r="I179" i="5" s="1"/>
  <c r="H102" i="5"/>
  <c r="R137" i="5"/>
  <c r="I137" i="5" s="1"/>
  <c r="I172" i="5" s="1"/>
  <c r="H106" i="5"/>
  <c r="R141" i="5"/>
  <c r="I141" i="5" s="1"/>
  <c r="I176" i="5" s="1"/>
  <c r="H116" i="5"/>
  <c r="R151" i="5"/>
  <c r="I151" i="5" s="1"/>
  <c r="R128" i="5"/>
  <c r="I128" i="5" s="1"/>
  <c r="I163" i="5" s="1"/>
  <c r="H93" i="5"/>
  <c r="Q146" i="5"/>
  <c r="H146" i="5" s="1"/>
  <c r="H181" i="5" s="1"/>
  <c r="G111" i="5"/>
  <c r="G101" i="5" l="1"/>
  <c r="F101" i="5" s="1"/>
  <c r="O136" i="5" s="1"/>
  <c r="F136" i="5" s="1"/>
  <c r="G88" i="5"/>
  <c r="F88" i="5" s="1"/>
  <c r="O123" i="5" s="1"/>
  <c r="F123" i="5" s="1"/>
  <c r="F158" i="5" s="1"/>
  <c r="G87" i="5"/>
  <c r="P122" i="5" s="1"/>
  <c r="G122" i="5" s="1"/>
  <c r="G157" i="5" s="1"/>
  <c r="Q133" i="5"/>
  <c r="H133" i="5" s="1"/>
  <c r="H168" i="5" s="1"/>
  <c r="G98" i="5"/>
  <c r="Q127" i="5"/>
  <c r="H127" i="5" s="1"/>
  <c r="H162" i="5" s="1"/>
  <c r="G92" i="5"/>
  <c r="Q124" i="5"/>
  <c r="H124" i="5" s="1"/>
  <c r="H159" i="5" s="1"/>
  <c r="G89" i="5"/>
  <c r="G90" i="5"/>
  <c r="Q125" i="5"/>
  <c r="H125" i="5" s="1"/>
  <c r="H160" i="5" s="1"/>
  <c r="P145" i="5"/>
  <c r="G145" i="5" s="1"/>
  <c r="G180" i="5" s="1"/>
  <c r="F110" i="5"/>
  <c r="O145" i="5" s="1"/>
  <c r="F145" i="5" s="1"/>
  <c r="Q143" i="5"/>
  <c r="H143" i="5" s="1"/>
  <c r="H178" i="5" s="1"/>
  <c r="G108" i="5"/>
  <c r="F112" i="5"/>
  <c r="O147" i="5" s="1"/>
  <c r="F147" i="5" s="1"/>
  <c r="P147" i="5"/>
  <c r="G147" i="5" s="1"/>
  <c r="G182" i="5" s="1"/>
  <c r="P135" i="5"/>
  <c r="G135" i="5" s="1"/>
  <c r="G170" i="5" s="1"/>
  <c r="F100" i="5"/>
  <c r="O135" i="5" s="1"/>
  <c r="F135" i="5" s="1"/>
  <c r="P139" i="5"/>
  <c r="G139" i="5" s="1"/>
  <c r="G174" i="5" s="1"/>
  <c r="F104" i="5"/>
  <c r="O139" i="5" s="1"/>
  <c r="F139" i="5" s="1"/>
  <c r="Q138" i="5"/>
  <c r="H138" i="5" s="1"/>
  <c r="H173" i="5" s="1"/>
  <c r="G103" i="5"/>
  <c r="Q132" i="5"/>
  <c r="H132" i="5" s="1"/>
  <c r="H167" i="5" s="1"/>
  <c r="G97" i="5"/>
  <c r="Q151" i="5"/>
  <c r="H151" i="5" s="1"/>
  <c r="G116" i="5"/>
  <c r="G114" i="5"/>
  <c r="Q149" i="5"/>
  <c r="H149" i="5" s="1"/>
  <c r="G106" i="5"/>
  <c r="Q141" i="5"/>
  <c r="H141" i="5" s="1"/>
  <c r="H176" i="5" s="1"/>
  <c r="P146" i="5"/>
  <c r="G146" i="5" s="1"/>
  <c r="G181" i="5" s="1"/>
  <c r="F111" i="5"/>
  <c r="O146" i="5" s="1"/>
  <c r="F146" i="5" s="1"/>
  <c r="Q129" i="5"/>
  <c r="H129" i="5" s="1"/>
  <c r="H164" i="5" s="1"/>
  <c r="G94" i="5"/>
  <c r="Q134" i="5"/>
  <c r="H134" i="5" s="1"/>
  <c r="H169" i="5" s="1"/>
  <c r="G99" i="5"/>
  <c r="F113" i="5"/>
  <c r="O148" i="5" s="1"/>
  <c r="F148" i="5" s="1"/>
  <c r="P148" i="5"/>
  <c r="G148" i="5" s="1"/>
  <c r="G183" i="5" s="1"/>
  <c r="Q128" i="5"/>
  <c r="H128" i="5" s="1"/>
  <c r="H163" i="5" s="1"/>
  <c r="G93" i="5"/>
  <c r="G95" i="5"/>
  <c r="Q130" i="5"/>
  <c r="H130" i="5" s="1"/>
  <c r="H165" i="5" s="1"/>
  <c r="Q142" i="5"/>
  <c r="H142" i="5" s="1"/>
  <c r="H177" i="5" s="1"/>
  <c r="G107" i="5"/>
  <c r="G102" i="5"/>
  <c r="Q137" i="5"/>
  <c r="H137" i="5" s="1"/>
  <c r="H172" i="5" s="1"/>
  <c r="Q126" i="5"/>
  <c r="H126" i="5" s="1"/>
  <c r="H161" i="5" s="1"/>
  <c r="G91" i="5"/>
  <c r="Q144" i="5"/>
  <c r="H144" i="5" s="1"/>
  <c r="H179" i="5" s="1"/>
  <c r="G109" i="5"/>
  <c r="Q131" i="5"/>
  <c r="H131" i="5" s="1"/>
  <c r="H166" i="5" s="1"/>
  <c r="G96" i="5"/>
  <c r="Q150" i="5"/>
  <c r="H150" i="5" s="1"/>
  <c r="G115" i="5"/>
  <c r="G105" i="5"/>
  <c r="Q140" i="5"/>
  <c r="H140" i="5" s="1"/>
  <c r="H175" i="5" s="1"/>
  <c r="P136" i="5" l="1"/>
  <c r="G136" i="5" s="1"/>
  <c r="G171" i="5" s="1"/>
  <c r="P123" i="5"/>
  <c r="G123" i="5" s="1"/>
  <c r="G158" i="5" s="1"/>
  <c r="C158" i="5" s="1"/>
  <c r="D158" i="5" s="1"/>
  <c r="M158" i="5" s="1"/>
  <c r="F87" i="5"/>
  <c r="O122" i="5" s="1"/>
  <c r="F122" i="5" s="1"/>
  <c r="F157" i="5" s="1"/>
  <c r="C157" i="5" s="1"/>
  <c r="D157" i="5" s="1"/>
  <c r="M157" i="5" s="1"/>
  <c r="P127" i="5"/>
  <c r="G127" i="5" s="1"/>
  <c r="G162" i="5" s="1"/>
  <c r="F92" i="5"/>
  <c r="O127" i="5" s="1"/>
  <c r="F127" i="5" s="1"/>
  <c r="P133" i="5"/>
  <c r="G133" i="5" s="1"/>
  <c r="G168" i="5" s="1"/>
  <c r="F98" i="5"/>
  <c r="O133" i="5" s="1"/>
  <c r="F133" i="5" s="1"/>
  <c r="F89" i="5"/>
  <c r="O124" i="5" s="1"/>
  <c r="F124" i="5" s="1"/>
  <c r="P124" i="5"/>
  <c r="G124" i="5" s="1"/>
  <c r="G159" i="5" s="1"/>
  <c r="F182" i="5"/>
  <c r="C182" i="5" s="1"/>
  <c r="D182" i="5" s="1"/>
  <c r="M182" i="5" s="1"/>
  <c r="N147" i="5"/>
  <c r="F103" i="5"/>
  <c r="O138" i="5" s="1"/>
  <c r="F138" i="5" s="1"/>
  <c r="P138" i="5"/>
  <c r="G138" i="5" s="1"/>
  <c r="G173" i="5" s="1"/>
  <c r="F95" i="5"/>
  <c r="O130" i="5" s="1"/>
  <c r="F130" i="5" s="1"/>
  <c r="P130" i="5"/>
  <c r="G130" i="5" s="1"/>
  <c r="G165" i="5" s="1"/>
  <c r="N148" i="5"/>
  <c r="F183" i="5"/>
  <c r="C183" i="5" s="1"/>
  <c r="D183" i="5" s="1"/>
  <c r="M183" i="5" s="1"/>
  <c r="P141" i="5"/>
  <c r="G141" i="5" s="1"/>
  <c r="G176" i="5" s="1"/>
  <c r="F106" i="5"/>
  <c r="O141" i="5" s="1"/>
  <c r="F141" i="5" s="1"/>
  <c r="F181" i="5"/>
  <c r="C181" i="5" s="1"/>
  <c r="D181" i="5" s="1"/>
  <c r="M181" i="5" s="1"/>
  <c r="N146" i="5"/>
  <c r="F109" i="5"/>
  <c r="O144" i="5" s="1"/>
  <c r="F144" i="5" s="1"/>
  <c r="P144" i="5"/>
  <c r="G144" i="5" s="1"/>
  <c r="G179" i="5" s="1"/>
  <c r="P143" i="5"/>
  <c r="G143" i="5" s="1"/>
  <c r="G178" i="5" s="1"/>
  <c r="F108" i="5"/>
  <c r="O143" i="5" s="1"/>
  <c r="F143" i="5" s="1"/>
  <c r="P140" i="5"/>
  <c r="G140" i="5" s="1"/>
  <c r="G175" i="5" s="1"/>
  <c r="F105" i="5"/>
  <c r="O140" i="5" s="1"/>
  <c r="F140" i="5" s="1"/>
  <c r="F91" i="5"/>
  <c r="O126" i="5" s="1"/>
  <c r="F126" i="5" s="1"/>
  <c r="P126" i="5"/>
  <c r="G126" i="5" s="1"/>
  <c r="G161" i="5" s="1"/>
  <c r="F93" i="5"/>
  <c r="O128" i="5" s="1"/>
  <c r="F128" i="5" s="1"/>
  <c r="P128" i="5"/>
  <c r="G128" i="5" s="1"/>
  <c r="G163" i="5" s="1"/>
  <c r="F99" i="5"/>
  <c r="O134" i="5" s="1"/>
  <c r="F134" i="5" s="1"/>
  <c r="P134" i="5"/>
  <c r="G134" i="5" s="1"/>
  <c r="G169" i="5" s="1"/>
  <c r="N139" i="5"/>
  <c r="F174" i="5"/>
  <c r="C174" i="5" s="1"/>
  <c r="D174" i="5" s="1"/>
  <c r="M174" i="5" s="1"/>
  <c r="N145" i="5"/>
  <c r="F180" i="5"/>
  <c r="C180" i="5" s="1"/>
  <c r="D180" i="5" s="1"/>
  <c r="M180" i="5" s="1"/>
  <c r="F107" i="5"/>
  <c r="O142" i="5" s="1"/>
  <c r="F142" i="5" s="1"/>
  <c r="P142" i="5"/>
  <c r="G142" i="5" s="1"/>
  <c r="G177" i="5" s="1"/>
  <c r="P132" i="5"/>
  <c r="G132" i="5" s="1"/>
  <c r="G167" i="5" s="1"/>
  <c r="F97" i="5"/>
  <c r="O132" i="5" s="1"/>
  <c r="F132" i="5" s="1"/>
  <c r="F171" i="5"/>
  <c r="P129" i="5"/>
  <c r="G129" i="5" s="1"/>
  <c r="G164" i="5" s="1"/>
  <c r="F94" i="5"/>
  <c r="O129" i="5" s="1"/>
  <c r="F129" i="5" s="1"/>
  <c r="P151" i="5"/>
  <c r="G151" i="5" s="1"/>
  <c r="F116" i="5"/>
  <c r="O151" i="5" s="1"/>
  <c r="F151" i="5" s="1"/>
  <c r="N135" i="5"/>
  <c r="F170" i="5"/>
  <c r="C170" i="5" s="1"/>
  <c r="D170" i="5" s="1"/>
  <c r="M170" i="5" s="1"/>
  <c r="P150" i="5"/>
  <c r="G150" i="5" s="1"/>
  <c r="F115" i="5"/>
  <c r="O150" i="5" s="1"/>
  <c r="F150" i="5" s="1"/>
  <c r="P149" i="5"/>
  <c r="G149" i="5" s="1"/>
  <c r="F114" i="5"/>
  <c r="O149" i="5" s="1"/>
  <c r="F149" i="5" s="1"/>
  <c r="P131" i="5"/>
  <c r="G131" i="5" s="1"/>
  <c r="G166" i="5" s="1"/>
  <c r="F96" i="5"/>
  <c r="O131" i="5" s="1"/>
  <c r="F131" i="5" s="1"/>
  <c r="F102" i="5"/>
  <c r="O137" i="5" s="1"/>
  <c r="F137" i="5" s="1"/>
  <c r="P137" i="5"/>
  <c r="G137" i="5" s="1"/>
  <c r="G172" i="5" s="1"/>
  <c r="F90" i="5"/>
  <c r="O125" i="5" s="1"/>
  <c r="F125" i="5" s="1"/>
  <c r="P125" i="5"/>
  <c r="G125" i="5" s="1"/>
  <c r="G160" i="5" s="1"/>
  <c r="N136" i="5" l="1"/>
  <c r="C171" i="5"/>
  <c r="D171" i="5" s="1"/>
  <c r="M171" i="5" s="1"/>
  <c r="N123" i="5"/>
  <c r="N149" i="5"/>
  <c r="N122" i="5"/>
  <c r="N151" i="5"/>
  <c r="F168" i="5"/>
  <c r="C168" i="5" s="1"/>
  <c r="D168" i="5" s="1"/>
  <c r="M168" i="5" s="1"/>
  <c r="N133" i="5"/>
  <c r="N127" i="5"/>
  <c r="F162" i="5"/>
  <c r="C162" i="5" s="1"/>
  <c r="D162" i="5" s="1"/>
  <c r="M162" i="5" s="1"/>
  <c r="N124" i="5"/>
  <c r="F159" i="5"/>
  <c r="C159" i="5" s="1"/>
  <c r="D159" i="5" s="1"/>
  <c r="M159" i="5" s="1"/>
  <c r="N132" i="5"/>
  <c r="F167" i="5"/>
  <c r="C167" i="5" s="1"/>
  <c r="D167" i="5" s="1"/>
  <c r="M167" i="5" s="1"/>
  <c r="N137" i="5"/>
  <c r="F172" i="5"/>
  <c r="C172" i="5" s="1"/>
  <c r="D172" i="5" s="1"/>
  <c r="M172" i="5" s="1"/>
  <c r="N131" i="5"/>
  <c r="F166" i="5"/>
  <c r="C166" i="5" s="1"/>
  <c r="D166" i="5" s="1"/>
  <c r="M166" i="5" s="1"/>
  <c r="F179" i="5"/>
  <c r="C179" i="5" s="1"/>
  <c r="D179" i="5" s="1"/>
  <c r="M179" i="5" s="1"/>
  <c r="N144" i="5"/>
  <c r="N129" i="5"/>
  <c r="F164" i="5"/>
  <c r="C164" i="5" s="1"/>
  <c r="D164" i="5" s="1"/>
  <c r="M164" i="5" s="1"/>
  <c r="F169" i="5"/>
  <c r="C169" i="5" s="1"/>
  <c r="D169" i="5" s="1"/>
  <c r="M169" i="5" s="1"/>
  <c r="N134" i="5"/>
  <c r="N142" i="5"/>
  <c r="F177" i="5"/>
  <c r="C177" i="5" s="1"/>
  <c r="D177" i="5" s="1"/>
  <c r="M177" i="5" s="1"/>
  <c r="N130" i="5"/>
  <c r="F165" i="5"/>
  <c r="C165" i="5" s="1"/>
  <c r="D165" i="5" s="1"/>
  <c r="M165" i="5" s="1"/>
  <c r="N126" i="5"/>
  <c r="F161" i="5"/>
  <c r="C161" i="5" s="1"/>
  <c r="D161" i="5" s="1"/>
  <c r="M161" i="5" s="1"/>
  <c r="N138" i="5"/>
  <c r="F173" i="5"/>
  <c r="C173" i="5" s="1"/>
  <c r="D173" i="5" s="1"/>
  <c r="M173" i="5" s="1"/>
  <c r="F178" i="5"/>
  <c r="C178" i="5" s="1"/>
  <c r="D178" i="5" s="1"/>
  <c r="M178" i="5" s="1"/>
  <c r="N143" i="5"/>
  <c r="N128" i="5"/>
  <c r="F163" i="5"/>
  <c r="C163" i="5" s="1"/>
  <c r="D163" i="5" s="1"/>
  <c r="M163" i="5" s="1"/>
  <c r="N150" i="5"/>
  <c r="N140" i="5"/>
  <c r="F175" i="5"/>
  <c r="C175" i="5" s="1"/>
  <c r="D175" i="5" s="1"/>
  <c r="M175" i="5" s="1"/>
  <c r="N141" i="5"/>
  <c r="F176" i="5"/>
  <c r="C176" i="5" s="1"/>
  <c r="D176" i="5" s="1"/>
  <c r="M176" i="5" s="1"/>
  <c r="F160" i="5"/>
  <c r="C160" i="5" s="1"/>
  <c r="D160" i="5" s="1"/>
  <c r="M160" i="5" s="1"/>
  <c r="N125" i="5"/>
  <c r="E187" i="5" l="1"/>
  <c r="E188" i="5"/>
  <c r="E189" i="5" l="1"/>
  <c r="E190" i="5" s="1"/>
  <c r="E191" i="5" s="1"/>
  <c r="L13" i="5" s="1"/>
  <c r="M12" i="5" s="1"/>
  <c r="B39" i="1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Manuel</author>
  </authors>
  <commentList>
    <comment ref="K11" authorId="0" shapeId="0" xr:uid="{00000000-0006-0000-0200-000001000000}">
      <text>
        <r>
          <rPr>
            <b/>
            <sz val="9"/>
            <color indexed="81"/>
            <rFont val="Tahoma"/>
            <family val="2"/>
          </rPr>
          <t>COLOQUE EL CODIGO ELEMENTO
SUGERENCIA
PONGA EN PARALELO 
HOJA AUXILIAR
 A ESTA VISTA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Manuel</author>
  </authors>
  <commentList>
    <comment ref="N14" authorId="0" shapeId="0" xr:uid="{00000000-0006-0000-0500-000001000000}">
      <text>
        <r>
          <rPr>
            <sz val="9"/>
            <color indexed="81"/>
            <rFont val="Tahoma"/>
            <family val="2"/>
          </rPr>
          <t xml:space="preserve">
DEBEN SUMAR 100%</t>
        </r>
      </text>
    </comment>
  </commentList>
</comments>
</file>

<file path=xl/sharedStrings.xml><?xml version="1.0" encoding="utf-8"?>
<sst xmlns="http://schemas.openxmlformats.org/spreadsheetml/2006/main" count="1873" uniqueCount="939">
  <si>
    <t>Dept Político:</t>
  </si>
  <si>
    <t>Altitud:</t>
  </si>
  <si>
    <t>Nombre</t>
  </si>
  <si>
    <t>Dept Vial</t>
  </si>
  <si>
    <t>Código</t>
  </si>
  <si>
    <t>Provincia</t>
  </si>
  <si>
    <t>Ruta</t>
  </si>
  <si>
    <t>Distrito</t>
  </si>
  <si>
    <t>Kilometraje</t>
  </si>
  <si>
    <t>Puente sobre:</t>
  </si>
  <si>
    <t>Río</t>
  </si>
  <si>
    <t>Número de Proyecto:</t>
  </si>
  <si>
    <t>Nombre:</t>
  </si>
  <si>
    <t>Año de Construcción:</t>
  </si>
  <si>
    <t>Longitud Total:</t>
  </si>
  <si>
    <t>Última Inspección:</t>
  </si>
  <si>
    <t>mm/dd/aa</t>
  </si>
  <si>
    <t>Ancho de Calzada:</t>
  </si>
  <si>
    <t>Último Trabajo:</t>
  </si>
  <si>
    <t>Ancho de Vereda:</t>
  </si>
  <si>
    <t>Tipo de Servicio:</t>
  </si>
  <si>
    <t>Camiones hasta Cierta Carga</t>
  </si>
  <si>
    <t>Altura Libre Superior:</t>
  </si>
  <si>
    <t>Flujo de Tráfico:</t>
  </si>
  <si>
    <t>Año:</t>
  </si>
  <si>
    <t>Num de vías de tránsito:</t>
  </si>
  <si>
    <t>% Camiones y Buses:</t>
  </si>
  <si>
    <t>Sobrecarga de Diseño:</t>
  </si>
  <si>
    <t>Condiciones Ambientales:</t>
  </si>
  <si>
    <t>Benigno</t>
  </si>
  <si>
    <t>Alineamiento:</t>
  </si>
  <si>
    <t>Curvo</t>
  </si>
  <si>
    <t>Sobre</t>
  </si>
  <si>
    <t>Alineamiento</t>
  </si>
  <si>
    <t>Tipo de Servicio</t>
  </si>
  <si>
    <t>Condiciones Ambientales</t>
  </si>
  <si>
    <t>Recto</t>
  </si>
  <si>
    <t>Irrestricto</t>
  </si>
  <si>
    <t>Severo</t>
  </si>
  <si>
    <t>Quebrada Seca</t>
  </si>
  <si>
    <t>Solo Automoviles</t>
  </si>
  <si>
    <t>Moderado</t>
  </si>
  <si>
    <t xml:space="preserve">Quebrada </t>
  </si>
  <si>
    <t>Esviado</t>
  </si>
  <si>
    <t>Solo Camiones</t>
  </si>
  <si>
    <t>Canal</t>
  </si>
  <si>
    <t>Carretera</t>
  </si>
  <si>
    <t>Fuera de Servicio</t>
  </si>
  <si>
    <t>FFCC</t>
  </si>
  <si>
    <t>Num Tram:</t>
  </si>
  <si>
    <t>Long. 1ºTramo:</t>
  </si>
  <si>
    <t>Luz Principal:</t>
  </si>
  <si>
    <t>Tramos:</t>
  </si>
  <si>
    <t>Desiguales</t>
  </si>
  <si>
    <t>Long. 2ºTramo:</t>
  </si>
  <si>
    <t>Long. 3ºTramo:</t>
  </si>
  <si>
    <t>DEFINITIVO</t>
  </si>
  <si>
    <t>Cajon</t>
  </si>
  <si>
    <t>Condición  de borde:</t>
  </si>
  <si>
    <t>Simp. Apoyado</t>
  </si>
  <si>
    <t>Material Predom:</t>
  </si>
  <si>
    <t>Concreto Pretensado</t>
  </si>
  <si>
    <t>Losa</t>
  </si>
  <si>
    <t>Tipo:</t>
  </si>
  <si>
    <t>Material:</t>
  </si>
  <si>
    <t>Concreto Armado</t>
  </si>
  <si>
    <t>Nº de Vigas</t>
  </si>
  <si>
    <t>Espesor:</t>
  </si>
  <si>
    <t>Material</t>
  </si>
  <si>
    <t>Superficie de Desgaste:</t>
  </si>
  <si>
    <t>Asfalto</t>
  </si>
  <si>
    <t>Forma:</t>
  </si>
  <si>
    <t>Peralte:</t>
  </si>
  <si>
    <t>Ancho-Base</t>
  </si>
  <si>
    <t>Estribo Izquierdo</t>
  </si>
  <si>
    <t>Estribo Derecho</t>
  </si>
  <si>
    <t>Elevación</t>
  </si>
  <si>
    <t>Gravedad</t>
  </si>
  <si>
    <t>Cimentación:</t>
  </si>
  <si>
    <t>Tramos</t>
  </si>
  <si>
    <t>Categoría/Tipo</t>
  </si>
  <si>
    <t>Iguales</t>
  </si>
  <si>
    <t>ALCANTARILLA</t>
  </si>
  <si>
    <t>ARTESANALES</t>
  </si>
  <si>
    <t>Modular</t>
  </si>
  <si>
    <t>Marco</t>
  </si>
  <si>
    <t>Vigas de Troncos de Arboles</t>
  </si>
  <si>
    <t>Losa con Vigas</t>
  </si>
  <si>
    <t>Tipo Yawata</t>
  </si>
  <si>
    <t>Circular/Ovalada</t>
  </si>
  <si>
    <t>Arcos/Porticos de Mamposteria de piedra</t>
  </si>
  <si>
    <t>Portico</t>
  </si>
  <si>
    <t>Otros</t>
  </si>
  <si>
    <t>Arco</t>
  </si>
  <si>
    <t>Arco de Concreto Simple</t>
  </si>
  <si>
    <t>Losa de Concreto Reforzado con rieles de FFCC</t>
  </si>
  <si>
    <t>Reticulado</t>
  </si>
  <si>
    <t>Colgante</t>
  </si>
  <si>
    <t>Cond. De Borde</t>
  </si>
  <si>
    <t>Mat. Predominante Tramo</t>
  </si>
  <si>
    <t>Material-Losa</t>
  </si>
  <si>
    <t>Supericie de Desgaste</t>
  </si>
  <si>
    <t>Concreto armado</t>
  </si>
  <si>
    <t>Continuo</t>
  </si>
  <si>
    <t>Concreto (Vaciado con Losa)</t>
  </si>
  <si>
    <t>Gerber</t>
  </si>
  <si>
    <t>Acero Estructural</t>
  </si>
  <si>
    <t>Plancha Metálica corrugada</t>
  </si>
  <si>
    <t>Concreto Pobre</t>
  </si>
  <si>
    <t>Articulado</t>
  </si>
  <si>
    <t>Cables de Acero</t>
  </si>
  <si>
    <t>Madera</t>
  </si>
  <si>
    <t>Empotrado</t>
  </si>
  <si>
    <t>Planchas de Acero Corrugado</t>
  </si>
  <si>
    <t>Metálica</t>
  </si>
  <si>
    <t>Sob. El terreno</t>
  </si>
  <si>
    <t>Tipo de Vigas</t>
  </si>
  <si>
    <t>Material-Vigas</t>
  </si>
  <si>
    <t>Forma-Viga</t>
  </si>
  <si>
    <t>No aplicable</t>
  </si>
  <si>
    <t>Rectangular</t>
  </si>
  <si>
    <t>Viga Longitudinal</t>
  </si>
  <si>
    <t>I</t>
  </si>
  <si>
    <t>Viga Transversal</t>
  </si>
  <si>
    <t>Metálico</t>
  </si>
  <si>
    <t>Cajón</t>
  </si>
  <si>
    <t>Reticulada</t>
  </si>
  <si>
    <t>Tipo de Elevación</t>
  </si>
  <si>
    <t>Material-Elevación</t>
  </si>
  <si>
    <t>Tipo de Cimentación</t>
  </si>
  <si>
    <t>Material-Cimentación</t>
  </si>
  <si>
    <t>Concreto Simple</t>
  </si>
  <si>
    <t>Zapata</t>
  </si>
  <si>
    <t>Cantilever</t>
  </si>
  <si>
    <t>Caisson</t>
  </si>
  <si>
    <t>Mampostería de Piedra</t>
  </si>
  <si>
    <t>Pilotes</t>
  </si>
  <si>
    <t>Acero</t>
  </si>
  <si>
    <t>Pilares</t>
  </si>
  <si>
    <t>Pilar 1</t>
  </si>
  <si>
    <t>Pilar 2</t>
  </si>
  <si>
    <t>Pilar 3</t>
  </si>
  <si>
    <t>Columna Tarjeta</t>
  </si>
  <si>
    <t>Cimentación</t>
  </si>
  <si>
    <t>Macizos/Cámaras de Anclaje</t>
  </si>
  <si>
    <t>Izquierdo</t>
  </si>
  <si>
    <t>Derecho</t>
  </si>
  <si>
    <t>PILARES</t>
  </si>
  <si>
    <t>Material de Elevación</t>
  </si>
  <si>
    <t>Tipo-Cimentación</t>
  </si>
  <si>
    <t>Columna Capitel</t>
  </si>
  <si>
    <t>MACIZOS/CAMARAS DE ANCALJE</t>
  </si>
  <si>
    <t>Macizo</t>
  </si>
  <si>
    <t>Hueco</t>
  </si>
  <si>
    <t>Veredas y Sardineles</t>
  </si>
  <si>
    <t>Barandas</t>
  </si>
  <si>
    <t>Tipo</t>
  </si>
  <si>
    <t>Parapeto</t>
  </si>
  <si>
    <t>Concreto</t>
  </si>
  <si>
    <t>Altura Sardinel:</t>
  </si>
  <si>
    <t>Apoyos</t>
  </si>
  <si>
    <t>Apoyo 1</t>
  </si>
  <si>
    <t>Apoyo 2</t>
  </si>
  <si>
    <t>Articulado Fijo</t>
  </si>
  <si>
    <t>Elastomero</t>
  </si>
  <si>
    <t>Ubicación:</t>
  </si>
  <si>
    <t>Número:</t>
  </si>
  <si>
    <t>Juntas de Expansión</t>
  </si>
  <si>
    <t>Tipo Peine</t>
  </si>
  <si>
    <t>Drenaje Calzada</t>
  </si>
  <si>
    <t>Tubo</t>
  </si>
  <si>
    <t>PVC</t>
  </si>
  <si>
    <t>Acceso Izquierdo</t>
  </si>
  <si>
    <t>Acceso Derecho</t>
  </si>
  <si>
    <t>Longitud de Transición:</t>
  </si>
  <si>
    <t>Paralelo</t>
  </si>
  <si>
    <t>Ancho Total de Bermas</t>
  </si>
  <si>
    <t>Pendiente Alta:</t>
  </si>
  <si>
    <t>Visibilidad:</t>
  </si>
  <si>
    <t>Buena</t>
  </si>
  <si>
    <t>Tipo-Barandas</t>
  </si>
  <si>
    <t>Material-Barandas</t>
  </si>
  <si>
    <t>Material-Veredas</t>
  </si>
  <si>
    <t>Tipo-Apoyos</t>
  </si>
  <si>
    <t>Mat-Apoyos</t>
  </si>
  <si>
    <t>Postes y pasamanos</t>
  </si>
  <si>
    <t>Deslizante</t>
  </si>
  <si>
    <t>Guardavias</t>
  </si>
  <si>
    <t>Roller</t>
  </si>
  <si>
    <t>No hay</t>
  </si>
  <si>
    <t>Mixto</t>
  </si>
  <si>
    <t>Rocker</t>
  </si>
  <si>
    <t>Flexcel</t>
  </si>
  <si>
    <t>Eslabon y pin</t>
  </si>
  <si>
    <t>Tipo-Juntas</t>
  </si>
  <si>
    <t>Material-Juntas</t>
  </si>
  <si>
    <t>Tipo-Drenaje</t>
  </si>
  <si>
    <t>Material-Drenaje</t>
  </si>
  <si>
    <t>Vacio</t>
  </si>
  <si>
    <t>Planchas Deslizantes</t>
  </si>
  <si>
    <t>Jebe</t>
  </si>
  <si>
    <t>Canaleta</t>
  </si>
  <si>
    <t>Perpendicular</t>
  </si>
  <si>
    <t>Mastic Epoxico</t>
  </si>
  <si>
    <t>Inclinado</t>
  </si>
  <si>
    <t>Tipo Comprensible/Expansible</t>
  </si>
  <si>
    <t>Visibilidad</t>
  </si>
  <si>
    <t>Regular</t>
  </si>
  <si>
    <t>Mala</t>
  </si>
  <si>
    <t>Señal Informativa:</t>
  </si>
  <si>
    <t>Cartel del Puente</t>
  </si>
  <si>
    <t>Señal Preventiva</t>
  </si>
  <si>
    <t>Señal Reglamentaria</t>
  </si>
  <si>
    <t>Señalización Horizontal:</t>
  </si>
  <si>
    <t>Carga de Diseño:</t>
  </si>
  <si>
    <t>Carga Máxima Actual:</t>
  </si>
  <si>
    <t>Sobreesfuerzo:</t>
  </si>
  <si>
    <t>Señalización de Carga:</t>
  </si>
  <si>
    <t>Tipo: Otras Rutas</t>
  </si>
  <si>
    <t>Vado</t>
  </si>
  <si>
    <t>Puente Paralelo</t>
  </si>
  <si>
    <t>Dist de Puente:</t>
  </si>
  <si>
    <t>Posibilidad a Construir:</t>
  </si>
  <si>
    <t>Período de Funcionamiento:</t>
  </si>
  <si>
    <t>Substructura</t>
  </si>
  <si>
    <t>Naturaleza del Suelo:</t>
  </si>
  <si>
    <t>Variante Existente:</t>
  </si>
  <si>
    <t>Necesidad de Construirlo</t>
  </si>
  <si>
    <t>Cond.Carretera:</t>
  </si>
  <si>
    <t>Cartel Rombo Amarillo-Curvas</t>
  </si>
  <si>
    <t>Cartel Rombo Amarillo-Intersecciones</t>
  </si>
  <si>
    <t>Cartel Rombo Amarillo-Pendientes Altas</t>
  </si>
  <si>
    <t>Cartel rectangular negro-rojo (Ceda el paso)</t>
  </si>
  <si>
    <t>Cartel rectangular negro-rojo (No adelantar)</t>
  </si>
  <si>
    <t>Cartel rectangular negro-rojo (Velocidad Máxima)</t>
  </si>
  <si>
    <t>Marcas en la Calzada</t>
  </si>
  <si>
    <t>Substructura:</t>
  </si>
  <si>
    <t>Cond. Carretera</t>
  </si>
  <si>
    <t>Nat. Del Suelo</t>
  </si>
  <si>
    <t>Similar al existente</t>
  </si>
  <si>
    <t>Roca</t>
  </si>
  <si>
    <t>Diferente</t>
  </si>
  <si>
    <t>Conglomerado</t>
  </si>
  <si>
    <t>Piedra</t>
  </si>
  <si>
    <t>Arena</t>
  </si>
  <si>
    <t>Arcilla</t>
  </si>
  <si>
    <t>Estribo Izq</t>
  </si>
  <si>
    <t>Estribo Der</t>
  </si>
  <si>
    <t>Comentarios</t>
  </si>
  <si>
    <t>Aguas Máximas:</t>
  </si>
  <si>
    <t>Periodo de Aguas Maximas:</t>
  </si>
  <si>
    <t>Aguas Mínimas:</t>
  </si>
  <si>
    <t>Período de Estiaje</t>
  </si>
  <si>
    <t>Aguas Extraordinarias:</t>
  </si>
  <si>
    <t>Frecuencia de Retorno</t>
  </si>
  <si>
    <t>Galibo determinado en Campo:</t>
  </si>
  <si>
    <t>Galibo obtenido del Plano:</t>
  </si>
  <si>
    <t>Galibo Aguas Máximas:</t>
  </si>
  <si>
    <t>Longitud Aceptable:</t>
  </si>
  <si>
    <t>Longitud Requerida:</t>
  </si>
  <si>
    <t>Altura Aceptable:</t>
  </si>
  <si>
    <t>Altura Adicional Requerida:</t>
  </si>
  <si>
    <t>Necesita Encauzamiento:</t>
  </si>
  <si>
    <t>Longitud de Encauzamiento:</t>
  </si>
  <si>
    <t>Socavación del Cauce:</t>
  </si>
  <si>
    <t>Profundidad de Socavación:</t>
  </si>
  <si>
    <t>Material-Suelo de Cimentación</t>
  </si>
  <si>
    <t>Num Ptos:</t>
  </si>
  <si>
    <t>Distancia desde un Punto Fijo</t>
  </si>
  <si>
    <t>Protección Contra Socavación:</t>
  </si>
  <si>
    <r>
      <rPr>
        <b/>
        <sz val="11"/>
        <color indexed="8"/>
        <rFont val="Arial Narrow"/>
        <family val="2"/>
      </rPr>
      <t>SECCION (A)</t>
    </r>
    <r>
      <rPr>
        <sz val="11"/>
        <color indexed="8"/>
        <rFont val="Arial Narrow"/>
        <family val="2"/>
      </rPr>
      <t xml:space="preserve"> : IDENTIFICACIÓN Y UBICACIÓN</t>
    </r>
  </si>
  <si>
    <r>
      <rPr>
        <b/>
        <sz val="11"/>
        <color indexed="8"/>
        <rFont val="Arial Narrow"/>
        <family val="2"/>
      </rPr>
      <t xml:space="preserve">SECCION (B): </t>
    </r>
    <r>
      <rPr>
        <sz val="11"/>
        <color indexed="8"/>
        <rFont val="Arial Narrow"/>
        <family val="2"/>
      </rPr>
      <t>DATOS GENERALES</t>
    </r>
  </si>
  <si>
    <t>Categoría:</t>
  </si>
  <si>
    <t>Tipo   :</t>
  </si>
  <si>
    <t>Tipo  :</t>
  </si>
  <si>
    <t>MIXTA</t>
  </si>
  <si>
    <t>CAJON</t>
  </si>
  <si>
    <t>VIGA</t>
  </si>
  <si>
    <t>RETICULADO</t>
  </si>
  <si>
    <t>TABLERO SUEPRIOR</t>
  </si>
  <si>
    <r>
      <rPr>
        <b/>
        <sz val="11"/>
        <color indexed="8"/>
        <rFont val="Arial Narrow"/>
        <family val="2"/>
      </rPr>
      <t xml:space="preserve">SECCION (C): </t>
    </r>
    <r>
      <rPr>
        <sz val="11"/>
        <color indexed="8"/>
        <rFont val="Arial Narrow"/>
        <family val="2"/>
      </rPr>
      <t>DATOS DEL PUENTE</t>
    </r>
  </si>
  <si>
    <t>Atirantado</t>
  </si>
  <si>
    <r>
      <rPr>
        <b/>
        <sz val="11"/>
        <color indexed="9"/>
        <rFont val="Arial Narrow"/>
        <family val="2"/>
      </rPr>
      <t>C.5</t>
    </r>
    <r>
      <rPr>
        <sz val="11"/>
        <color indexed="9"/>
        <rFont val="Arial Narrow"/>
        <family val="2"/>
      </rPr>
      <t xml:space="preserve">  :DETALLES</t>
    </r>
  </si>
  <si>
    <r>
      <rPr>
        <b/>
        <sz val="11"/>
        <color indexed="9"/>
        <rFont val="Arial Narrow"/>
        <family val="2"/>
      </rPr>
      <t>C.4</t>
    </r>
    <r>
      <rPr>
        <sz val="11"/>
        <color indexed="9"/>
        <rFont val="Arial Narrow"/>
        <family val="2"/>
      </rPr>
      <t xml:space="preserve"> : SUBESTRUCTURA</t>
    </r>
  </si>
  <si>
    <r>
      <rPr>
        <b/>
        <sz val="11"/>
        <color indexed="9"/>
        <rFont val="Arial Narrow"/>
        <family val="2"/>
      </rPr>
      <t>C.2</t>
    </r>
    <r>
      <rPr>
        <sz val="11"/>
        <color indexed="9"/>
        <rFont val="Arial Narrow"/>
        <family val="2"/>
      </rPr>
      <t xml:space="preserve">  :TRAMO 2</t>
    </r>
  </si>
  <si>
    <r>
      <rPr>
        <b/>
        <sz val="11"/>
        <color indexed="9"/>
        <rFont val="Arial Narrow"/>
        <family val="2"/>
      </rPr>
      <t>C.6</t>
    </r>
    <r>
      <rPr>
        <sz val="11"/>
        <color indexed="9"/>
        <rFont val="Arial Narrow"/>
        <family val="2"/>
      </rPr>
      <t xml:space="preserve"> : ACCESOS</t>
    </r>
  </si>
  <si>
    <r>
      <rPr>
        <b/>
        <sz val="11"/>
        <color indexed="8"/>
        <rFont val="Arial Narrow"/>
        <family val="2"/>
      </rPr>
      <t>SECCION (D</t>
    </r>
    <r>
      <rPr>
        <sz val="11"/>
        <color indexed="8"/>
        <rFont val="Arial Narrow"/>
        <family val="2"/>
      </rPr>
      <t>) : DATOS TOPOGRAFICOS DE SUELOS E HIDROLOGICOS</t>
    </r>
  </si>
  <si>
    <t>D.1 : SUELO DE CIMENTACIÓN</t>
  </si>
  <si>
    <t>D.2 :NIVELES DE LAS AGUAS</t>
  </si>
  <si>
    <t>D.3 : CAPACIDAD HIDRAULICA DEL PUENTE</t>
  </si>
  <si>
    <t>D.4 :PERFIL LONGITUDINAL DEL TERRENO</t>
  </si>
  <si>
    <t>Fecha (dd/mm/aa):</t>
  </si>
  <si>
    <r>
      <rPr>
        <b/>
        <sz val="11"/>
        <color indexed="9"/>
        <rFont val="Arial Narrow"/>
        <family val="2"/>
      </rPr>
      <t xml:space="preserve">C.7 </t>
    </r>
    <r>
      <rPr>
        <sz val="11"/>
        <color indexed="9"/>
        <rFont val="Arial Narrow"/>
        <family val="2"/>
      </rPr>
      <t>: SEGURIDAD VIAL</t>
    </r>
  </si>
  <si>
    <t>C.8 : SOBRECARGA</t>
  </si>
  <si>
    <t>C.9  :RUTA ALTERNA</t>
  </si>
  <si>
    <t>DESCRIPCIÓN</t>
  </si>
  <si>
    <t>Codigo</t>
  </si>
  <si>
    <t>UND.</t>
  </si>
  <si>
    <t>I.   SUPERESTRUCTURA</t>
  </si>
  <si>
    <t>Arriostres de Acero</t>
  </si>
  <si>
    <t>Vigas Transversales y Largueros de Acero</t>
  </si>
  <si>
    <t>II.  SUBESTRUCTURA</t>
  </si>
  <si>
    <t>Elevación Cuerpo del Estribo de Concreto Armado</t>
  </si>
  <si>
    <t>Elevación de Pilares Concreto Simple</t>
  </si>
  <si>
    <t>Elevación de Pilares Concreto Armado</t>
  </si>
  <si>
    <t>III. DETALLES</t>
  </si>
  <si>
    <t>Capa de Asfalto</t>
  </si>
  <si>
    <t>ml</t>
  </si>
  <si>
    <t>und.</t>
  </si>
  <si>
    <t>Barandas de Acero</t>
  </si>
  <si>
    <t>Guardavías</t>
  </si>
  <si>
    <t>Tuberías PVC</t>
  </si>
  <si>
    <t>IV. CAUCE</t>
  </si>
  <si>
    <t>Enrocado</t>
  </si>
  <si>
    <t>V.  ACCESOS</t>
  </si>
  <si>
    <t xml:space="preserve">CUADRO DE LA CONDICION DE LOS ELEMENTOS </t>
  </si>
  <si>
    <t>CONDICION</t>
  </si>
  <si>
    <t>METRADO</t>
  </si>
  <si>
    <t>Muy pobre</t>
  </si>
  <si>
    <t>Pobre</t>
  </si>
  <si>
    <t>Marginal</t>
  </si>
  <si>
    <t>Satisfactorio</t>
  </si>
  <si>
    <t>Bueno</t>
  </si>
  <si>
    <t>Muy bueno</t>
  </si>
  <si>
    <t>Losa de Conc. Armado (Ref. Longitudinal)</t>
  </si>
  <si>
    <t>Brida superior e inferior, Montantes y Diagonales</t>
  </si>
  <si>
    <t>kg</t>
  </si>
  <si>
    <t>Vigas transversales</t>
  </si>
  <si>
    <t>Elevacion cuerpo estribo de Conc. Armado</t>
  </si>
  <si>
    <t>m2</t>
  </si>
  <si>
    <t>Elevacion Alas de Estribo de Conc. Armado</t>
  </si>
  <si>
    <t>Señalizacion horizontal (pintura)</t>
  </si>
  <si>
    <t>Vereda de concreto</t>
  </si>
  <si>
    <t>Apoyo deslizante de acero</t>
  </si>
  <si>
    <t>Apoyo articulado de acero</t>
  </si>
  <si>
    <t>Planchas deslizantes en juntas</t>
  </si>
  <si>
    <t>Barandas de acero</t>
  </si>
  <si>
    <t>Señalizacion horizontal</t>
  </si>
  <si>
    <t>Señalizacion vertical</t>
  </si>
  <si>
    <t>Pavimento</t>
  </si>
  <si>
    <t>Excelente</t>
  </si>
  <si>
    <t>Pesimo</t>
  </si>
  <si>
    <t>Malo</t>
  </si>
  <si>
    <t>Inspector</t>
  </si>
  <si>
    <t>Fecha de Inspeccion</t>
  </si>
  <si>
    <t>Fecha  de Revision</t>
  </si>
  <si>
    <t>Elemento</t>
  </si>
  <si>
    <t>Descripcion</t>
  </si>
  <si>
    <t>ELLEMENTOS CONFORMANTES DE UN PUENTE Y SU IMPORTANCIA</t>
  </si>
  <si>
    <t>Item</t>
  </si>
  <si>
    <t>Codif. Elemento</t>
  </si>
  <si>
    <t>Unidad</t>
  </si>
  <si>
    <t>Factor Importancia</t>
  </si>
  <si>
    <t>Losa de concreto armado (Refuerzo longitudinal)</t>
  </si>
  <si>
    <t>m3</t>
  </si>
  <si>
    <t>a) LOSA</t>
  </si>
  <si>
    <t>1) TABLERO</t>
  </si>
  <si>
    <t>I) SUPERESTRUCTURA</t>
  </si>
  <si>
    <t>Losa de concreto pretensado (Pretensado Longitudinal)</t>
  </si>
  <si>
    <t>Losa de Concreto Simple</t>
  </si>
  <si>
    <t>b) LOSA CON VIGA</t>
  </si>
  <si>
    <t xml:space="preserve">Losa de concreto armado (Refuerzo Transversal) </t>
  </si>
  <si>
    <t>Losa de concreto pretensado (Pretensado Transversal)</t>
  </si>
  <si>
    <t>Plancha Metálica Corrugada</t>
  </si>
  <si>
    <t>Tablero de Madera</t>
  </si>
  <si>
    <t>ft.2</t>
  </si>
  <si>
    <t>Viga Principales concreto armado</t>
  </si>
  <si>
    <t>Vigas Secundarias de concreto armado</t>
  </si>
  <si>
    <t>Vigas Principales de concreto pretensado</t>
  </si>
  <si>
    <t>Vigas Secundarias de concreto Pretensado</t>
  </si>
  <si>
    <t>Vigas Principales de Acero Estructural</t>
  </si>
  <si>
    <t>Vigas Secundarias de Acero</t>
  </si>
  <si>
    <t>Vigas de Madera</t>
  </si>
  <si>
    <t>Columnas de concreto armado</t>
  </si>
  <si>
    <t>2) PORTICO</t>
  </si>
  <si>
    <t>Columnas de concreto pretensado</t>
  </si>
  <si>
    <t>Columna de acero estructural</t>
  </si>
  <si>
    <t>Muros de Concreto Armado</t>
  </si>
  <si>
    <t>Muros de Concreto Simple</t>
  </si>
  <si>
    <t>Tirante de Concreto Pretensado en pórticos</t>
  </si>
  <si>
    <t>Arco de concreto armado</t>
  </si>
  <si>
    <t>3) ARCO</t>
  </si>
  <si>
    <t>Arco de acero estructural</t>
  </si>
  <si>
    <t>Bridas superior e inferior, Montantes y Diagonales de Acero</t>
  </si>
  <si>
    <t>4) RETICULADO</t>
  </si>
  <si>
    <t>Estructura Metálica Bailey</t>
  </si>
  <si>
    <t>5) BAILEY</t>
  </si>
  <si>
    <t>Cables Principales de Acero</t>
  </si>
  <si>
    <t>6) COLGANTE</t>
  </si>
  <si>
    <t>Barras de Anclaje en puentes colgantes</t>
  </si>
  <si>
    <t>Torres de Acero</t>
  </si>
  <si>
    <t>Péndolas de Acero con Sockets</t>
  </si>
  <si>
    <t>Accesorios (Sillas de Montar, Montura de Péndolas) en ptes colgantes</t>
  </si>
  <si>
    <t>Vigas de Rigidez</t>
  </si>
  <si>
    <t>7) ALCANTARILL DE CONCRETO</t>
  </si>
  <si>
    <t>Muros de Concreto Armado Alcantarilla</t>
  </si>
  <si>
    <t>Relleno</t>
  </si>
  <si>
    <t>Plancha Metálica Corrugada (TMC)</t>
  </si>
  <si>
    <t>8) ALCAN. METALICA</t>
  </si>
  <si>
    <t>Elevación Cuerpo del Estribo de Concreto Simple</t>
  </si>
  <si>
    <t>1) ESTRIBOS</t>
  </si>
  <si>
    <t>II) SUBESTRUCTURA</t>
  </si>
  <si>
    <t>Elevación Cuerpo del Estribo Madera</t>
  </si>
  <si>
    <t>Elevación Alas del Estribo Concreto Simple</t>
  </si>
  <si>
    <t>Elevación Alas del Estribo de Concreto Armado</t>
  </si>
  <si>
    <t>Elevación Alas del Estribo Madera</t>
  </si>
  <si>
    <t>Elevación Cuerpo del Estribo de Mampostería de Piedra</t>
  </si>
  <si>
    <t>Elevación Alas del Estribo Mampostería de Piedra</t>
  </si>
  <si>
    <t>Zapata de Concreto Simple</t>
  </si>
  <si>
    <t>Zapata de Concreto armado para Estribos</t>
  </si>
  <si>
    <t>Zapata de Mampostería de Piedra</t>
  </si>
  <si>
    <t>Caisson de Concreto Simple</t>
  </si>
  <si>
    <t>Caisson de Concreto Armado</t>
  </si>
  <si>
    <t>Pilotes de Concreto Armado</t>
  </si>
  <si>
    <t>Pilotes de Acero Estructural</t>
  </si>
  <si>
    <t>Pilotes de Madera</t>
  </si>
  <si>
    <t>2) PILARES</t>
  </si>
  <si>
    <t>Elevación de Pilares de Madera</t>
  </si>
  <si>
    <t>Elevación de Pilares de Manposteria de Piedra</t>
  </si>
  <si>
    <t>Capa Asfalto</t>
  </si>
  <si>
    <t>1) SUPERFICIE DE DESGASTE</t>
  </si>
  <si>
    <t>III) DETALLES</t>
  </si>
  <si>
    <t>Capa Concreto Pobre</t>
  </si>
  <si>
    <t>Tablones de Madera</t>
  </si>
  <si>
    <t>Vereda Concreto</t>
  </si>
  <si>
    <t>2) VEREDA</t>
  </si>
  <si>
    <t>Vereda Acero</t>
  </si>
  <si>
    <t>Vereda de Madera</t>
  </si>
  <si>
    <t>Apoyo fijo Neopreno</t>
  </si>
  <si>
    <t>3) APOYOS</t>
  </si>
  <si>
    <t>Apoyo deslizante de neopreno</t>
  </si>
  <si>
    <t>Apoyo Deslizante Acero</t>
  </si>
  <si>
    <t>Apoyo Roller Acero</t>
  </si>
  <si>
    <t>Apoyo Rocker Acero</t>
  </si>
  <si>
    <t>Apoyo articulado Concreto</t>
  </si>
  <si>
    <t>Apoyo Rocker de Concreto</t>
  </si>
  <si>
    <t>Apoyo Eslabón y Pin (Vigas Gerber)</t>
  </si>
  <si>
    <t>4) JUNTAS DE EXPANSION</t>
  </si>
  <si>
    <t>Tipo Compresible / Expandible Celular</t>
  </si>
  <si>
    <t>Junta de Expansión, Tipo Compresible / Expandible Sólido</t>
  </si>
  <si>
    <t>Barandas de Madera</t>
  </si>
  <si>
    <t>5) BARANDAS</t>
  </si>
  <si>
    <t>Barandas de Concreto</t>
  </si>
  <si>
    <t>Parapeto de Concreto Armado</t>
  </si>
  <si>
    <t>Tuberías Metálicas</t>
  </si>
  <si>
    <t>6) DRENAJE</t>
  </si>
  <si>
    <t>Márgenes del río</t>
  </si>
  <si>
    <t>IV) CAUCE</t>
  </si>
  <si>
    <t>Lecho del río</t>
  </si>
  <si>
    <t>Barrajes</t>
  </si>
  <si>
    <t>Dique</t>
  </si>
  <si>
    <t>Proteccion contra socavacion</t>
  </si>
  <si>
    <t>Gaviones</t>
  </si>
  <si>
    <t>Muro de Concreto Simple.</t>
  </si>
  <si>
    <t>Muro de Concreto Armado – Cauce</t>
  </si>
  <si>
    <t>Solado Concreto Simple</t>
  </si>
  <si>
    <t>Solado Concreto</t>
  </si>
  <si>
    <t>Señalización</t>
  </si>
  <si>
    <t>V) ACCESOS</t>
  </si>
  <si>
    <t>Terraplen</t>
  </si>
  <si>
    <t>Muro de Concreto Simple – Accesos</t>
  </si>
  <si>
    <t>Muro de Concreto Armado en accesos</t>
  </si>
  <si>
    <t>Zapata de Concreto Simple en muros de contención</t>
  </si>
  <si>
    <t>Zapata de Concreto armado</t>
  </si>
  <si>
    <t>Pavimento/Afirmado</t>
  </si>
  <si>
    <t>Cunetas de Concreto</t>
  </si>
  <si>
    <t>Cunetas de Tierra</t>
  </si>
  <si>
    <t>Alcantarilla de concreto</t>
  </si>
  <si>
    <t>Alcantarilla de Plancha Corrugada TMC</t>
  </si>
  <si>
    <t>Importancia</t>
  </si>
  <si>
    <t>PORCENTAJE DE EVALUACIÓN DE CAMPO DE CADA ELEMENTO  DEL PUENTE</t>
  </si>
  <si>
    <t>unidad</t>
  </si>
  <si>
    <t>de</t>
  </si>
  <si>
    <t>Total %</t>
  </si>
  <si>
    <t>Pésimo</t>
  </si>
  <si>
    <t>Muy mal</t>
  </si>
  <si>
    <t>Mal</t>
  </si>
  <si>
    <t>Muy Bueno</t>
  </si>
  <si>
    <t>%</t>
  </si>
  <si>
    <t>excelente</t>
  </si>
  <si>
    <t>buena</t>
  </si>
  <si>
    <t>regular</t>
  </si>
  <si>
    <t>preocupante</t>
  </si>
  <si>
    <t>mala</t>
  </si>
  <si>
    <t>pesima</t>
  </si>
  <si>
    <t>scap</t>
  </si>
  <si>
    <t>sanchez moya</t>
  </si>
  <si>
    <t>TOTAL</t>
  </si>
  <si>
    <t>ELEVACION</t>
  </si>
  <si>
    <t>PLANTA</t>
  </si>
  <si>
    <t>SECCION TRANSVERSAL</t>
  </si>
  <si>
    <t>C 10  : CONDICIÓN DEL SECTOR DE LA CARRETERA</t>
  </si>
  <si>
    <t>Preocupante</t>
  </si>
  <si>
    <t>SECCION ( E ) : CROQUIS DEL PUENTE</t>
  </si>
  <si>
    <t>ELEMENTOS SECUNDARIOS</t>
  </si>
  <si>
    <t>Curva a</t>
  </si>
  <si>
    <t>Si</t>
  </si>
  <si>
    <t>No</t>
  </si>
  <si>
    <t>Carga en el Futuro</t>
  </si>
  <si>
    <t>(Según estudio de transito)</t>
  </si>
  <si>
    <t>Muy mala</t>
  </si>
  <si>
    <t>Aluvional</t>
  </si>
  <si>
    <t>aguas abajo</t>
  </si>
  <si>
    <t>centro</t>
  </si>
  <si>
    <t>aguas arriba</t>
  </si>
  <si>
    <t>tabla 1</t>
  </si>
  <si>
    <t xml:space="preserve">NRO. </t>
  </si>
  <si>
    <t xml:space="preserve">DESCRIPCION </t>
  </si>
  <si>
    <t xml:space="preserve">CALIFICACION </t>
  </si>
  <si>
    <t>OBSERVACIONES</t>
  </si>
  <si>
    <t>verificacion</t>
  </si>
  <si>
    <t>tabla 2</t>
  </si>
  <si>
    <t>AJUSTES DE PORCENTAJE POR UMBRAL (%campo * 100 / %umbral)</t>
  </si>
  <si>
    <t>tabla 3</t>
  </si>
  <si>
    <t>SUMA DE PORCENTAJES AJUSTADOS DE CONDIC PARA C/ELEM (hasta pasar el 100%)</t>
  </si>
  <si>
    <t>tabla 4</t>
  </si>
  <si>
    <t>REAJUSTE DE VALORES PARA SUMAR 100% (eliminar valores negativos)</t>
  </si>
  <si>
    <t>tabla 5</t>
  </si>
  <si>
    <t>CONDICION ESTADISTICA USANDO EL QUINTO MOMENTO</t>
  </si>
  <si>
    <t>suma</t>
  </si>
  <si>
    <t>raiz5</t>
  </si>
  <si>
    <t>Factor importancia</t>
  </si>
  <si>
    <t>contribucion</t>
  </si>
  <si>
    <t>Número de Elementos del puente</t>
  </si>
  <si>
    <t>CALIFICACION</t>
  </si>
  <si>
    <t>RANGO CONDICION</t>
  </si>
  <si>
    <t>Mayor valor de contribución</t>
  </si>
  <si>
    <t xml:space="preserve">MUY BUENO </t>
  </si>
  <si>
    <t>0.00-0.99</t>
  </si>
  <si>
    <t xml:space="preserve">BUENO </t>
  </si>
  <si>
    <t>1.00-1.99</t>
  </si>
  <si>
    <t xml:space="preserve">REGULAR </t>
  </si>
  <si>
    <t>2.00-2.99</t>
  </si>
  <si>
    <t>Fracción de contribución remanente</t>
  </si>
  <si>
    <t xml:space="preserve">MALO </t>
  </si>
  <si>
    <t>3.00-3.99</t>
  </si>
  <si>
    <t xml:space="preserve">MUY MALO </t>
  </si>
  <si>
    <t>4.00-4.99</t>
  </si>
  <si>
    <t xml:space="preserve">PESIMO </t>
  </si>
  <si>
    <t>5.00-5.99</t>
  </si>
  <si>
    <t xml:space="preserve">COMENTARIOS : </t>
  </si>
  <si>
    <t>SECCION (F) CONDICION DEL PUENTE</t>
  </si>
  <si>
    <t>ok</t>
  </si>
  <si>
    <t>F.1 : RELACION DE ELEMENTOS CONFORMANTES DEL PUENTE</t>
  </si>
  <si>
    <t>Metrado</t>
  </si>
  <si>
    <t>F.2  :CONDICION GLOBAL DEL PUENTE</t>
  </si>
  <si>
    <t>Pto fijo</t>
  </si>
  <si>
    <t>Tipo de Ruta</t>
  </si>
  <si>
    <t>Tipo de ruta</t>
  </si>
  <si>
    <t>Nacional</t>
  </si>
  <si>
    <t>Departamental</t>
  </si>
  <si>
    <t>Vecinal</t>
  </si>
  <si>
    <t>Sin datos</t>
  </si>
  <si>
    <t>Espesor de Sup.desgaste</t>
  </si>
  <si>
    <t>LISTA DE FOTOGRAFIAS</t>
  </si>
  <si>
    <t xml:space="preserve">FECHA </t>
  </si>
  <si>
    <t xml:space="preserve">DIGITAL </t>
  </si>
  <si>
    <t>Muy Pobre</t>
  </si>
  <si>
    <t>Supervisor</t>
  </si>
  <si>
    <t>RUTA</t>
  </si>
  <si>
    <t>PROGRESIVA</t>
  </si>
  <si>
    <t xml:space="preserve">Factor de Importancia </t>
  </si>
  <si>
    <t>PROVISIONALES</t>
  </si>
  <si>
    <t xml:space="preserve">  Losa</t>
  </si>
  <si>
    <t xml:space="preserve">  Losa con Vigas</t>
  </si>
  <si>
    <t xml:space="preserve">  Portico</t>
  </si>
  <si>
    <t xml:space="preserve">  Arco</t>
  </si>
  <si>
    <t xml:space="preserve">  Reticulado</t>
  </si>
  <si>
    <t xml:space="preserve">  Colgante</t>
  </si>
  <si>
    <t xml:space="preserve">  Atirantado</t>
  </si>
  <si>
    <t xml:space="preserve">  Modular</t>
  </si>
  <si>
    <t xml:space="preserve">  Tipo Yawata</t>
  </si>
  <si>
    <t xml:space="preserve">  Otros</t>
  </si>
  <si>
    <t xml:space="preserve">  Marco</t>
  </si>
  <si>
    <t xml:space="preserve">  Circular/Ovalada</t>
  </si>
  <si>
    <t xml:space="preserve">  Vigas de Troncos de Arboles</t>
  </si>
  <si>
    <t xml:space="preserve">  Arcos/Porticos de Mamposteria de piedra</t>
  </si>
  <si>
    <t xml:space="preserve">  Arco de Concreto Simple</t>
  </si>
  <si>
    <t xml:space="preserve">  Losa de Concreto Reforzado con rieles de FFCC</t>
  </si>
  <si>
    <r>
      <rPr>
        <b/>
        <sz val="11"/>
        <color indexed="9"/>
        <rFont val="Arial Narrow"/>
        <family val="2"/>
      </rPr>
      <t xml:space="preserve">C.1 : </t>
    </r>
    <r>
      <rPr>
        <sz val="11"/>
        <color indexed="9"/>
        <rFont val="Arial Narrow"/>
        <family val="2"/>
      </rPr>
      <t>TRAMO 1 (PRINCIPAL)</t>
    </r>
  </si>
  <si>
    <t>No tiene</t>
  </si>
  <si>
    <t>Existe otro puente paralelo</t>
  </si>
  <si>
    <t>Puente :</t>
  </si>
  <si>
    <t>G.1 : CONDICION ESTADISTICA DEL PUENTE</t>
  </si>
  <si>
    <t xml:space="preserve">NOMBRE </t>
  </si>
  <si>
    <t>Progresiva :</t>
  </si>
  <si>
    <t>Ruta  :</t>
  </si>
  <si>
    <t>Ruta:</t>
  </si>
  <si>
    <t>Condicion Estadística del Puente</t>
  </si>
  <si>
    <t>Ruta :</t>
  </si>
  <si>
    <t>Progresiva:</t>
  </si>
  <si>
    <t>CALIFICACION (%)</t>
  </si>
  <si>
    <t>CODIGO</t>
  </si>
  <si>
    <t>CONDICION ESTADISTICA DEL PUENTE</t>
  </si>
  <si>
    <t>Contribución remanente: suma - mayor</t>
  </si>
  <si>
    <t>Suma de contribución de todos los elementos</t>
  </si>
  <si>
    <t>SI(A26=0," ",BUSCARV(A26,'CONDICION ESTADISTICA'!$B$143:$D$235,3))</t>
  </si>
  <si>
    <t>Condicion Estadistica Puente</t>
  </si>
  <si>
    <t>Poblado mas cercano</t>
  </si>
  <si>
    <t>Valle (Viaducto Elevado)</t>
  </si>
  <si>
    <t>Zona Urbana (Viaducto elevado)</t>
  </si>
  <si>
    <t>Altura Libre Inferior:</t>
  </si>
  <si>
    <t>(Igual a B-3)</t>
  </si>
  <si>
    <t>{Subsección a}</t>
  </si>
  <si>
    <t>{Sección 1}</t>
  </si>
  <si>
    <t>{Subsección b}</t>
  </si>
  <si>
    <t>{Subsección c}</t>
  </si>
  <si>
    <t>{Si Nº de tramos &gt; 1 y son desiguales, Sección 2}</t>
  </si>
  <si>
    <r>
      <rPr>
        <b/>
        <sz val="11"/>
        <color indexed="9"/>
        <rFont val="Arial Narrow"/>
        <family val="2"/>
      </rPr>
      <t xml:space="preserve">C.3 </t>
    </r>
    <r>
      <rPr>
        <sz val="11"/>
        <color indexed="9"/>
        <rFont val="Arial Narrow"/>
        <family val="2"/>
      </rPr>
      <t>: TABLERO DE RODADURA</t>
    </r>
  </si>
  <si>
    <t>{Sección 2}</t>
  </si>
  <si>
    <t>{Sección 3}</t>
  </si>
  <si>
    <t>{Si Nº de tramos &gt; 1 y son desiguales, Sección 4}</t>
  </si>
  <si>
    <t>Separación/ejes</t>
  </si>
  <si>
    <t>Caract. Secundaria:</t>
  </si>
  <si>
    <t>{Sección 4}</t>
  </si>
  <si>
    <t>{Sección 5}</t>
  </si>
  <si>
    <t>{Si Nº de tramos &gt; 1, continua Subsección b}</t>
  </si>
  <si>
    <t>{Sección 6}</t>
  </si>
  <si>
    <t>Caract secund barandas</t>
  </si>
  <si>
    <t>1 pasamano</t>
  </si>
  <si>
    <t>2 pasamanos</t>
  </si>
  <si>
    <t>3 pasamanos</t>
  </si>
  <si>
    <t>New Jersey</t>
  </si>
  <si>
    <t>Parapeto con 1 pasamano</t>
  </si>
  <si>
    <t>(Igual a B7)</t>
  </si>
  <si>
    <t>{Subsección d}</t>
  </si>
  <si>
    <t>{Subsección e}</t>
  </si>
  <si>
    <t>{Sección 7}</t>
  </si>
  <si>
    <t>Alineamiento respecto al puente</t>
  </si>
  <si>
    <t>{Sección 8}</t>
  </si>
  <si>
    <t>{Sección 9}</t>
  </si>
  <si>
    <t>(Igual a B6)</t>
  </si>
  <si>
    <t>{Sección 10}</t>
  </si>
  <si>
    <t>Profund de Aguas Mínimas</t>
  </si>
  <si>
    <t>{Sección 11}</t>
  </si>
  <si>
    <t>Referido a la misma cota con que se ha medido el perfil longitudinal</t>
  </si>
  <si>
    <t>LOSA</t>
  </si>
  <si>
    <t>VIGAS</t>
  </si>
  <si>
    <t>SIN DATOS</t>
  </si>
  <si>
    <t>NO APLICA</t>
  </si>
  <si>
    <t>NO HAY</t>
  </si>
  <si>
    <t>HL93</t>
  </si>
  <si>
    <t>SUPERESTRUCTURA</t>
  </si>
  <si>
    <t>DETALLES</t>
  </si>
  <si>
    <t>CAUCE</t>
  </si>
  <si>
    <t>SUBESTRUCTURA</t>
  </si>
  <si>
    <t>ACCESOS</t>
  </si>
  <si>
    <t>ELEMENTO</t>
  </si>
  <si>
    <t>MACRO</t>
  </si>
  <si>
    <t>verificaciones</t>
  </si>
  <si>
    <t>GUIA PARA LA INSPECCION, EVALUACION Y MANTENIMIENTO DE PUENTES</t>
  </si>
  <si>
    <t xml:space="preserve"> </t>
  </si>
  <si>
    <t>METODOLOGÍA PARA EVALUACION DE PUENTES</t>
  </si>
  <si>
    <t>CONDICION ESTADISTICA DE LOS ELEMENTOS Y DEL PUENTE</t>
  </si>
  <si>
    <t>Algoritmos para el análisis.</t>
  </si>
  <si>
    <t>En esta sección se describe los principales criterios empleados para las opciones de análisis. Los criterios y metodologías, se utilizan al escribir los códigos.</t>
  </si>
  <si>
    <t xml:space="preserve">1 - Concepto de condición estadística </t>
  </si>
  <si>
    <t xml:space="preserve">Está sección del presente Manual contiene una explicación y fundamentación ampliada respecto a los procedimientos de cálculo para encontrar un numero que califique la condición, sea de un elemento como del puente. </t>
  </si>
  <si>
    <r>
      <t xml:space="preserve">Se introduce el concepto de </t>
    </r>
    <r>
      <rPr>
        <i/>
        <sz val="11"/>
        <color rgb="FF0000FF"/>
        <rFont val="Arial"/>
        <family val="2"/>
      </rPr>
      <t>condición estadística</t>
    </r>
    <r>
      <rPr>
        <sz val="11"/>
        <color rgb="FF000000"/>
        <rFont val="Arial"/>
        <family val="2"/>
      </rPr>
      <t xml:space="preserve">, como aquel numero que califique la situación del puente y de cada uno de sus elementos. Este valor se deduce de la </t>
    </r>
    <r>
      <rPr>
        <i/>
        <sz val="11"/>
        <color rgb="FF0000FF"/>
        <rFont val="Arial"/>
        <family val="2"/>
      </rPr>
      <t>condición en campo</t>
    </r>
    <r>
      <rPr>
        <sz val="11"/>
        <color rgb="FF000000"/>
        <rFont val="Arial"/>
        <family val="2"/>
      </rPr>
      <t xml:space="preserve">, que corresponde a varios números, expresados en la forma de porcentajes de la situación del elemento en la escala de 0 a 5. </t>
    </r>
  </si>
  <si>
    <r>
      <t xml:space="preserve">En la </t>
    </r>
    <r>
      <rPr>
        <i/>
        <sz val="11"/>
        <color rgb="FF0000FF"/>
        <rFont val="Arial"/>
        <family val="2"/>
      </rPr>
      <t>condición en campo</t>
    </r>
    <r>
      <rPr>
        <sz val="11"/>
        <color rgb="FF000000"/>
        <rFont val="Arial"/>
        <family val="2"/>
      </rPr>
      <t xml:space="preserve">, la situación del elemento está definida por porcentajes, uno para cada escala. Está condición, está relacionada directamente con las necesidades de reparación o sustitución del elemento. </t>
    </r>
  </si>
  <si>
    <r>
      <t xml:space="preserve">La </t>
    </r>
    <r>
      <rPr>
        <i/>
        <sz val="11"/>
        <color rgb="FF0000FF"/>
        <rFont val="Arial"/>
        <family val="2"/>
      </rPr>
      <t>condición estadística</t>
    </r>
    <r>
      <rPr>
        <sz val="11"/>
        <color rgb="FF000000"/>
        <rFont val="Arial"/>
        <family val="2"/>
      </rPr>
      <t xml:space="preserve">, corresponde a un solo número que calificaría situación integral del elemento. Es utilizada para el cálculo de la condición del puente, y de ahí para la priorización. Obsérvese que puede darse el caso de varias condiciones de campo que conduzcan a un mismo valor de condición estadística. </t>
    </r>
  </si>
  <si>
    <t>En esta sección se describen los criterios y metodologías empleados para las opciones de análisis.</t>
  </si>
  <si>
    <t>2 - Condición estadística de un elemento</t>
  </si>
  <si>
    <r>
      <t xml:space="preserve">Como se menciono, se introduce el concepto de </t>
    </r>
    <r>
      <rPr>
        <i/>
        <sz val="11"/>
        <color rgb="FF0000FF"/>
        <rFont val="Arial"/>
        <family val="2"/>
      </rPr>
      <t>condición estadística</t>
    </r>
    <r>
      <rPr>
        <sz val="11"/>
        <color rgb="FF000000"/>
        <rFont val="Arial"/>
        <family val="2"/>
      </rPr>
      <t xml:space="preserve"> que simplifica en un número, la información de la condición del elemento proveniente, del trabajo de campo. </t>
    </r>
  </si>
  <si>
    <t xml:space="preserve">La condición del elemento evaluada en campo, se expresa, según se ilustra en la Tabla 1, para un puente hipotético, como porcentajes para cada nivel de condición, desde 0 (muy bueno), hasta 5 (muy pobre). Así, el elemento 101, tiene el 10% en calidad satisfactoria, el 40% como bueno y el 50% como muy bueno. </t>
  </si>
  <si>
    <t>Tabla 1</t>
  </si>
  <si>
    <t>Ejemplo para la condición de cuatro elementos de un puente, según evaluación de campo.</t>
  </si>
  <si>
    <t>Porcentajes de la condición para cada elemento</t>
  </si>
  <si>
    <t>Nivel de la condición</t>
  </si>
  <si>
    <t>La intención es expresar está situación dispersa, en un solo número que represente la condición global de cada elemento. EI procedimiento adoptado por el SCAP, es como sigue:</t>
  </si>
  <si>
    <t>UNIDAD GERENCIAL DE CONSERVACION</t>
  </si>
  <si>
    <t>AREA DE CONSERVACION DE PUENTES</t>
  </si>
  <si>
    <r>
      <t xml:space="preserve">EI </t>
    </r>
    <r>
      <rPr>
        <i/>
        <sz val="11"/>
        <color rgb="FF0000FF"/>
        <rFont val="Arial"/>
        <family val="2"/>
      </rPr>
      <t>primer paso</t>
    </r>
    <r>
      <rPr>
        <sz val="11"/>
        <color rgb="FF000000"/>
        <rFont val="Arial"/>
        <family val="2"/>
      </rPr>
      <t xml:space="preserve"> corresponde a ajustar la distribución de porcentajes, a condiciones umbral. Este ajuste se basa en la percepción, de que si un porcentaje significativo de un elemento está en un nivel dado de condición, entonces el elemento debiera ser evaluado como si totalmente estuviera en esa condición. EI proceso de ajuste corresponde a dividir el porcentaje de distribución de campo por aquel del umbral, y multiplicar el resultado por 100.</t>
    </r>
  </si>
  <si>
    <t xml:space="preserve">Adoptamos un umbral del 3% para el nivel de condición 5, y 25% para los otros estados. Esto significa, por ejemplo, que basta que el 3% del elemento este en la condición 5 (muy pobre), para considerar está situación como la del total del elemento. </t>
  </si>
  <si>
    <t xml:space="preserve">Igualmente, si el 25% del elemento está en la condición 4 (pobre), está será la condición del elemento. </t>
  </si>
  <si>
    <t xml:space="preserve">El resultado del primer paso para el ejemplo, se muestra en la siguiente Tabla 2. </t>
  </si>
  <si>
    <t>Tabla 2</t>
  </si>
  <si>
    <t xml:space="preserve">Ajustes según porcentaje de umbral (%campo * 100 / %umbral) </t>
  </si>
  <si>
    <t>Porcentajes ajustados de la condición para cada elemento</t>
  </si>
  <si>
    <r>
      <t xml:space="preserve">En el </t>
    </r>
    <r>
      <rPr>
        <i/>
        <sz val="11"/>
        <color rgb="FF0000FF"/>
        <rFont val="Arial"/>
        <family val="2"/>
      </rPr>
      <t>segundo paso</t>
    </r>
    <r>
      <rPr>
        <sz val="11"/>
        <color rgb="FF000000"/>
        <rFont val="Arial"/>
        <family val="2"/>
      </rPr>
      <t xml:space="preserve">, se acumulan los porcentajes ajustados, desde la condición más pobre a aquella muy buena. La suma se detiene al sobrepasar 100%. </t>
    </r>
  </si>
  <si>
    <t xml:space="preserve">Es importante considerar que el proceso debe efectuarse desde la condición más desfavorable, desde la 5 a la 0. Se establece un criterio conservador al cálculo de la condición estadística del elemento. </t>
  </si>
  <si>
    <t xml:space="preserve">EI resultado se presenta en la Tabla 3. </t>
  </si>
  <si>
    <t>Tabla 3</t>
  </si>
  <si>
    <t>Suma por elemento comenzando por la condición 5 hasta que la suma exceda de 100%</t>
  </si>
  <si>
    <t>Suma de porcentajes ajustados de la condición para cada elemento</t>
  </si>
  <si>
    <r>
      <t xml:space="preserve">Como </t>
    </r>
    <r>
      <rPr>
        <i/>
        <sz val="11"/>
        <color rgb="FF0000FF"/>
        <rFont val="Arial"/>
        <family val="2"/>
      </rPr>
      <t>tercer paso</t>
    </r>
    <r>
      <rPr>
        <sz val="11"/>
        <color rgb="FF000000"/>
        <rFont val="Arial"/>
        <family val="2"/>
      </rPr>
      <t xml:space="preserve">, los porcentajes son reajustados nuevamente, tal que la suma sea igual a 100, que corresponde al total del elemento. EI resultado se muestra en la Tabla 4. Se obtiene así, la </t>
    </r>
    <r>
      <rPr>
        <i/>
        <sz val="11"/>
        <color rgb="FF0000FF"/>
        <rFont val="Arial"/>
        <family val="2"/>
      </rPr>
      <t>condición de umbral</t>
    </r>
    <r>
      <rPr>
        <sz val="11"/>
        <color rgb="FF000000"/>
        <rFont val="Arial"/>
        <family val="2"/>
      </rPr>
      <t xml:space="preserve">. </t>
    </r>
  </si>
  <si>
    <t>Tabla 4</t>
  </si>
  <si>
    <t>Reajuste de valores hasta sumar 100% desde la condicón más desfavorable</t>
  </si>
  <si>
    <t>Porcentajes , según ajuste final, de la condición para cada elemento</t>
  </si>
  <si>
    <r>
      <t xml:space="preserve">Para el </t>
    </r>
    <r>
      <rPr>
        <i/>
        <sz val="11"/>
        <color rgb="FF0000FF"/>
        <rFont val="Arial"/>
        <family val="2"/>
      </rPr>
      <t>último paso</t>
    </r>
    <r>
      <rPr>
        <sz val="11"/>
        <color rgb="FF000000"/>
        <rFont val="Arial"/>
        <family val="2"/>
      </rPr>
      <t xml:space="preserve">, se requiere reducir está condición de umbral a un solo numero que constituirá precisamente la </t>
    </r>
    <r>
      <rPr>
        <i/>
        <sz val="11"/>
        <color rgb="FF0000FF"/>
        <rFont val="Arial"/>
        <family val="2"/>
      </rPr>
      <t>condición estadística</t>
    </r>
    <r>
      <rPr>
        <sz val="11"/>
        <color rgb="FF000000"/>
        <rFont val="Arial"/>
        <family val="2"/>
      </rPr>
      <t xml:space="preserve"> del elemento. Se adopta un criterio para la obtención de un promedio pesado por elemento. A fin de darle mayor participación o peso a los valores más desfavorables, se está usando el denominado quinto momento en estadística. Se obtiene de la siguiente manera: </t>
    </r>
  </si>
  <si>
    <t>•</t>
  </si>
  <si>
    <t xml:space="preserve">Los productos del nivel de condición de umbral (elevado a la quinta) por el porcentaje ajustado (entre 100). </t>
  </si>
  <si>
    <t xml:space="preserve">La suma de estos productos. </t>
  </si>
  <si>
    <t xml:space="preserve">La raíz quinta de esta suma. </t>
  </si>
  <si>
    <t xml:space="preserve">EI procedimiento se ilustra en la Tabla 5. </t>
  </si>
  <si>
    <t>Tabla 5</t>
  </si>
  <si>
    <t>Condición estadística de cada elemento, utilizando el quinto momento</t>
  </si>
  <si>
    <t>Valor a nivel de condición a la quinta por el porcentaje reajustado</t>
  </si>
  <si>
    <t>Condición estadística</t>
  </si>
  <si>
    <t xml:space="preserve">EI resultado final es la condición estadística por elemento. Para efectos comparativos, considérese el elemento 101 del ejemplo: </t>
  </si>
  <si>
    <t xml:space="preserve">En la condición de campo, la calificación era la siguiente: 10% en la condición 2, el 40% en la condición 1, y el 50% en la condición 0. </t>
  </si>
  <si>
    <t xml:space="preserve">En la condición estadística, la calificación es de 1.68 (intermedia entre las condiciones 1 y 2). Esto muestra el carácter adecuadamente conservador del procedimiento. </t>
  </si>
  <si>
    <t xml:space="preserve">3 - Condición estadística del puente </t>
  </si>
  <si>
    <t xml:space="preserve">A partir del cálculo de la condición estadística de los elementos, será posible calcular la condición estadística para el puente. </t>
  </si>
  <si>
    <t xml:space="preserve">EI método que se está utilizando es el siguiente: </t>
  </si>
  <si>
    <t xml:space="preserve">Se determina el número de elementos del puente (N) </t>
  </si>
  <si>
    <t xml:space="preserve">Se determina el factor de importancia que el elemento tiene en relación con el puente. </t>
  </si>
  <si>
    <t xml:space="preserve">Se multiplica la condición estadística de cada elemento, por su correspondiente factor de importancia. Este producto es denominado contribución del elemento al puente. </t>
  </si>
  <si>
    <t xml:space="preserve">Se identifica el mayor valor entre la contribución de los elementos. Se tiene la mayor contribución. </t>
  </si>
  <si>
    <t xml:space="preserve">La contribución remanente se obtiene como la suma de la contribución de los otros elementos. </t>
  </si>
  <si>
    <t xml:space="preserve">La fracción de la contribución remanente, se obtiene como la contribución remanente, dividida entre el producto de la mayor contribución por el número de elementos menos 1. </t>
  </si>
  <si>
    <t xml:space="preserve">La condición estadística del puente, se obtiene como la suma de la mayor contribución y la fracción de la contribución remanente. </t>
  </si>
  <si>
    <t>Tabla 6</t>
  </si>
  <si>
    <t>Condición Estadística del Puente</t>
  </si>
  <si>
    <t>Condición estadística del elemento</t>
  </si>
  <si>
    <t>Factor de importancia del elemento</t>
  </si>
  <si>
    <t>Contribución del elemento al puente</t>
  </si>
  <si>
    <t>Condición estadística del puente</t>
  </si>
  <si>
    <t>Numero de elementos</t>
  </si>
  <si>
    <t>Mayor</t>
  </si>
  <si>
    <t>Sumatoria</t>
  </si>
  <si>
    <t>Suma-mayor</t>
  </si>
  <si>
    <t xml:space="preserve">EI procedimiento se ilustra con un ejemplo en la Tabla 6. Aquí, el elemento 201 es el de mayor contribución. Tiene una condición estadística de 3.87. La resultante para el puente es de 4.25. </t>
  </si>
  <si>
    <t xml:space="preserve">Según el procedimiento, se reconoce como predominante al elemento con la mayor contribución. A está mayor contribución, se agrega una proporción de la contribución de los otros elementos. </t>
  </si>
  <si>
    <t xml:space="preserve">EI factor de importancia, que se emplea en el procedimiento, corresponde a un numero entre 0 y 1. De esta suerte, todo elemento esencial, tendrá un factor de importancia igual a 1. Para un factor de importancia de 0.6, la máxima contribución estará dada por el valor 0.6*5 = 3. </t>
  </si>
  <si>
    <t>4 - Factor de Importancia en elementos conformates de puentes</t>
  </si>
  <si>
    <t>Relación de elementos conforme la metodología SCAP, incluida en el anexo 4 de la Guia de Inspección, Evaluación y Mantenimiento  de Puentes elaboradas por el Área de Conservación de Puentes de la Unidad Gerencial de Conservacion de PVN.</t>
  </si>
  <si>
    <t>Elemento Nº 101 :</t>
  </si>
  <si>
    <t>Elemento Nº 104 :</t>
  </si>
  <si>
    <t>Elemento Nº 102 :</t>
  </si>
  <si>
    <t>Elemento Nº 105 :</t>
  </si>
  <si>
    <t>Elemento Nº 103:</t>
  </si>
  <si>
    <t>Elemento Nº 106:</t>
  </si>
  <si>
    <t>Elemento Nº 107 :</t>
  </si>
  <si>
    <t>Elemento Nº 110:</t>
  </si>
  <si>
    <t>Elemento Nº 111:</t>
  </si>
  <si>
    <t>Elemento Nº 112 :</t>
  </si>
  <si>
    <t>Elemento Nº 113:</t>
  </si>
  <si>
    <t>Elemento Nº 114:</t>
  </si>
  <si>
    <t>Elemento Nº 115:</t>
  </si>
  <si>
    <t xml:space="preserve">Elemento Nº  161: </t>
  </si>
  <si>
    <t>Elemento Nº 116 :</t>
  </si>
  <si>
    <t>Elemento Nº 117:</t>
  </si>
  <si>
    <t>Elemento Nº 131 :</t>
  </si>
  <si>
    <t>Elemento Nº 132 :</t>
  </si>
  <si>
    <t>Elemento Nº  133 :</t>
  </si>
  <si>
    <t>Elemento Nº 134 :</t>
  </si>
  <si>
    <t>Elemento Nº 135 :</t>
  </si>
  <si>
    <t>Elemento Nº 136 :</t>
  </si>
  <si>
    <t>Elemento Nº 145 :</t>
  </si>
  <si>
    <t>Elemento Nº 146 :</t>
  </si>
  <si>
    <t>Elemento Nº 160:</t>
  </si>
  <si>
    <t>Elemento Nº 168 :</t>
  </si>
  <si>
    <t>Elemento Nº 180:</t>
  </si>
  <si>
    <t>Elemento Nº 181:</t>
  </si>
  <si>
    <t>Elemento Nº 182 :</t>
  </si>
  <si>
    <t>Elemento Nº 183:</t>
  </si>
  <si>
    <t>Elemento Nº 184:</t>
  </si>
  <si>
    <t>Elemento Nº 185:</t>
  </si>
  <si>
    <t>Elemento Nº 186:</t>
  </si>
  <si>
    <t>Elemento Nº 190 :</t>
  </si>
  <si>
    <t>Elemento Nº 191 :</t>
  </si>
  <si>
    <t>Elemento Nº 192 :</t>
  </si>
  <si>
    <t>Elemento Nº 193 :</t>
  </si>
  <si>
    <t>Elemento Nº 196:</t>
  </si>
  <si>
    <t>Elemento Nº 201 :</t>
  </si>
  <si>
    <t>Elemento Nº 204 :</t>
  </si>
  <si>
    <t>Elemento Nº 240 :</t>
  </si>
  <si>
    <t xml:space="preserve">Elemento Nº 202: </t>
  </si>
  <si>
    <t>Elemento Nº 205:</t>
  </si>
  <si>
    <t xml:space="preserve">Elemento Nº 241: </t>
  </si>
  <si>
    <t>Elemento Nº 203 :</t>
  </si>
  <si>
    <t>Elemento Nº 206 :</t>
  </si>
  <si>
    <t xml:space="preserve">Elemento Nº 207 : </t>
  </si>
  <si>
    <t xml:space="preserve">Elemento Nº 208: </t>
  </si>
  <si>
    <t>Elemento Nº 215:</t>
  </si>
  <si>
    <t>Elemento Nº 216:</t>
  </si>
  <si>
    <t>Elemento Nº 217 :</t>
  </si>
  <si>
    <t>Elemento Nº 220 :</t>
  </si>
  <si>
    <t>Elemento Nº 221 :</t>
  </si>
  <si>
    <t>Elemento Nº 230:</t>
  </si>
  <si>
    <t>Elemento Nº 231:</t>
  </si>
  <si>
    <t>Elemento Nº 232:</t>
  </si>
  <si>
    <t>Elemento Nº 242 :</t>
  </si>
  <si>
    <t>Elemento Nº 301 :</t>
  </si>
  <si>
    <t>Elemento Nº 302 :</t>
  </si>
  <si>
    <t>Elemento Nº 303 :</t>
  </si>
  <si>
    <t>Elemento Nº 311 :</t>
  </si>
  <si>
    <t>Elemento Nº 313:</t>
  </si>
  <si>
    <t>Elemento Nº 321 :</t>
  </si>
  <si>
    <t>Elemento Nº 322 :</t>
  </si>
  <si>
    <t>Elemento Nº 323 :</t>
  </si>
  <si>
    <t>Elemento Nº 325 :</t>
  </si>
  <si>
    <t>Elemento Nº 326 :</t>
  </si>
  <si>
    <t>Elemento Nº 324 :</t>
  </si>
  <si>
    <t>Elemento Nº 327 :</t>
  </si>
  <si>
    <t>Elemento Nº 328:</t>
  </si>
  <si>
    <t>Elemento Nº 329:</t>
  </si>
  <si>
    <t>Elemento Nº 341 :</t>
  </si>
  <si>
    <t>Elemento Nº 342 :</t>
  </si>
  <si>
    <t xml:space="preserve">Elemento Nº 343 : </t>
  </si>
  <si>
    <t xml:space="preserve">Elemento Nº 344 : </t>
  </si>
  <si>
    <t>Elemento Nº 351:</t>
  </si>
  <si>
    <t>Elemento Nº  352:</t>
  </si>
  <si>
    <t>Elemento Nº 353 :</t>
  </si>
  <si>
    <t>Elemento Nº 354:</t>
  </si>
  <si>
    <t>Elemento Nº 355:</t>
  </si>
  <si>
    <t>Elemento Nº 401 :</t>
  </si>
  <si>
    <t>Elemento Nº 402 :</t>
  </si>
  <si>
    <t>Elemento Nº 406 :</t>
  </si>
  <si>
    <t xml:space="preserve">Elemento Nº 410 : </t>
  </si>
  <si>
    <t xml:space="preserve">Elemento Nº 411: </t>
  </si>
  <si>
    <t>Elemento Nº 412:</t>
  </si>
  <si>
    <t>Elemento Nº 413 :</t>
  </si>
  <si>
    <t>Elemento Nº 501 :</t>
  </si>
  <si>
    <t>Elemento Nº 503 :</t>
  </si>
  <si>
    <t>Elemento Nº 504:</t>
  </si>
  <si>
    <t>Elemento Nº 505:</t>
  </si>
  <si>
    <t>Elemento Nº 506 :</t>
  </si>
  <si>
    <t>Elemento Nº 526:</t>
  </si>
  <si>
    <t>Sin Informacion</t>
  </si>
  <si>
    <t>Pilar 3, 4 y 5</t>
  </si>
  <si>
    <t>UBICACIÓN GENERAL DEL PUENTE</t>
  </si>
  <si>
    <t xml:space="preserve">Distrito: </t>
  </si>
  <si>
    <t>Provincia:</t>
  </si>
  <si>
    <t>Departamento Político:</t>
  </si>
  <si>
    <t>Departamento Vial:</t>
  </si>
  <si>
    <t>Tipo de Ruta:</t>
  </si>
  <si>
    <t>Tramo:</t>
  </si>
  <si>
    <t>Puente:</t>
  </si>
  <si>
    <t>DESCRIPCION DE LA SUPERESTRUCTURA</t>
  </si>
  <si>
    <t>N° de vanos:</t>
  </si>
  <si>
    <t>Condición de borde:</t>
  </si>
  <si>
    <t>Calzada:</t>
  </si>
  <si>
    <t>N° Vías:</t>
  </si>
  <si>
    <t>Sobre Carga Diseño:</t>
  </si>
  <si>
    <t>Espesor de Losa:</t>
  </si>
  <si>
    <t>Eje de Viga(s)</t>
  </si>
  <si>
    <t>Altura de Viga(s)</t>
  </si>
  <si>
    <t>N° Vigas</t>
  </si>
  <si>
    <t>DESCRIPCCION DE LA INFRAESTRUCTURA</t>
  </si>
  <si>
    <t>Estribos:</t>
  </si>
  <si>
    <t>Pilares:</t>
  </si>
  <si>
    <t>F.2 PANEL FOTOGRAFICO</t>
  </si>
  <si>
    <t>-</t>
  </si>
  <si>
    <t>Tramo</t>
  </si>
  <si>
    <t>NOMBRE :</t>
  </si>
  <si>
    <t>PROGRESIVA :</t>
  </si>
  <si>
    <t>Sin informacion</t>
  </si>
  <si>
    <t>EJE</t>
  </si>
  <si>
    <t>FICHA SCAP</t>
  </si>
  <si>
    <r>
      <t xml:space="preserve">SECCION (G): </t>
    </r>
    <r>
      <rPr>
        <sz val="12"/>
        <color indexed="8"/>
        <rFont val="Arial Narrow"/>
        <family val="2"/>
      </rPr>
      <t>RESUMEN DE LA CONDICION DEL PUENTE Y RECOMENDACIONES</t>
    </r>
  </si>
  <si>
    <t>G.2 :  OBSERVACIONES Y RECOMENDACIONES</t>
  </si>
  <si>
    <t>NOMBRE</t>
  </si>
  <si>
    <t>RECOMENDACIONES</t>
  </si>
  <si>
    <t>ACCIONES NORMATIVAS :</t>
  </si>
  <si>
    <t>ACCIONES PREVENTIVAS :</t>
  </si>
  <si>
    <t>ACCIONES EJECUTIVAS :</t>
  </si>
  <si>
    <t xml:space="preserve">FECHA INSPECCION :  </t>
  </si>
  <si>
    <t xml:space="preserve">INSPECTOR : </t>
  </si>
  <si>
    <t>FIRMA</t>
  </si>
  <si>
    <t>Aguas Arriba</t>
  </si>
  <si>
    <t>Aguas Abajo</t>
  </si>
  <si>
    <t>eje</t>
  </si>
  <si>
    <t>NUMERO DE FOTOS</t>
  </si>
  <si>
    <t>Importar de forma manual?</t>
  </si>
  <si>
    <t>SI</t>
  </si>
  <si>
    <t>NO</t>
  </si>
  <si>
    <t>Se observa eflorescencia y rastros de humedad en las salidas de las tuberías de drenaje, lo que indica posibles filtraciones o deficiencias en el sistema de evacuación de aguas.</t>
  </si>
  <si>
    <t>Se identifican fisuras diagonales en la viga aguas abajo, cerca del estribo derecho. Además, el concreto presenta decoloración y acumulación de polvo en la superficie.</t>
  </si>
  <si>
    <t>Se detectan fisuras verticales en la viga diafragma cercana al estribo derecho. Asimismo, se observa decoloración del concreto y polvo adherido en la superficie.</t>
  </si>
  <si>
    <t>Se observa decoloración del concreto y acumulación de polvo en la superficie. Además, se presentan rastros de eflorescencia, principalmente en el ala aguas arriba del estribo izquierdo.</t>
  </si>
  <si>
    <t>Se ha acumulado material de relleno a lo largo de la superficie de rodadura, llegando hasta el borde superior de la vereda. Esto ha generado encharcamiento de agua en la superficie de rodadura, además de obstrucción parcial y total en el ingreso del sistema de drenaje.</t>
  </si>
  <si>
    <t>Las veredas están parcial y totalmente cubiertas por el material de relleno. En la zona aguas arriba, parte de la vereda se encuentra fracturada. Adicionalmente, se observan fisuras por retracción del concreto.</t>
  </si>
  <si>
    <t>Los elementos metálicos que conforman la baranda (postes y pasamanos) presentan polvo adherido en la superficie, pérdida parcial de pintura y signos de oxidación superficial.</t>
  </si>
  <si>
    <t>Los ingresos de las tuberías de drenaje se encuentran parcial o totalmente obstruidos por el material de relleno acumulado en las márgenes de la vía. Además, las salidas de los tubos de PVC están al ras del fondo de la losa, lo que ha generado eflorescencia y humedad en el área circundante.</t>
  </si>
  <si>
    <t>En su mayoría, las márgenes están bien definidas, ya que el terreno es rocoso. Sin embargo, en la margen izquierda aguas abajo se encuentra material de relleno del talud de la carretera, el cual es altamente erosionable.</t>
  </si>
  <si>
    <t>Se presenta un caudal torrentoso que transporta material de gran tamaño, lo que podría generar cambios en la estabilidad del cauce en eventos de alta precipitación.</t>
  </si>
  <si>
    <t>Solo se cuenta con un cartel informativo en el acceso izquierdo, indicando el nombre, la longitud y la capacidad máxima del puente. No se dispone de señalización preventiva, reglamentaria ni horizontal.</t>
  </si>
  <si>
    <t>En el acceso izquierdo se ha acumulado una gran cantidad de material de relleno, lo que dificulta la transitabilidad. Además, se observan cárcavas que afectan la estabilidad del acceso.</t>
  </si>
  <si>
    <t>Debido al alineamiento curvo en los accesos, la visibilidad desde el puente es regular, lo que podría representar un riesgo para la circulación vehicular.</t>
  </si>
  <si>
    <t>Se recomienda que se cumpla con las especificaciones técnicas de los materiales y el procedimiento adecuado de las actividades de conservación rutinaria y periodica.                                                                                Al concluir el periodo de intervención se recomienda programar periódicamente el mantenimiento de los puentes.</t>
  </si>
  <si>
    <t>1978 m</t>
  </si>
  <si>
    <t>C Este (19K)</t>
  </si>
  <si>
    <t>C Norte (19K)</t>
  </si>
  <si>
    <t>MO-100</t>
  </si>
  <si>
    <t>Moquegua</t>
  </si>
  <si>
    <t>Gral. Sanchez Cerro</t>
  </si>
  <si>
    <t>Matalaque</t>
  </si>
  <si>
    <t>PUENTE AGUA BLANCA</t>
  </si>
  <si>
    <t>ACCESO IZQUIERDO: Debido al alineamiento curvo la visibilidad desde el puente es regular, lo que podría representar un riesgo para la circulación vehicular.</t>
  </si>
  <si>
    <t>AFIRMADO ACCESO IZQUIERDO: En el acceso izquierdo se ha acumulado una gran cantidad de material de relleno, lo que dificulta la transitabilidad. Además, se observan cárcavas que afectan la estabilidad del acceso.</t>
  </si>
  <si>
    <t>SUPERFICIE DE RODARURA: Se ha acumulado material de relleno a lo largo de la superficie de rodadura, llegando hasta el borde superior de la vereda. Esto ha generado encharcamiento de agua en la superficie de rodadura, además de obstrucción parcial y total en el ingreso del sistema de drenaje.</t>
  </si>
  <si>
    <t>AGUAS ARRIBA: Márgenes están bien definidas, ya que el terreno es rocoso. Se presenta un caudal torrentoso que transporta material de gran tamaño, lo que podría generar cambios en la estabilidad del cauce en eventos de alta precipitación.</t>
  </si>
  <si>
    <t>AGUAS ABAJO: Margen izquierda aguas abajo se encuentra material de relleno del talud de la carretera, el cual es altamente erosionable. Se presenta un caudal torrentoso que transporta material de gran tamaño, lo que podría generar cambios en la estabilidad del cauce en eventos de alta precipitación.</t>
  </si>
  <si>
    <t>ALA IZQUIERDA AGUAS ARRIBA: Se observa decoloración del concreto y acumulación de polvo en la superficie. Además, se presentan rastros de eflorescencia.</t>
  </si>
  <si>
    <t>ALA DERECHA AGUAS ARRIBA: Se observa decoloración del concreto y acumulación de polvo en la superficie. Además, se presentan rastros de eflorescencia.</t>
  </si>
  <si>
    <t>ALA IZQUIERDA AGUAS ABAJO: Se observa decoloración del concreto y acumulación de polvo en la superficie. Además, se presentan rastros de eflorescencia.</t>
  </si>
  <si>
    <t>ALA DERECHA AGUAS ABAJO: Se observa decoloración del concreto y acumulación de polvo en la superficie. Además, se presentan rastros de eflorescencia.</t>
  </si>
  <si>
    <t>Se observa decoloración del concreto y acumulación de polvo en la superficie. Se evidencian fisuras verticales en la pantalla del estribo derecho.</t>
  </si>
  <si>
    <t>PANTALLA DE ESTRIBO IZQUIERDO: Se observa decoloración del concreto y acumulación de polvo en la superficie.</t>
  </si>
  <si>
    <t>VIGA LONGITUDINAL AGUAS ARRIBA: Presenta decoloración y acumulación de polvo en la superficie.</t>
  </si>
  <si>
    <t>VIGA LONGITUDINAL AGUAS ABAJO: Se identifican fisuras diagonales en la viga aguas abajo, cerca del estribo derecho. Además, el concreto presenta decoloración y acumulación de polvo en la superficie.</t>
  </si>
  <si>
    <t>VIGAS TRANSVERSALES: Se detectan fisuras verticales en la viga diafragma cercana al estribo derecho. Asimismo, se observa decoloración del concreto y polvo adherido en la superficie.</t>
  </si>
  <si>
    <t>LOSA - CARA INFERIOR: Se observa eflorescencia y rastros de humedad en las salidas de las tuberías de drenaje, lo que indica posibles filtraciones o deficiencias en el sistema de evacuación de aguas.</t>
  </si>
  <si>
    <t>VEREDA AGUAS ARRIBA: Se encuentra parcial y totalmente cubiertas por el material de relleno. Adicionalmente, se observan fisuras por retracción del concreto.</t>
  </si>
  <si>
    <t>BARANDA AGUAS ARRIBA: Los elementos metálicos que conforman la baranda (postes y pasamanos) presentan polvo adherido en la superficie, pérdida parcial de pintura y signos de oxidación superficial.</t>
  </si>
  <si>
    <t>TRAMO DE BARANDA AGUAS ARRIBA: Se observa oxido superficial y desprendimiento de pintura.</t>
  </si>
  <si>
    <t>BARANDAS AGUAS ABAJO: Los elementos metálicos que conforman la baranda (postes y pasamanos) presentan polvo adherido en la superficie, pérdida parcial de pintura y signos de oxidación superficial.</t>
  </si>
  <si>
    <t>TRAMO DE BARANDA AGUAS ABAJO: Se observa oxido superficial y desprendimiento de pintura.</t>
  </si>
  <si>
    <t>CAUCE AGUAS ARRIBA: En su mayoría, las márgenes están bien definidas, ya que el terreno es rocoso. Se presenta un caudal torrentoso que transporta material de gran tamaño, lo que podría generar cambios en la estabilidad del cauce en eventos de alta precipitación.</t>
  </si>
  <si>
    <t>CAUCE AGUAS ABAJO: Márgenes están bien definidas, ya que el terreno es rocoso. Sin embargo, en la margen izquierda aguas abajo se encuentra material de relleno del talud de la carretera, el cual es altamente erosionable. Se presenta un caudal torrentoso que transporta material de gran tamaño, lo que podría generar cambios en la estabilidad del cauce en eventos de alta precipitación.</t>
  </si>
  <si>
    <t>1.65-2.95m</t>
  </si>
  <si>
    <t>derecha</t>
  </si>
  <si>
    <t>izquierda</t>
  </si>
  <si>
    <t>ACCESO DERECHO: Debido al alineamiento curvo la visibilidad desde el puente es regular, lo que podría representar un riesgo para la circulación vehicular.</t>
  </si>
  <si>
    <t>AFIRMADO ACCESO DERECHO: No se observa daños en el afirmado del acceso derecho.</t>
  </si>
  <si>
    <t>•	Limpieza roce y desbroce.
•	Limpieza de puentes.
•	Reparación de deterioros superficiales en elementos de concreto.
•	Reparación de fisuras y grietas en elementos de concreto.
•	Conservación de barandas.
•	Conservación de pintado de veredas, sardineles y muros de puentes.</t>
  </si>
  <si>
    <t>VEREDA AGUAS ARRIBA - FRACTURA: En la zona aguas arriba cara lateral, parte de la vereda se encuentra fracturada.</t>
  </si>
  <si>
    <t>TUBERIA DE DRENAJE AGUAS ARRIBA-ABAJO: Las salidas de los tubos de PVC están al ras del fondo de la losa, lo que ha generado eflorescencia y humedad en el área circundante.</t>
  </si>
  <si>
    <t>TUBERIA DE DRENAJE AGUAS ARRIBA-ABAJO: Los ingresos de las tuberías de drenaje se encuentran parcial o totalmente obstruidos por el material de relleno acumulado en las márgenes de la vía.</t>
  </si>
  <si>
    <t>VEREDA AGUAS ABAJO: Se encuentra parcial y totalmente cubiertas por el material de relleno. Adicionalmente, se observan fisuras por retracción del concreto.</t>
  </si>
  <si>
    <t>PANTALLA DE ESTRIBO DERECHO: Se observa decoloración del concreto y acumulación de polvo en la superficie. Se evidencian fisuras verticales en la pantalla del estribo.</t>
  </si>
  <si>
    <t xml:space="preserve">FISURA EN VIGA TRANSVERSAL: Se detectan fisuras verticales en la viga diafragma cercana al estribo derecho. </t>
  </si>
  <si>
    <t>FISURA PANTALLA DE ESTRIBO DERECHO:  Se observa fisuras verticales en la pantalla del estribo.</t>
  </si>
  <si>
    <t>SEÑAL INFORMATIVA DEL ACCESO IZQUIERDO: Solo se cuenta con un cartel informativo en el acceso izquierdo, indicando el nombre, la longitud y la capacidad máxima del puente. Los postes con picaduras de oxido.</t>
  </si>
  <si>
    <t xml:space="preserve">•	Limpieza de superficies de puente de concreto.
•	Tratamiento con pintura cementicia con aditivo antibacterial.
•	Pintado de elementos de puentes de concreto.
•	Ampliación y/o reemplazo de drenajes.                                                                              </t>
  </si>
  <si>
    <t>20 ton</t>
  </si>
  <si>
    <t>Si tiene</t>
  </si>
  <si>
    <t>FONDO DE LOSA - MOHO: Se observa moho en la cara inferior de la losa.</t>
  </si>
  <si>
    <t xml:space="preserve">No Aplica </t>
  </si>
  <si>
    <t>MO-100.002A</t>
  </si>
  <si>
    <t>Tambo</t>
  </si>
  <si>
    <t>M.Sc. Ing. Nelson Pareja</t>
  </si>
  <si>
    <t>Enero - Abril</t>
  </si>
  <si>
    <t>Mayo - Diciembre</t>
  </si>
  <si>
    <t>140 años</t>
  </si>
  <si>
    <t>Evaluación : Ing. Martín Pichón</t>
  </si>
  <si>
    <t>Ing. Martín Pichón.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</si>
</sst>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_(* \(#,##0.00\);_(* &quot;-&quot;??_);_(@_)"/>
    <numFmt numFmtId="165" formatCode="dd/mm/yyyy;@"/>
    <numFmt numFmtId="166" formatCode="0.0"/>
    <numFmt numFmtId="167" formatCode="_-* #,##0.00\ [$€]_-;\-* #,##0.00\ [$€]_-;_-* &quot;-&quot;??\ [$€]_-;_-@_-"/>
    <numFmt numFmtId="168" formatCode="0.000"/>
    <numFmt numFmtId="169" formatCode="#\+###"/>
    <numFmt numFmtId="170" formatCode="0.00&quot;m&quot;"/>
    <numFmt numFmtId="171" formatCode="0.00&quot;msnm&quot;"/>
    <numFmt numFmtId="172" formatCode="&quot;(&quot;0&quot;)&quot;"/>
    <numFmt numFmtId="173" formatCode="0&quot; veh/dia&quot;"/>
    <numFmt numFmtId="174" formatCode="0.00&quot;Km&quot;"/>
    <numFmt numFmtId="175" formatCode="0&quot;meses&quot;"/>
    <numFmt numFmtId="176" formatCode="0&quot;años&quot;"/>
    <numFmt numFmtId="177" formatCode="#000&quot;.jpg&quot;"/>
    <numFmt numFmtId="178" formatCode="&quot;Km&quot;\ 0\+###"/>
    <numFmt numFmtId="179" formatCode="0.00\ &quot;m&quot;"/>
  </numFmts>
  <fonts count="80" x14ac:knownFonts="1">
    <font>
      <sz val="11"/>
      <color theme="1"/>
      <name val="Calibri"/>
      <family val="2"/>
      <scheme val="minor"/>
    </font>
    <font>
      <sz val="11"/>
      <color indexed="8"/>
      <name val="Arial Narrow"/>
      <family val="2"/>
    </font>
    <font>
      <b/>
      <sz val="11"/>
      <color indexed="8"/>
      <name val="Arial Narrow"/>
      <family val="2"/>
    </font>
    <font>
      <sz val="11"/>
      <name val="Arial Narrow"/>
      <family val="2"/>
    </font>
    <font>
      <sz val="11"/>
      <color indexed="9"/>
      <name val="Arial Narrow"/>
      <family val="2"/>
    </font>
    <font>
      <b/>
      <sz val="11"/>
      <color indexed="9"/>
      <name val="Arial Narrow"/>
      <family val="2"/>
    </font>
    <font>
      <sz val="10"/>
      <name val="Arial"/>
      <family val="2"/>
    </font>
    <font>
      <b/>
      <sz val="14"/>
      <color indexed="10"/>
      <name val="Arial"/>
      <family val="2"/>
    </font>
    <font>
      <sz val="14"/>
      <name val="Arial"/>
      <family val="2"/>
    </font>
    <font>
      <b/>
      <sz val="10"/>
      <color indexed="10"/>
      <name val="Arial"/>
      <family val="2"/>
    </font>
    <font>
      <b/>
      <sz val="14"/>
      <name val="Calibri"/>
      <family val="2"/>
    </font>
    <font>
      <b/>
      <sz val="14"/>
      <color indexed="10"/>
      <name val="Calibri"/>
      <family val="2"/>
    </font>
    <font>
      <b/>
      <sz val="12"/>
      <color indexed="8"/>
      <name val="Calibri"/>
      <family val="2"/>
    </font>
    <font>
      <b/>
      <sz val="11"/>
      <color indexed="8"/>
      <name val="Calibri"/>
      <family val="2"/>
    </font>
    <font>
      <b/>
      <sz val="10"/>
      <name val="Arial"/>
      <family val="2"/>
    </font>
    <font>
      <b/>
      <sz val="11"/>
      <color indexed="60"/>
      <name val="Arial"/>
      <family val="2"/>
    </font>
    <font>
      <b/>
      <sz val="10"/>
      <color indexed="8"/>
      <name val="Arial"/>
      <family val="2"/>
    </font>
    <font>
      <sz val="10"/>
      <color indexed="8"/>
      <name val="Arial"/>
      <family val="2"/>
    </font>
    <font>
      <sz val="7"/>
      <color indexed="8"/>
      <name val="Arial"/>
      <family val="2"/>
    </font>
    <font>
      <sz val="7"/>
      <name val="Arial"/>
      <family val="2"/>
    </font>
    <font>
      <sz val="9"/>
      <color indexed="8"/>
      <name val="Arial"/>
      <family val="2"/>
    </font>
    <font>
      <sz val="10"/>
      <name val="Arial Narrow"/>
      <family val="2"/>
    </font>
    <font>
      <sz val="8"/>
      <name val="Arial"/>
      <family val="2"/>
    </font>
    <font>
      <b/>
      <sz val="7"/>
      <name val="Arial"/>
      <family val="2"/>
    </font>
    <font>
      <sz val="9"/>
      <name val="Arial"/>
      <family val="2"/>
    </font>
    <font>
      <b/>
      <u/>
      <sz val="11"/>
      <name val="Arial"/>
      <family val="2"/>
    </font>
    <font>
      <b/>
      <sz val="12"/>
      <name val="Arial"/>
      <family val="2"/>
    </font>
    <font>
      <u/>
      <sz val="10"/>
      <name val="Arial"/>
      <family val="2"/>
    </font>
    <font>
      <sz val="11"/>
      <name val="Calibri"/>
      <family val="2"/>
    </font>
    <font>
      <sz val="11"/>
      <color theme="1"/>
      <name val="Calibri"/>
      <family val="2"/>
      <scheme val="minor"/>
    </font>
    <font>
      <b/>
      <sz val="11"/>
      <color theme="1"/>
      <name val="Calibri"/>
      <family val="2"/>
      <scheme val="minor"/>
    </font>
    <font>
      <sz val="11"/>
      <color theme="1"/>
      <name val="Arial Narrow"/>
      <family val="2"/>
    </font>
    <font>
      <b/>
      <sz val="11"/>
      <color theme="1"/>
      <name val="Arial Narrow"/>
      <family val="2"/>
    </font>
    <font>
      <sz val="11"/>
      <color theme="3"/>
      <name val="Arial Narrow"/>
      <family val="2"/>
    </font>
    <font>
      <sz val="11"/>
      <color rgb="FFFF0000"/>
      <name val="Arial Narrow"/>
      <family val="2"/>
    </font>
    <font>
      <b/>
      <sz val="11"/>
      <color rgb="FFFF0000"/>
      <name val="Arial Narrow"/>
      <family val="2"/>
    </font>
    <font>
      <b/>
      <sz val="11"/>
      <color rgb="FFFF66FF"/>
      <name val="Arial Narrow"/>
      <family val="2"/>
    </font>
    <font>
      <sz val="11"/>
      <color rgb="FFFF66FF"/>
      <name val="Arial Narrow"/>
      <family val="2"/>
    </font>
    <font>
      <b/>
      <sz val="14"/>
      <color theme="1"/>
      <name val="Calibri"/>
      <family val="2"/>
      <scheme val="minor"/>
    </font>
    <font>
      <sz val="10"/>
      <color theme="3"/>
      <name val="Arial Narrow"/>
      <family val="2"/>
    </font>
    <font>
      <sz val="9"/>
      <color theme="3"/>
      <name val="Arial Narrow"/>
      <family val="2"/>
    </font>
    <font>
      <sz val="14"/>
      <name val="Calibri"/>
      <family val="2"/>
      <scheme val="minor"/>
    </font>
    <font>
      <sz val="10"/>
      <color theme="1"/>
      <name val="Arial Narrow"/>
      <family val="2"/>
    </font>
    <font>
      <b/>
      <sz val="16"/>
      <color theme="1"/>
      <name val="Calibri"/>
      <family val="2"/>
      <scheme val="minor"/>
    </font>
    <font>
      <sz val="12"/>
      <name val="Calibri"/>
      <family val="2"/>
      <scheme val="minor"/>
    </font>
    <font>
      <sz val="14"/>
      <color theme="1"/>
      <name val="Calibri"/>
      <family val="2"/>
      <scheme val="minor"/>
    </font>
    <font>
      <sz val="8"/>
      <color theme="1"/>
      <name val="Calibri"/>
      <family val="2"/>
      <scheme val="minor"/>
    </font>
    <font>
      <sz val="9"/>
      <name val="Calibri"/>
      <family val="2"/>
      <scheme val="minor"/>
    </font>
    <font>
      <sz val="7"/>
      <name val="Calibri"/>
      <family val="2"/>
      <scheme val="minor"/>
    </font>
    <font>
      <sz val="11"/>
      <color theme="0"/>
      <name val="Arial Narrow"/>
      <family val="2"/>
    </font>
    <font>
      <sz val="10"/>
      <color theme="1"/>
      <name val="Calibri"/>
      <family val="2"/>
      <scheme val="minor"/>
    </font>
    <font>
      <b/>
      <i/>
      <sz val="11"/>
      <color theme="1"/>
      <name val="Arial Narrow"/>
      <family val="2"/>
    </font>
    <font>
      <sz val="9"/>
      <color theme="1"/>
      <name val="Arial Narrow"/>
      <family val="2"/>
    </font>
    <font>
      <sz val="8"/>
      <color theme="1"/>
      <name val="Arial Narrow"/>
      <family val="2"/>
    </font>
    <font>
      <b/>
      <sz val="14"/>
      <color theme="1"/>
      <name val="Arial Narrow"/>
      <family val="2"/>
    </font>
    <font>
      <sz val="9"/>
      <color theme="1"/>
      <name val="Calibri"/>
      <family val="2"/>
      <scheme val="minor"/>
    </font>
    <font>
      <sz val="8"/>
      <color rgb="FF000000"/>
      <name val="Tahoma"/>
      <family val="2"/>
    </font>
    <font>
      <sz val="9"/>
      <color indexed="81"/>
      <name val="Tahoma"/>
      <family val="2"/>
    </font>
    <font>
      <b/>
      <sz val="9"/>
      <color indexed="81"/>
      <name val="Tahoma"/>
      <family val="2"/>
    </font>
    <font>
      <b/>
      <sz val="8"/>
      <color rgb="FFFF0000"/>
      <name val="Arial"/>
      <family val="2"/>
    </font>
    <font>
      <sz val="8"/>
      <color rgb="FF000000"/>
      <name val="Arial Narrow"/>
      <family val="2"/>
    </font>
    <font>
      <b/>
      <sz val="8"/>
      <color rgb="FF000000"/>
      <name val="Calibri"/>
      <family val="2"/>
    </font>
    <font>
      <b/>
      <sz val="12"/>
      <color rgb="FF000000"/>
      <name val="Arial"/>
      <family val="2"/>
    </font>
    <font>
      <sz val="11"/>
      <color rgb="FF000000"/>
      <name val="Arial"/>
      <family val="2"/>
    </font>
    <font>
      <b/>
      <sz val="11"/>
      <color rgb="FF000000"/>
      <name val="Arial"/>
      <family val="2"/>
    </font>
    <font>
      <i/>
      <sz val="11"/>
      <color rgb="FF0000FF"/>
      <name val="Arial"/>
      <family val="2"/>
    </font>
    <font>
      <sz val="9"/>
      <color rgb="FF000000"/>
      <name val="Calibri"/>
      <family val="2"/>
    </font>
    <font>
      <sz val="10"/>
      <color rgb="FF000000"/>
      <name val="Arial"/>
      <family val="2"/>
    </font>
    <font>
      <b/>
      <sz val="11"/>
      <color rgb="FFFF0000"/>
      <name val="Calibri"/>
      <family val="2"/>
    </font>
    <font>
      <sz val="11"/>
      <color rgb="FF000000"/>
      <name val="Calibri"/>
      <family val="2"/>
    </font>
    <font>
      <b/>
      <sz val="11"/>
      <name val="Calibri"/>
      <family val="2"/>
      <scheme val="minor"/>
    </font>
    <font>
      <sz val="11"/>
      <color rgb="FF000000"/>
      <name val="Calibri"/>
      <family val="2"/>
      <scheme val="minor"/>
    </font>
    <font>
      <sz val="8"/>
      <color theme="3"/>
      <name val="Arial Narrow"/>
      <family val="2"/>
    </font>
    <font>
      <sz val="8"/>
      <name val="Calibri"/>
      <family val="2"/>
      <scheme val="minor"/>
    </font>
    <font>
      <b/>
      <sz val="10"/>
      <color theme="1"/>
      <name val="Arial Narrow"/>
      <family val="2"/>
    </font>
    <font>
      <b/>
      <sz val="12"/>
      <color theme="1"/>
      <name val="Arial Narrow"/>
      <family val="2"/>
    </font>
    <font>
      <sz val="12"/>
      <color indexed="8"/>
      <name val="Arial Narrow"/>
      <family val="2"/>
    </font>
    <font>
      <b/>
      <sz val="11"/>
      <color theme="0"/>
      <name val="Arial Narrow"/>
      <family val="2"/>
    </font>
    <font>
      <b/>
      <sz val="12"/>
      <color rgb="FF0000FF"/>
      <name val="Arial"/>
      <family val="2"/>
    </font>
    <font>
      <b/>
      <sz val="11"/>
      <color rgb="FF0000FF"/>
      <name val="Calibri"/>
      <family val="2"/>
    </font>
  </fonts>
  <fills count="23">
    <fill>
      <patternFill patternType="none"/>
    </fill>
    <fill>
      <patternFill patternType="gray125"/>
    </fill>
    <fill>
      <patternFill patternType="solid">
        <fgColor indexed="42"/>
        <bgColor indexed="64"/>
      </patternFill>
    </fill>
    <fill>
      <patternFill patternType="solid">
        <fgColor indexed="41"/>
        <bgColor indexed="64"/>
      </patternFill>
    </fill>
    <fill>
      <patternFill patternType="solid">
        <fgColor indexed="43"/>
        <bgColor indexed="64"/>
      </patternFill>
    </fill>
    <fill>
      <patternFill patternType="solid">
        <fgColor indexed="44"/>
        <bgColor indexed="64"/>
      </patternFill>
    </fill>
    <fill>
      <patternFill patternType="solid">
        <fgColor indexed="46"/>
        <bgColor indexed="64"/>
      </patternFill>
    </fill>
    <fill>
      <patternFill patternType="solid">
        <fgColor indexed="47"/>
        <bgColor indexed="64"/>
      </patternFill>
    </fill>
    <fill>
      <patternFill patternType="solid">
        <fgColor indexed="45"/>
        <bgColor indexed="64"/>
      </patternFill>
    </fill>
    <fill>
      <patternFill patternType="solid">
        <fgColor rgb="FFFBF9DB"/>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8" tint="0.79998168889431442"/>
        <bgColor indexed="64"/>
      </patternFill>
    </fill>
    <fill>
      <patternFill patternType="solid">
        <fgColor theme="0"/>
        <bgColor indexed="64"/>
      </patternFill>
    </fill>
    <fill>
      <patternFill patternType="solid">
        <fgColor theme="3" tint="0.39997558519241921"/>
        <bgColor indexed="64"/>
      </patternFill>
    </fill>
    <fill>
      <patternFill patternType="solid">
        <fgColor theme="0" tint="-0.249977111117893"/>
        <bgColor indexed="64"/>
      </patternFill>
    </fill>
    <fill>
      <patternFill patternType="solid">
        <fgColor rgb="FFFFFF00"/>
        <bgColor indexed="64"/>
      </patternFill>
    </fill>
    <fill>
      <patternFill patternType="solid">
        <fgColor rgb="FF92D050"/>
        <bgColor indexed="64"/>
      </patternFill>
    </fill>
    <fill>
      <patternFill patternType="solid">
        <fgColor rgb="FFD5F5FB"/>
        <bgColor indexed="64"/>
      </patternFill>
    </fill>
    <fill>
      <patternFill patternType="solid">
        <fgColor rgb="FFFFC000"/>
        <bgColor indexed="64"/>
      </patternFill>
    </fill>
    <fill>
      <patternFill patternType="solid">
        <fgColor rgb="FFFFFF00"/>
        <bgColor rgb="FF000000"/>
      </patternFill>
    </fill>
  </fills>
  <borders count="1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top style="thin">
        <color indexed="64"/>
      </top>
      <bottom style="thin">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double">
        <color indexed="64"/>
      </left>
      <right/>
      <top/>
      <bottom style="thin">
        <color indexed="64"/>
      </bottom>
      <diagonal/>
    </border>
    <border>
      <left/>
      <right style="double">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top style="thin">
        <color indexed="64"/>
      </top>
      <bottom style="medium">
        <color indexed="64"/>
      </bottom>
      <diagonal/>
    </border>
    <border>
      <left style="double">
        <color indexed="64"/>
      </left>
      <right style="thin">
        <color indexed="64"/>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style="double">
        <color indexed="64"/>
      </top>
      <bottom style="hair">
        <color indexed="64"/>
      </bottom>
      <diagonal/>
    </border>
    <border>
      <left style="thin">
        <color indexed="64"/>
      </left>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double">
        <color indexed="64"/>
      </top>
      <bottom style="hair">
        <color indexed="64"/>
      </bottom>
      <diagonal/>
    </border>
    <border>
      <left style="double">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double">
        <color indexed="64"/>
      </left>
      <right style="thin">
        <color indexed="64"/>
      </right>
      <top style="double">
        <color indexed="64"/>
      </top>
      <bottom/>
      <diagonal/>
    </border>
    <border>
      <left/>
      <right/>
      <top style="hair">
        <color indexed="64"/>
      </top>
      <bottom style="hair">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double">
        <color indexed="64"/>
      </left>
      <right style="thin">
        <color indexed="64"/>
      </right>
      <top style="hair">
        <color indexed="64"/>
      </top>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double">
        <color indexed="64"/>
      </right>
      <top style="double">
        <color indexed="64"/>
      </top>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bottom/>
      <diagonal/>
    </border>
    <border>
      <left style="double">
        <color indexed="64"/>
      </left>
      <right style="thin">
        <color indexed="64"/>
      </right>
      <top/>
      <bottom style="double">
        <color indexed="64"/>
      </bottom>
      <diagonal/>
    </border>
    <border>
      <left style="thin">
        <color indexed="64"/>
      </left>
      <right/>
      <top style="double">
        <color indexed="64"/>
      </top>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style="double">
        <color indexed="64"/>
      </bottom>
      <diagonal/>
    </border>
    <border>
      <left/>
      <right/>
      <top/>
      <bottom style="thin">
        <color rgb="FFFF66FF"/>
      </bottom>
      <diagonal/>
    </border>
    <border>
      <left style="thin">
        <color rgb="FFFF66FF"/>
      </left>
      <right/>
      <top/>
      <bottom/>
      <diagonal/>
    </border>
    <border>
      <left/>
      <right/>
      <top style="thin">
        <color rgb="FFFF66FF"/>
      </top>
      <bottom/>
      <diagonal/>
    </border>
    <border>
      <left/>
      <right style="thin">
        <color rgb="FFFF66FF"/>
      </right>
      <top style="thin">
        <color rgb="FFFF66FF"/>
      </top>
      <bottom/>
      <diagonal/>
    </border>
    <border>
      <left/>
      <right style="thin">
        <color rgb="FFFF66FF"/>
      </right>
      <top/>
      <bottom/>
      <diagonal/>
    </border>
    <border>
      <left style="thin">
        <color rgb="FFFF66FF"/>
      </left>
      <right/>
      <top/>
      <bottom style="thin">
        <color rgb="FFFF66FF"/>
      </bottom>
      <diagonal/>
    </border>
    <border>
      <left/>
      <right style="thin">
        <color rgb="FFFF66FF"/>
      </right>
      <top/>
      <bottom style="thin">
        <color rgb="FFFF66FF"/>
      </bottom>
      <diagonal/>
    </border>
    <border>
      <left style="thin">
        <color rgb="FFFF66FF"/>
      </left>
      <right/>
      <top style="thin">
        <color rgb="FFFF66FF"/>
      </top>
      <bottom/>
      <diagonal/>
    </border>
    <border>
      <left style="thin">
        <color indexed="64"/>
      </left>
      <right/>
      <top/>
      <bottom style="thin">
        <color rgb="FFFF66FF"/>
      </bottom>
      <diagonal/>
    </border>
    <border>
      <left style="thin">
        <color indexed="64"/>
      </left>
      <right/>
      <top style="thin">
        <color rgb="FFFF66FF"/>
      </top>
      <bottom/>
      <diagonal/>
    </border>
    <border>
      <left style="thin">
        <color rgb="FFFF66FF"/>
      </left>
      <right style="thin">
        <color indexed="64"/>
      </right>
      <top style="thin">
        <color rgb="FFFF66FF"/>
      </top>
      <bottom/>
      <diagonal/>
    </border>
    <border>
      <left style="thin">
        <color rgb="FFFF66FF"/>
      </left>
      <right style="thin">
        <color indexed="64"/>
      </right>
      <top/>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6">
    <xf numFmtId="0" fontId="0" fillId="0" borderId="0"/>
    <xf numFmtId="167" fontId="6" fillId="0" borderId="0" applyFont="0" applyFill="0" applyBorder="0" applyAlignment="0" applyProtection="0"/>
    <xf numFmtId="164" fontId="29" fillId="0" borderId="0" applyFont="0" applyFill="0" applyBorder="0" applyAlignment="0" applyProtection="0"/>
    <xf numFmtId="0" fontId="6" fillId="0" borderId="0"/>
    <xf numFmtId="0" fontId="29" fillId="0" borderId="0"/>
    <xf numFmtId="9" fontId="29" fillId="0" borderId="0" applyFont="0" applyFill="0" applyBorder="0" applyAlignment="0" applyProtection="0"/>
  </cellStyleXfs>
  <cellXfs count="875">
    <xf numFmtId="0" fontId="0" fillId="0" borderId="0" xfId="0"/>
    <xf numFmtId="0" fontId="31" fillId="0" borderId="0" xfId="0" applyFont="1"/>
    <xf numFmtId="0" fontId="32" fillId="0" borderId="0" xfId="0" applyFont="1"/>
    <xf numFmtId="0" fontId="31" fillId="0" borderId="0" xfId="0" applyFont="1" applyAlignment="1">
      <alignment horizontal="center"/>
    </xf>
    <xf numFmtId="0" fontId="31" fillId="0" borderId="97" xfId="0" applyFont="1" applyBorder="1" applyAlignment="1">
      <alignment horizontal="center"/>
    </xf>
    <xf numFmtId="0" fontId="31" fillId="0" borderId="98" xfId="0" applyFont="1" applyBorder="1"/>
    <xf numFmtId="0" fontId="31" fillId="0" borderId="99" xfId="0" applyFont="1" applyBorder="1"/>
    <xf numFmtId="0" fontId="31" fillId="0" borderId="100" xfId="0" applyFont="1" applyBorder="1"/>
    <xf numFmtId="0" fontId="31" fillId="0" borderId="101" xfId="0" applyFont="1" applyBorder="1"/>
    <xf numFmtId="0" fontId="33" fillId="0" borderId="1" xfId="0" applyFont="1" applyBorder="1"/>
    <xf numFmtId="0" fontId="31" fillId="0" borderId="102" xfId="0" applyFont="1" applyBorder="1"/>
    <xf numFmtId="0" fontId="31" fillId="0" borderId="97" xfId="0" applyFont="1" applyBorder="1"/>
    <xf numFmtId="0" fontId="31" fillId="0" borderId="103" xfId="0" applyFont="1" applyBorder="1"/>
    <xf numFmtId="0" fontId="31" fillId="0" borderId="104" xfId="0" applyFont="1" applyBorder="1"/>
    <xf numFmtId="0" fontId="33" fillId="0" borderId="0" xfId="0" applyFont="1" applyAlignment="1">
      <alignment horizontal="left"/>
    </xf>
    <xf numFmtId="4" fontId="31" fillId="0" borderId="0" xfId="0" applyNumberFormat="1" applyFont="1"/>
    <xf numFmtId="0" fontId="33" fillId="0" borderId="1" xfId="0" applyFont="1" applyBorder="1" applyAlignment="1">
      <alignment vertical="center" wrapText="1"/>
    </xf>
    <xf numFmtId="0" fontId="33" fillId="0" borderId="97" xfId="0" applyFont="1" applyBorder="1"/>
    <xf numFmtId="0" fontId="33" fillId="0" borderId="2" xfId="0" applyFont="1" applyBorder="1"/>
    <xf numFmtId="0" fontId="33" fillId="0" borderId="3" xfId="0" applyFont="1" applyBorder="1"/>
    <xf numFmtId="0" fontId="34" fillId="0" borderId="0" xfId="0" applyFont="1"/>
    <xf numFmtId="0" fontId="34" fillId="0" borderId="4" xfId="0" applyFont="1" applyBorder="1"/>
    <xf numFmtId="0" fontId="34" fillId="0" borderId="0" xfId="0" applyFont="1" applyAlignment="1">
      <alignment horizontal="center"/>
    </xf>
    <xf numFmtId="0" fontId="34" fillId="0" borderId="0" xfId="0" applyFont="1" applyAlignment="1">
      <alignment vertical="center" wrapText="1"/>
    </xf>
    <xf numFmtId="0" fontId="34" fillId="0" borderId="0" xfId="0" applyFont="1" applyAlignment="1">
      <alignment horizontal="center" vertical="center" wrapText="1"/>
    </xf>
    <xf numFmtId="0" fontId="33" fillId="0" borderId="0" xfId="0" applyFont="1"/>
    <xf numFmtId="0" fontId="31" fillId="0" borderId="105" xfId="0" applyFont="1" applyBorder="1"/>
    <xf numFmtId="0" fontId="31" fillId="0" borderId="106" xfId="0" applyFont="1" applyBorder="1"/>
    <xf numFmtId="0" fontId="33" fillId="0" borderId="1" xfId="0" applyFont="1" applyBorder="1" applyAlignment="1">
      <alignment horizontal="left" vertical="center" wrapText="1"/>
    </xf>
    <xf numFmtId="0" fontId="33" fillId="0" borderId="0" xfId="0" applyFont="1" applyAlignment="1">
      <alignment horizontal="left" vertical="center" wrapText="1"/>
    </xf>
    <xf numFmtId="0" fontId="33" fillId="0" borderId="5" xfId="0" applyFont="1" applyBorder="1" applyAlignment="1">
      <alignment horizontal="left" vertical="center" wrapText="1"/>
    </xf>
    <xf numFmtId="4" fontId="31" fillId="0" borderId="101" xfId="0" applyNumberFormat="1" applyFont="1" applyBorder="1"/>
    <xf numFmtId="0" fontId="31" fillId="0" borderId="5" xfId="0" applyFont="1" applyBorder="1"/>
    <xf numFmtId="0" fontId="31" fillId="0" borderId="1" xfId="0" applyFont="1" applyBorder="1"/>
    <xf numFmtId="0" fontId="33" fillId="0" borderId="1" xfId="0" applyFont="1" applyBorder="1" applyAlignment="1">
      <alignment horizontal="center"/>
    </xf>
    <xf numFmtId="0" fontId="35" fillId="0" borderId="0" xfId="0" applyFont="1"/>
    <xf numFmtId="0" fontId="36" fillId="0" borderId="0" xfId="0" applyFont="1"/>
    <xf numFmtId="0" fontId="37" fillId="0" borderId="0" xfId="0" applyFont="1"/>
    <xf numFmtId="0" fontId="37" fillId="0" borderId="0" xfId="0" applyFont="1" applyAlignment="1">
      <alignment vertical="center" wrapText="1"/>
    </xf>
    <xf numFmtId="0" fontId="33" fillId="0" borderId="0" xfId="0" applyFont="1" applyAlignment="1">
      <alignment horizontal="center"/>
    </xf>
    <xf numFmtId="0" fontId="31" fillId="0" borderId="107" xfId="0" applyFont="1" applyBorder="1"/>
    <xf numFmtId="0" fontId="31" fillId="9" borderId="1" xfId="0" applyFont="1" applyFill="1" applyBorder="1" applyAlignment="1">
      <alignment vertical="center" wrapText="1"/>
    </xf>
    <xf numFmtId="0" fontId="31" fillId="0" borderId="108" xfId="0" applyFont="1" applyBorder="1"/>
    <xf numFmtId="0" fontId="37" fillId="0" borderId="99" xfId="0" applyFont="1" applyBorder="1"/>
    <xf numFmtId="0" fontId="37" fillId="0" borderId="100" xfId="0" applyFont="1" applyBorder="1"/>
    <xf numFmtId="0" fontId="37" fillId="0" borderId="101" xfId="0" applyFont="1" applyBorder="1"/>
    <xf numFmtId="0" fontId="3" fillId="0" borderId="0" xfId="0" applyFont="1"/>
    <xf numFmtId="0" fontId="33" fillId="0" borderId="6" xfId="0" applyFont="1" applyBorder="1"/>
    <xf numFmtId="0" fontId="33" fillId="0" borderId="3" xfId="0" applyFont="1" applyBorder="1" applyAlignment="1">
      <alignment horizontal="center"/>
    </xf>
    <xf numFmtId="0" fontId="3" fillId="0" borderId="1" xfId="0" applyFont="1" applyBorder="1"/>
    <xf numFmtId="0" fontId="37" fillId="0" borderId="97" xfId="0" applyFont="1" applyBorder="1"/>
    <xf numFmtId="0" fontId="37" fillId="0" borderId="103" xfId="0" applyFont="1" applyBorder="1"/>
    <xf numFmtId="0" fontId="34" fillId="0" borderId="0" xfId="0" applyFont="1" applyAlignment="1">
      <alignment horizontal="left"/>
    </xf>
    <xf numFmtId="0" fontId="31" fillId="0" borderId="0" xfId="0" applyFont="1" applyAlignment="1">
      <alignment horizontal="left"/>
    </xf>
    <xf numFmtId="0" fontId="37" fillId="0" borderId="0" xfId="0" applyFont="1" applyAlignment="1">
      <alignment horizontal="left"/>
    </xf>
    <xf numFmtId="0" fontId="31" fillId="10" borderId="1" xfId="0" applyFont="1" applyFill="1" applyBorder="1" applyAlignment="1">
      <alignment vertical="center" wrapText="1"/>
    </xf>
    <xf numFmtId="0" fontId="31" fillId="11" borderId="1" xfId="0" applyFont="1" applyFill="1" applyBorder="1" applyAlignment="1">
      <alignment horizontal="center" vertical="center" wrapText="1"/>
    </xf>
    <xf numFmtId="0" fontId="31" fillId="12" borderId="7" xfId="0" applyFont="1" applyFill="1" applyBorder="1" applyAlignment="1">
      <alignment vertical="center"/>
    </xf>
    <xf numFmtId="0" fontId="31" fillId="12" borderId="8" xfId="0" applyFont="1" applyFill="1" applyBorder="1" applyAlignment="1">
      <alignment vertical="center"/>
    </xf>
    <xf numFmtId="0" fontId="34" fillId="12" borderId="8" xfId="0" applyFont="1" applyFill="1" applyBorder="1" applyAlignment="1">
      <alignment vertical="center"/>
    </xf>
    <xf numFmtId="0" fontId="34" fillId="12" borderId="9" xfId="0" applyFont="1" applyFill="1" applyBorder="1" applyAlignment="1">
      <alignment vertical="center"/>
    </xf>
    <xf numFmtId="0" fontId="6" fillId="0" borderId="0" xfId="3"/>
    <xf numFmtId="0" fontId="9" fillId="0" borderId="0" xfId="3" applyFont="1"/>
    <xf numFmtId="0" fontId="10" fillId="0" borderId="0" xfId="3" applyFont="1"/>
    <xf numFmtId="0" fontId="11" fillId="0" borderId="0" xfId="3" applyFont="1"/>
    <xf numFmtId="0" fontId="6" fillId="0" borderId="0" xfId="3" applyAlignment="1">
      <alignment horizontal="center"/>
    </xf>
    <xf numFmtId="0" fontId="13" fillId="0" borderId="10" xfId="3" applyFont="1" applyBorder="1"/>
    <xf numFmtId="0" fontId="6" fillId="0" borderId="4" xfId="3" applyBorder="1"/>
    <xf numFmtId="0" fontId="6" fillId="0" borderId="11" xfId="3" applyBorder="1"/>
    <xf numFmtId="0" fontId="6" fillId="0" borderId="12" xfId="3" applyBorder="1" applyAlignment="1">
      <alignment horizontal="center"/>
    </xf>
    <xf numFmtId="0" fontId="6" fillId="0" borderId="5" xfId="3" applyBorder="1" applyAlignment="1">
      <alignment horizontal="right"/>
    </xf>
    <xf numFmtId="0" fontId="6" fillId="0" borderId="13" xfId="3" applyBorder="1"/>
    <xf numFmtId="0" fontId="6" fillId="0" borderId="14" xfId="3" applyBorder="1" applyAlignment="1">
      <alignment horizontal="center"/>
    </xf>
    <xf numFmtId="0" fontId="6" fillId="0" borderId="15" xfId="3" applyBorder="1" applyAlignment="1">
      <alignment horizontal="right"/>
    </xf>
    <xf numFmtId="0" fontId="6" fillId="0" borderId="16" xfId="3" applyBorder="1"/>
    <xf numFmtId="0" fontId="6" fillId="0" borderId="17" xfId="3" applyBorder="1"/>
    <xf numFmtId="0" fontId="6" fillId="0" borderId="18" xfId="3" applyBorder="1" applyAlignment="1">
      <alignment horizontal="center"/>
    </xf>
    <xf numFmtId="0" fontId="13" fillId="0" borderId="5" xfId="3" applyFont="1" applyBorder="1"/>
    <xf numFmtId="0" fontId="13" fillId="0" borderId="15" xfId="3" applyFont="1" applyBorder="1"/>
    <xf numFmtId="0" fontId="14" fillId="3" borderId="19" xfId="3" applyFont="1" applyFill="1" applyBorder="1"/>
    <xf numFmtId="0" fontId="14" fillId="3" borderId="20" xfId="3" applyFont="1" applyFill="1" applyBorder="1"/>
    <xf numFmtId="0" fontId="14" fillId="3" borderId="21" xfId="3" applyFont="1" applyFill="1" applyBorder="1"/>
    <xf numFmtId="0" fontId="14" fillId="3" borderId="22" xfId="3" applyFont="1" applyFill="1" applyBorder="1"/>
    <xf numFmtId="0" fontId="14" fillId="3" borderId="23" xfId="3" applyFont="1" applyFill="1" applyBorder="1"/>
    <xf numFmtId="0" fontId="14" fillId="3" borderId="24" xfId="3" applyFont="1" applyFill="1" applyBorder="1" applyAlignment="1">
      <alignment horizontal="center"/>
    </xf>
    <xf numFmtId="0" fontId="14" fillId="3" borderId="25" xfId="3" applyFont="1" applyFill="1" applyBorder="1" applyAlignment="1">
      <alignment horizontal="center"/>
    </xf>
    <xf numFmtId="0" fontId="14" fillId="3" borderId="26" xfId="3" applyFont="1" applyFill="1" applyBorder="1" applyAlignment="1">
      <alignment horizontal="center"/>
    </xf>
    <xf numFmtId="0" fontId="14" fillId="3" borderId="18" xfId="3" applyFont="1" applyFill="1" applyBorder="1" applyAlignment="1">
      <alignment horizontal="center"/>
    </xf>
    <xf numFmtId="0" fontId="14" fillId="3" borderId="2" xfId="3" applyFont="1" applyFill="1" applyBorder="1" applyAlignment="1">
      <alignment horizontal="center"/>
    </xf>
    <xf numFmtId="0" fontId="14" fillId="3" borderId="27" xfId="3" applyFont="1" applyFill="1" applyBorder="1" applyAlignment="1">
      <alignment horizontal="center"/>
    </xf>
    <xf numFmtId="0" fontId="14" fillId="3" borderId="28" xfId="3" applyFont="1" applyFill="1" applyBorder="1" applyAlignment="1">
      <alignment horizontal="center"/>
    </xf>
    <xf numFmtId="0" fontId="14" fillId="3" borderId="29" xfId="3" applyFont="1" applyFill="1" applyBorder="1" applyAlignment="1">
      <alignment horizontal="center"/>
    </xf>
    <xf numFmtId="0" fontId="14" fillId="3" borderId="30" xfId="3" applyFont="1" applyFill="1" applyBorder="1" applyAlignment="1">
      <alignment horizontal="center"/>
    </xf>
    <xf numFmtId="0" fontId="14" fillId="3" borderId="31" xfId="3" applyFont="1" applyFill="1" applyBorder="1"/>
    <xf numFmtId="0" fontId="6" fillId="4" borderId="19" xfId="3" applyFill="1" applyBorder="1" applyAlignment="1">
      <alignment horizontal="center"/>
    </xf>
    <xf numFmtId="166" fontId="6" fillId="4" borderId="32" xfId="3" applyNumberFormat="1" applyFill="1" applyBorder="1" applyAlignment="1">
      <alignment horizontal="right"/>
    </xf>
    <xf numFmtId="0" fontId="9" fillId="4" borderId="20" xfId="3" applyFont="1" applyFill="1" applyBorder="1" applyAlignment="1">
      <alignment horizontal="center"/>
    </xf>
    <xf numFmtId="0" fontId="6" fillId="4" borderId="24" xfId="3" applyFill="1" applyBorder="1" applyAlignment="1">
      <alignment horizontal="center"/>
    </xf>
    <xf numFmtId="166" fontId="6" fillId="4" borderId="1" xfId="3" applyNumberFormat="1" applyFill="1" applyBorder="1" applyAlignment="1">
      <alignment horizontal="right"/>
    </xf>
    <xf numFmtId="0" fontId="6" fillId="4" borderId="25" xfId="3" applyFill="1" applyBorder="1" applyAlignment="1">
      <alignment horizontal="center"/>
    </xf>
    <xf numFmtId="0" fontId="9" fillId="4" borderId="33" xfId="3" applyFont="1" applyFill="1" applyBorder="1" applyAlignment="1">
      <alignment horizontal="center"/>
    </xf>
    <xf numFmtId="2" fontId="6" fillId="0" borderId="0" xfId="3" applyNumberFormat="1"/>
    <xf numFmtId="166" fontId="6" fillId="4" borderId="14" xfId="3" applyNumberFormat="1" applyFill="1" applyBorder="1" applyAlignment="1">
      <alignment horizontal="right"/>
    </xf>
    <xf numFmtId="0" fontId="6" fillId="4" borderId="27" xfId="3" applyFill="1" applyBorder="1" applyAlignment="1">
      <alignment horizontal="center"/>
    </xf>
    <xf numFmtId="166" fontId="6" fillId="4" borderId="34" xfId="3" applyNumberFormat="1" applyFill="1" applyBorder="1" applyAlignment="1">
      <alignment horizontal="right"/>
    </xf>
    <xf numFmtId="0" fontId="9" fillId="4" borderId="35" xfId="3" applyFont="1" applyFill="1" applyBorder="1" applyAlignment="1">
      <alignment horizontal="center"/>
    </xf>
    <xf numFmtId="166" fontId="6" fillId="0" borderId="0" xfId="3" applyNumberFormat="1" applyAlignment="1">
      <alignment horizontal="right"/>
    </xf>
    <xf numFmtId="2" fontId="6" fillId="0" borderId="0" xfId="3" applyNumberFormat="1" applyAlignment="1">
      <alignment horizontal="center"/>
    </xf>
    <xf numFmtId="0" fontId="9" fillId="0" borderId="0" xfId="3" applyFont="1" applyAlignment="1">
      <alignment horizontal="center"/>
    </xf>
    <xf numFmtId="0" fontId="0" fillId="0" borderId="16" xfId="0" applyBorder="1"/>
    <xf numFmtId="0" fontId="0" fillId="0" borderId="6" xfId="0" applyBorder="1"/>
    <xf numFmtId="0" fontId="38" fillId="0" borderId="0" xfId="0" applyFont="1" applyAlignment="1">
      <alignment horizontal="centerContinuous"/>
    </xf>
    <xf numFmtId="0" fontId="0" fillId="0" borderId="10" xfId="0" applyBorder="1"/>
    <xf numFmtId="0" fontId="0" fillId="0" borderId="4" xfId="0" applyBorder="1"/>
    <xf numFmtId="0" fontId="0" fillId="0" borderId="11" xfId="0" applyBorder="1"/>
    <xf numFmtId="0" fontId="0" fillId="0" borderId="5" xfId="0" applyBorder="1"/>
    <xf numFmtId="0" fontId="0" fillId="0" borderId="13" xfId="0" applyBorder="1"/>
    <xf numFmtId="0" fontId="0" fillId="0" borderId="15" xfId="0" applyBorder="1"/>
    <xf numFmtId="0" fontId="0" fillId="0" borderId="17" xfId="0" applyBorder="1"/>
    <xf numFmtId="0" fontId="0" fillId="0" borderId="36" xfId="0" applyBorder="1"/>
    <xf numFmtId="0" fontId="0" fillId="0" borderId="37" xfId="0" applyBorder="1"/>
    <xf numFmtId="0" fontId="0" fillId="13" borderId="2" xfId="0" applyFill="1" applyBorder="1"/>
    <xf numFmtId="0" fontId="0" fillId="13" borderId="6" xfId="0" applyFill="1" applyBorder="1" applyAlignment="1">
      <alignment vertical="center"/>
    </xf>
    <xf numFmtId="0" fontId="38" fillId="13" borderId="2" xfId="0" applyFont="1" applyFill="1" applyBorder="1" applyAlignment="1">
      <alignment horizontal="centerContinuous" vertical="center"/>
    </xf>
    <xf numFmtId="0" fontId="38" fillId="13" borderId="6" xfId="0" applyFont="1" applyFill="1" applyBorder="1" applyAlignment="1">
      <alignment horizontal="centerContinuous"/>
    </xf>
    <xf numFmtId="0" fontId="38" fillId="13" borderId="3" xfId="0" applyFont="1" applyFill="1" applyBorder="1" applyAlignment="1">
      <alignment horizontal="centerContinuous"/>
    </xf>
    <xf numFmtId="0" fontId="38" fillId="0" borderId="0" xfId="0" applyFont="1" applyAlignment="1">
      <alignment horizontal="centerContinuous" vertical="center"/>
    </xf>
    <xf numFmtId="0" fontId="16" fillId="0" borderId="27"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38" xfId="0" applyFont="1" applyBorder="1" applyAlignment="1">
      <alignment horizontal="center" wrapText="1"/>
    </xf>
    <xf numFmtId="0" fontId="0" fillId="0" borderId="15" xfId="0" applyBorder="1" applyAlignment="1">
      <alignment horizontal="center"/>
    </xf>
    <xf numFmtId="0" fontId="17" fillId="5" borderId="19" xfId="0" applyFont="1" applyFill="1" applyBorder="1"/>
    <xf numFmtId="0" fontId="0" fillId="5" borderId="32" xfId="0" applyFill="1" applyBorder="1"/>
    <xf numFmtId="0" fontId="17" fillId="5" borderId="32" xfId="0" applyFont="1" applyFill="1" applyBorder="1"/>
    <xf numFmtId="0" fontId="0" fillId="5" borderId="32" xfId="0" applyFill="1" applyBorder="1" applyAlignment="1">
      <alignment horizontal="center"/>
    </xf>
    <xf numFmtId="2" fontId="0" fillId="5" borderId="32" xfId="0" applyNumberFormat="1" applyFill="1" applyBorder="1" applyAlignment="1">
      <alignment horizontal="center"/>
    </xf>
    <xf numFmtId="0" fontId="0" fillId="0" borderId="23" xfId="0" applyBorder="1"/>
    <xf numFmtId="0" fontId="0" fillId="0" borderId="2" xfId="0" applyBorder="1" applyAlignment="1">
      <alignment horizontal="center"/>
    </xf>
    <xf numFmtId="0" fontId="17" fillId="5" borderId="24" xfId="0" applyFont="1" applyFill="1" applyBorder="1"/>
    <xf numFmtId="0" fontId="0" fillId="5" borderId="1" xfId="0" applyFill="1" applyBorder="1"/>
    <xf numFmtId="0" fontId="17" fillId="5" borderId="1" xfId="0" applyFont="1" applyFill="1" applyBorder="1"/>
    <xf numFmtId="0" fontId="0" fillId="5" borderId="1" xfId="0" applyFill="1" applyBorder="1" applyAlignment="1">
      <alignment horizontal="center"/>
    </xf>
    <xf numFmtId="2" fontId="0" fillId="5" borderId="1" xfId="0" applyNumberFormat="1" applyFill="1" applyBorder="1" applyAlignment="1">
      <alignment horizontal="center"/>
    </xf>
    <xf numFmtId="0" fontId="17" fillId="6" borderId="24" xfId="0" applyFont="1" applyFill="1" applyBorder="1"/>
    <xf numFmtId="0" fontId="0" fillId="6" borderId="1" xfId="0" applyFill="1" applyBorder="1"/>
    <xf numFmtId="0" fontId="17" fillId="6" borderId="1" xfId="0" applyFont="1" applyFill="1" applyBorder="1"/>
    <xf numFmtId="0" fontId="0" fillId="6" borderId="1" xfId="0" applyFill="1" applyBorder="1" applyAlignment="1">
      <alignment horizontal="center"/>
    </xf>
    <xf numFmtId="2" fontId="0" fillId="6" borderId="1" xfId="0" applyNumberFormat="1" applyFill="1" applyBorder="1" applyAlignment="1">
      <alignment horizontal="center"/>
    </xf>
    <xf numFmtId="0" fontId="17" fillId="7" borderId="24" xfId="0" applyFont="1" applyFill="1" applyBorder="1"/>
    <xf numFmtId="0" fontId="0" fillId="7" borderId="1" xfId="0" applyFill="1" applyBorder="1"/>
    <xf numFmtId="0" fontId="17" fillId="7" borderId="1" xfId="0" applyFont="1" applyFill="1" applyBorder="1"/>
    <xf numFmtId="0" fontId="0" fillId="7" borderId="1" xfId="0" applyFill="1" applyBorder="1" applyAlignment="1">
      <alignment horizontal="center"/>
    </xf>
    <xf numFmtId="2" fontId="0" fillId="7" borderId="1" xfId="0" applyNumberFormat="1" applyFill="1" applyBorder="1" applyAlignment="1">
      <alignment horizontal="center"/>
    </xf>
    <xf numFmtId="0" fontId="19" fillId="0" borderId="0" xfId="0" applyFont="1" applyAlignment="1">
      <alignment horizontal="left" wrapText="1"/>
    </xf>
    <xf numFmtId="0" fontId="17" fillId="8" borderId="24" xfId="0" applyFont="1" applyFill="1" applyBorder="1"/>
    <xf numFmtId="0" fontId="0" fillId="8" borderId="1" xfId="0" applyFill="1" applyBorder="1"/>
    <xf numFmtId="0" fontId="17" fillId="8" borderId="1" xfId="0" applyFont="1" applyFill="1" applyBorder="1"/>
    <xf numFmtId="0" fontId="0" fillId="8" borderId="1" xfId="0" applyFill="1" applyBorder="1" applyAlignment="1">
      <alignment horizontal="center"/>
    </xf>
    <xf numFmtId="2" fontId="0" fillId="8" borderId="1" xfId="0" applyNumberFormat="1" applyFill="1" applyBorder="1" applyAlignment="1">
      <alignment horizontal="center"/>
    </xf>
    <xf numFmtId="0" fontId="20" fillId="7" borderId="1" xfId="0" applyFont="1" applyFill="1" applyBorder="1"/>
    <xf numFmtId="0" fontId="19" fillId="8" borderId="1" xfId="0" applyFont="1" applyFill="1" applyBorder="1" applyAlignment="1">
      <alignment horizontal="left" wrapText="1"/>
    </xf>
    <xf numFmtId="0" fontId="17" fillId="8" borderId="39" xfId="0" applyFont="1" applyFill="1" applyBorder="1"/>
    <xf numFmtId="0" fontId="0" fillId="8" borderId="12" xfId="0" applyFill="1" applyBorder="1"/>
    <xf numFmtId="0" fontId="17" fillId="8" borderId="12" xfId="0" applyFont="1" applyFill="1" applyBorder="1"/>
    <xf numFmtId="0" fontId="0" fillId="8" borderId="12" xfId="0" applyFill="1" applyBorder="1" applyAlignment="1">
      <alignment horizontal="center"/>
    </xf>
    <xf numFmtId="2" fontId="0" fillId="8" borderId="12" xfId="0" applyNumberFormat="1" applyFill="1" applyBorder="1" applyAlignment="1">
      <alignment horizontal="center"/>
    </xf>
    <xf numFmtId="0" fontId="17" fillId="7" borderId="27" xfId="0" applyFont="1" applyFill="1" applyBorder="1"/>
    <xf numFmtId="0" fontId="0" fillId="7" borderId="34" xfId="0" applyFill="1" applyBorder="1"/>
    <xf numFmtId="0" fontId="17" fillId="7" borderId="34" xfId="0" applyFont="1" applyFill="1" applyBorder="1"/>
    <xf numFmtId="0" fontId="0" fillId="7" borderId="34" xfId="0" applyFill="1" applyBorder="1" applyAlignment="1">
      <alignment horizontal="center"/>
    </xf>
    <xf numFmtId="2" fontId="0" fillId="7" borderId="34" xfId="0" applyNumberFormat="1" applyFill="1" applyBorder="1" applyAlignment="1">
      <alignment horizontal="center"/>
    </xf>
    <xf numFmtId="0" fontId="0" fillId="0" borderId="40" xfId="0" applyBorder="1"/>
    <xf numFmtId="0" fontId="19" fillId="0" borderId="40" xfId="0" applyFont="1" applyBorder="1" applyAlignment="1">
      <alignment horizontal="left" wrapText="1"/>
    </xf>
    <xf numFmtId="0" fontId="19" fillId="7" borderId="34" xfId="0" applyFont="1" applyFill="1" applyBorder="1" applyAlignment="1">
      <alignment horizontal="left" wrapText="1"/>
    </xf>
    <xf numFmtId="0" fontId="17" fillId="8" borderId="19" xfId="0" applyFont="1" applyFill="1" applyBorder="1"/>
    <xf numFmtId="0" fontId="0" fillId="8" borderId="32" xfId="0" applyFill="1" applyBorder="1"/>
    <xf numFmtId="0" fontId="0" fillId="8" borderId="32" xfId="0" applyFill="1" applyBorder="1" applyAlignment="1">
      <alignment horizontal="center"/>
    </xf>
    <xf numFmtId="2" fontId="0" fillId="8" borderId="32" xfId="0" applyNumberFormat="1" applyFill="1" applyBorder="1" applyAlignment="1">
      <alignment horizontal="center"/>
    </xf>
    <xf numFmtId="0" fontId="20" fillId="8" borderId="1" xfId="0" applyFont="1" applyFill="1" applyBorder="1"/>
    <xf numFmtId="2" fontId="0" fillId="7" borderId="2" xfId="0" applyNumberFormat="1" applyFill="1" applyBorder="1" applyAlignment="1">
      <alignment horizontal="center"/>
    </xf>
    <xf numFmtId="0" fontId="17" fillId="7" borderId="12" xfId="0" applyFont="1" applyFill="1" applyBorder="1"/>
    <xf numFmtId="0" fontId="0" fillId="7" borderId="12" xfId="0" applyFill="1" applyBorder="1"/>
    <xf numFmtId="0" fontId="0" fillId="7" borderId="12" xfId="0" applyFill="1" applyBorder="1" applyAlignment="1">
      <alignment horizontal="center"/>
    </xf>
    <xf numFmtId="2" fontId="0" fillId="7" borderId="10" xfId="0" applyNumberFormat="1" applyFill="1" applyBorder="1" applyAlignment="1">
      <alignment horizontal="center"/>
    </xf>
    <xf numFmtId="0" fontId="17" fillId="8" borderId="32" xfId="0" applyFont="1" applyFill="1" applyBorder="1"/>
    <xf numFmtId="0" fontId="0" fillId="0" borderId="41" xfId="0" applyBorder="1"/>
    <xf numFmtId="0" fontId="0" fillId="0" borderId="42" xfId="0" applyBorder="1"/>
    <xf numFmtId="0" fontId="17" fillId="3" borderId="26" xfId="0" applyFont="1" applyFill="1" applyBorder="1"/>
    <xf numFmtId="0" fontId="0" fillId="3" borderId="18" xfId="0" applyFill="1" applyBorder="1"/>
    <xf numFmtId="0" fontId="17" fillId="3" borderId="18" xfId="0" applyFont="1" applyFill="1" applyBorder="1"/>
    <xf numFmtId="0" fontId="0" fillId="3" borderId="18" xfId="0" applyFill="1" applyBorder="1" applyAlignment="1">
      <alignment horizontal="center"/>
    </xf>
    <xf numFmtId="2" fontId="0" fillId="3" borderId="18" xfId="0" applyNumberFormat="1" applyFill="1" applyBorder="1" applyAlignment="1">
      <alignment horizontal="center"/>
    </xf>
    <xf numFmtId="0" fontId="17" fillId="3" borderId="24" xfId="0" applyFont="1" applyFill="1" applyBorder="1"/>
    <xf numFmtId="0" fontId="0" fillId="3" borderId="1" xfId="0" applyFill="1" applyBorder="1"/>
    <xf numFmtId="0" fontId="17" fillId="3" borderId="1" xfId="0" applyFont="1" applyFill="1" applyBorder="1"/>
    <xf numFmtId="0" fontId="0" fillId="3" borderId="1" xfId="0" applyFill="1" applyBorder="1" applyAlignment="1">
      <alignment horizontal="center"/>
    </xf>
    <xf numFmtId="2" fontId="0" fillId="3" borderId="1" xfId="0" applyNumberFormat="1" applyFill="1" applyBorder="1" applyAlignment="1">
      <alignment horizontal="center"/>
    </xf>
    <xf numFmtId="0" fontId="17" fillId="3" borderId="27" xfId="0" applyFont="1" applyFill="1" applyBorder="1"/>
    <xf numFmtId="0" fontId="0" fillId="3" borderId="34" xfId="0" applyFill="1" applyBorder="1"/>
    <xf numFmtId="0" fontId="17" fillId="3" borderId="34" xfId="0" applyFont="1" applyFill="1" applyBorder="1"/>
    <xf numFmtId="0" fontId="0" fillId="3" borderId="34" xfId="0" applyFill="1" applyBorder="1" applyAlignment="1">
      <alignment horizontal="center"/>
    </xf>
    <xf numFmtId="2" fontId="0" fillId="3" borderId="34" xfId="0" applyNumberFormat="1" applyFill="1" applyBorder="1" applyAlignment="1">
      <alignment horizontal="center"/>
    </xf>
    <xf numFmtId="0" fontId="17" fillId="4" borderId="19" xfId="0" applyFont="1" applyFill="1" applyBorder="1"/>
    <xf numFmtId="0" fontId="0" fillId="4" borderId="32" xfId="0" applyFill="1" applyBorder="1"/>
    <xf numFmtId="0" fontId="17" fillId="4" borderId="32" xfId="0" applyFont="1" applyFill="1" applyBorder="1"/>
    <xf numFmtId="0" fontId="0" fillId="4" borderId="32" xfId="0" applyFill="1" applyBorder="1" applyAlignment="1">
      <alignment horizontal="center"/>
    </xf>
    <xf numFmtId="2" fontId="0" fillId="4" borderId="32" xfId="0" applyNumberFormat="1" applyFill="1" applyBorder="1" applyAlignment="1">
      <alignment horizontal="center"/>
    </xf>
    <xf numFmtId="0" fontId="17" fillId="4" borderId="26" xfId="0" applyFont="1" applyFill="1" applyBorder="1"/>
    <xf numFmtId="0" fontId="0" fillId="4" borderId="18" xfId="0" applyFill="1" applyBorder="1"/>
    <xf numFmtId="0" fontId="17" fillId="4" borderId="18" xfId="0" applyFont="1" applyFill="1" applyBorder="1"/>
    <xf numFmtId="0" fontId="0" fillId="4" borderId="18" xfId="0" applyFill="1" applyBorder="1" applyAlignment="1">
      <alignment horizontal="center"/>
    </xf>
    <xf numFmtId="2" fontId="0" fillId="4" borderId="18" xfId="0" applyNumberFormat="1" applyFill="1" applyBorder="1" applyAlignment="1">
      <alignment horizontal="center"/>
    </xf>
    <xf numFmtId="0" fontId="17" fillId="4" borderId="24" xfId="0" applyFont="1" applyFill="1" applyBorder="1"/>
    <xf numFmtId="0" fontId="0" fillId="4" borderId="1" xfId="0" applyFill="1" applyBorder="1"/>
    <xf numFmtId="0" fontId="17" fillId="4" borderId="1" xfId="0" applyFont="1" applyFill="1" applyBorder="1"/>
    <xf numFmtId="0" fontId="0" fillId="4" borderId="1" xfId="0" applyFill="1" applyBorder="1" applyAlignment="1">
      <alignment horizontal="center"/>
    </xf>
    <xf numFmtId="2" fontId="0" fillId="4" borderId="1" xfId="0" applyNumberFormat="1" applyFill="1" applyBorder="1" applyAlignment="1">
      <alignment horizontal="center"/>
    </xf>
    <xf numFmtId="0" fontId="17" fillId="4" borderId="39" xfId="0" applyFont="1" applyFill="1" applyBorder="1"/>
    <xf numFmtId="0" fontId="0" fillId="4" borderId="12" xfId="0" applyFill="1" applyBorder="1"/>
    <xf numFmtId="0" fontId="17" fillId="4" borderId="12" xfId="0" applyFont="1" applyFill="1" applyBorder="1"/>
    <xf numFmtId="0" fontId="0" fillId="4" borderId="12" xfId="0" applyFill="1" applyBorder="1" applyAlignment="1">
      <alignment horizontal="center"/>
    </xf>
    <xf numFmtId="2" fontId="0" fillId="4" borderId="12" xfId="0" applyNumberFormat="1" applyFill="1" applyBorder="1" applyAlignment="1">
      <alignment horizontal="center"/>
    </xf>
    <xf numFmtId="0" fontId="17" fillId="4" borderId="27" xfId="0" applyFont="1" applyFill="1" applyBorder="1"/>
    <xf numFmtId="0" fontId="0" fillId="4" borderId="34" xfId="0" applyFill="1" applyBorder="1"/>
    <xf numFmtId="0" fontId="17" fillId="4" borderId="34" xfId="0" applyFont="1" applyFill="1" applyBorder="1"/>
    <xf numFmtId="0" fontId="0" fillId="4" borderId="34" xfId="0" applyFill="1" applyBorder="1" applyAlignment="1">
      <alignment horizontal="center"/>
    </xf>
    <xf numFmtId="2" fontId="0" fillId="4" borderId="34" xfId="0" applyNumberFormat="1" applyFill="1" applyBorder="1" applyAlignment="1">
      <alignment horizontal="center"/>
    </xf>
    <xf numFmtId="0" fontId="12" fillId="13" borderId="10" xfId="3" applyFont="1" applyFill="1" applyBorder="1" applyAlignment="1">
      <alignment horizontal="left"/>
    </xf>
    <xf numFmtId="0" fontId="12" fillId="13" borderId="4" xfId="3" applyFont="1" applyFill="1" applyBorder="1" applyAlignment="1">
      <alignment horizontal="center"/>
    </xf>
    <xf numFmtId="0" fontId="12" fillId="13" borderId="4" xfId="3" applyFont="1" applyFill="1" applyBorder="1" applyAlignment="1">
      <alignment horizontal="left"/>
    </xf>
    <xf numFmtId="0" fontId="12" fillId="13" borderId="11" xfId="3" applyFont="1" applyFill="1" applyBorder="1" applyAlignment="1">
      <alignment horizontal="center"/>
    </xf>
    <xf numFmtId="0" fontId="13" fillId="13" borderId="15" xfId="3" applyFont="1" applyFill="1" applyBorder="1" applyAlignment="1">
      <alignment horizontal="center"/>
    </xf>
    <xf numFmtId="0" fontId="13" fillId="13" borderId="16" xfId="3" applyFont="1" applyFill="1" applyBorder="1" applyAlignment="1">
      <alignment horizontal="center"/>
    </xf>
    <xf numFmtId="0" fontId="13" fillId="13" borderId="17" xfId="3" applyFont="1" applyFill="1" applyBorder="1" applyAlignment="1">
      <alignment horizontal="center"/>
    </xf>
    <xf numFmtId="0" fontId="14" fillId="0" borderId="0" xfId="3" applyFont="1"/>
    <xf numFmtId="0" fontId="14" fillId="3" borderId="14" xfId="3" applyFont="1" applyFill="1" applyBorder="1" applyAlignment="1">
      <alignment horizontal="center"/>
    </xf>
    <xf numFmtId="0" fontId="14" fillId="3" borderId="43" xfId="3" applyFont="1" applyFill="1" applyBorder="1" applyAlignment="1">
      <alignment horizontal="center"/>
    </xf>
    <xf numFmtId="0" fontId="14" fillId="3" borderId="44" xfId="3" applyFont="1" applyFill="1" applyBorder="1"/>
    <xf numFmtId="0" fontId="14" fillId="3" borderId="45" xfId="3" applyFont="1" applyFill="1" applyBorder="1"/>
    <xf numFmtId="0" fontId="14" fillId="3" borderId="35" xfId="3" applyFont="1" applyFill="1" applyBorder="1" applyAlignment="1">
      <alignment horizontal="center"/>
    </xf>
    <xf numFmtId="0" fontId="14" fillId="3" borderId="46" xfId="3" applyFont="1" applyFill="1" applyBorder="1" applyAlignment="1">
      <alignment horizontal="center" vertical="center"/>
    </xf>
    <xf numFmtId="0" fontId="14" fillId="3" borderId="28" xfId="3" applyFont="1" applyFill="1" applyBorder="1" applyAlignment="1">
      <alignment horizontal="center" vertical="center"/>
    </xf>
    <xf numFmtId="0" fontId="14" fillId="3" borderId="47" xfId="3" applyFont="1" applyFill="1" applyBorder="1" applyAlignment="1">
      <alignment horizontal="center" vertical="center"/>
    </xf>
    <xf numFmtId="0" fontId="6" fillId="0" borderId="12" xfId="3" applyBorder="1"/>
    <xf numFmtId="0" fontId="6" fillId="0" borderId="1" xfId="3" applyBorder="1" applyAlignment="1">
      <alignment horizontal="center"/>
    </xf>
    <xf numFmtId="0" fontId="6" fillId="0" borderId="3" xfId="3" applyBorder="1" applyAlignment="1">
      <alignment horizontal="center"/>
    </xf>
    <xf numFmtId="0" fontId="6" fillId="0" borderId="6" xfId="3" applyBorder="1" applyAlignment="1">
      <alignment horizontal="center"/>
    </xf>
    <xf numFmtId="0" fontId="6" fillId="0" borderId="17" xfId="3" applyBorder="1" applyAlignment="1">
      <alignment horizontal="center"/>
    </xf>
    <xf numFmtId="0" fontId="6" fillId="0" borderId="16" xfId="3" applyBorder="1" applyAlignment="1">
      <alignment horizontal="center"/>
    </xf>
    <xf numFmtId="0" fontId="39" fillId="0" borderId="1" xfId="0" applyFont="1" applyBorder="1" applyAlignment="1">
      <alignment horizontal="center"/>
    </xf>
    <xf numFmtId="0" fontId="40" fillId="0" borderId="1" xfId="0" applyFont="1" applyBorder="1" applyAlignment="1">
      <alignment horizontal="center"/>
    </xf>
    <xf numFmtId="0" fontId="41" fillId="0" borderId="0" xfId="0" applyFont="1" applyAlignment="1">
      <alignment horizontal="centerContinuous"/>
    </xf>
    <xf numFmtId="9" fontId="6" fillId="0" borderId="19" xfId="5" applyFont="1" applyFill="1" applyBorder="1" applyAlignment="1">
      <alignment horizontal="center"/>
    </xf>
    <xf numFmtId="9" fontId="6" fillId="0" borderId="32" xfId="5" applyFont="1" applyFill="1" applyBorder="1" applyAlignment="1">
      <alignment horizontal="center"/>
    </xf>
    <xf numFmtId="9" fontId="6" fillId="0" borderId="20" xfId="5" applyFont="1" applyFill="1" applyBorder="1" applyAlignment="1">
      <alignment horizontal="center"/>
    </xf>
    <xf numFmtId="9" fontId="6" fillId="4" borderId="19" xfId="5" applyFont="1" applyFill="1" applyBorder="1"/>
    <xf numFmtId="9" fontId="6" fillId="0" borderId="26" xfId="5" applyFont="1" applyFill="1" applyBorder="1" applyAlignment="1">
      <alignment horizontal="center"/>
    </xf>
    <xf numFmtId="9" fontId="6" fillId="0" borderId="18" xfId="5" applyFont="1" applyFill="1" applyBorder="1" applyAlignment="1">
      <alignment horizontal="center"/>
    </xf>
    <xf numFmtId="9" fontId="6" fillId="0" borderId="33" xfId="5" applyFont="1" applyFill="1" applyBorder="1" applyAlignment="1">
      <alignment horizontal="center"/>
    </xf>
    <xf numFmtId="9" fontId="6" fillId="4" borderId="26" xfId="5" applyFont="1" applyFill="1" applyBorder="1"/>
    <xf numFmtId="9" fontId="6" fillId="0" borderId="28" xfId="5" applyFont="1" applyFill="1" applyBorder="1" applyAlignment="1">
      <alignment horizontal="center"/>
    </xf>
    <xf numFmtId="9" fontId="6" fillId="0" borderId="29" xfId="5" applyFont="1" applyFill="1" applyBorder="1" applyAlignment="1">
      <alignment horizontal="center"/>
    </xf>
    <xf numFmtId="9" fontId="6" fillId="0" borderId="35" xfId="5" applyFont="1" applyFill="1" applyBorder="1" applyAlignment="1">
      <alignment horizontal="center"/>
    </xf>
    <xf numFmtId="9" fontId="6" fillId="4" borderId="28" xfId="5" applyFont="1" applyFill="1" applyBorder="1"/>
    <xf numFmtId="0" fontId="33" fillId="0" borderId="2" xfId="0" applyFont="1" applyBorder="1" applyAlignment="1">
      <alignment horizontal="center"/>
    </xf>
    <xf numFmtId="0" fontId="31" fillId="0" borderId="3" xfId="0" applyFont="1" applyBorder="1"/>
    <xf numFmtId="0" fontId="39" fillId="0" borderId="0" xfId="0" applyFont="1" applyAlignment="1">
      <alignment horizontal="center"/>
    </xf>
    <xf numFmtId="0" fontId="6" fillId="0" borderId="0" xfId="3" applyAlignment="1">
      <alignment vertical="center"/>
    </xf>
    <xf numFmtId="0" fontId="6" fillId="0" borderId="0" xfId="3" applyAlignment="1">
      <alignment horizontal="centerContinuous" vertical="center" wrapText="1"/>
    </xf>
    <xf numFmtId="0" fontId="6" fillId="0" borderId="0" xfId="3" applyAlignment="1">
      <alignment horizontal="left" vertical="center"/>
    </xf>
    <xf numFmtId="0" fontId="6" fillId="0" borderId="1" xfId="3" applyBorder="1" applyAlignment="1">
      <alignment horizontal="center" vertical="center"/>
    </xf>
    <xf numFmtId="0" fontId="22" fillId="0" borderId="0" xfId="3" applyFont="1" applyAlignment="1">
      <alignment horizontal="right" vertical="center"/>
    </xf>
    <xf numFmtId="0" fontId="22" fillId="0" borderId="0" xfId="3" applyFont="1" applyAlignment="1">
      <alignment vertical="center"/>
    </xf>
    <xf numFmtId="0" fontId="22" fillId="0" borderId="0" xfId="3" applyFont="1" applyAlignment="1">
      <alignment horizontal="left" vertical="center"/>
    </xf>
    <xf numFmtId="0" fontId="19" fillId="0" borderId="1" xfId="3" applyFont="1" applyBorder="1" applyAlignment="1">
      <alignment horizontal="center"/>
    </xf>
    <xf numFmtId="0" fontId="22" fillId="0" borderId="0" xfId="3" applyFont="1" applyAlignment="1">
      <alignment horizontal="center" vertical="center"/>
    </xf>
    <xf numFmtId="1" fontId="22" fillId="0" borderId="0" xfId="3" applyNumberFormat="1" applyFont="1" applyAlignment="1">
      <alignment vertical="center"/>
    </xf>
    <xf numFmtId="0" fontId="6" fillId="0" borderId="0" xfId="3" applyAlignment="1">
      <alignment horizontal="left"/>
    </xf>
    <xf numFmtId="0" fontId="22" fillId="0" borderId="0" xfId="3" applyFont="1" applyAlignment="1">
      <alignment horizontal="left"/>
    </xf>
    <xf numFmtId="0" fontId="6" fillId="0" borderId="11" xfId="3" applyBorder="1" applyAlignment="1">
      <alignment vertical="center"/>
    </xf>
    <xf numFmtId="0" fontId="19" fillId="0" borderId="0" xfId="3" applyFont="1" applyAlignment="1">
      <alignment horizontal="center" vertical="center"/>
    </xf>
    <xf numFmtId="0" fontId="19" fillId="0" borderId="0" xfId="3" applyFont="1" applyAlignment="1">
      <alignment horizontal="left" vertical="top"/>
    </xf>
    <xf numFmtId="0" fontId="19" fillId="0" borderId="0" xfId="3" applyFont="1" applyAlignment="1">
      <alignment horizontal="center"/>
    </xf>
    <xf numFmtId="0" fontId="6" fillId="0" borderId="0" xfId="3" applyAlignment="1">
      <alignment horizontal="center" vertical="center"/>
    </xf>
    <xf numFmtId="0" fontId="6" fillId="0" borderId="10" xfId="3" applyBorder="1" applyAlignment="1">
      <alignment vertical="center"/>
    </xf>
    <xf numFmtId="0" fontId="6" fillId="0" borderId="12" xfId="3" applyBorder="1" applyAlignment="1">
      <alignment vertical="center"/>
    </xf>
    <xf numFmtId="0" fontId="6" fillId="0" borderId="1" xfId="3" applyBorder="1" applyAlignment="1">
      <alignment vertical="center"/>
    </xf>
    <xf numFmtId="0" fontId="24" fillId="0" borderId="0" xfId="3" applyFont="1" applyAlignment="1">
      <alignment vertical="center"/>
    </xf>
    <xf numFmtId="168" fontId="24" fillId="0" borderId="0" xfId="3" applyNumberFormat="1" applyFont="1" applyAlignment="1">
      <alignment vertical="center"/>
    </xf>
    <xf numFmtId="0" fontId="6" fillId="0" borderId="5" xfId="3" applyBorder="1" applyAlignment="1">
      <alignment vertical="center"/>
    </xf>
    <xf numFmtId="0" fontId="19" fillId="0" borderId="5" xfId="3" applyFont="1" applyBorder="1" applyAlignment="1">
      <alignment vertical="top"/>
    </xf>
    <xf numFmtId="0" fontId="19" fillId="0" borderId="0" xfId="3" applyFont="1" applyAlignment="1">
      <alignment vertical="top"/>
    </xf>
    <xf numFmtId="0" fontId="19" fillId="0" borderId="5" xfId="3" applyFont="1" applyBorder="1" applyAlignment="1">
      <alignment vertical="center" wrapText="1"/>
    </xf>
    <xf numFmtId="0" fontId="19" fillId="0" borderId="0" xfId="3" applyFont="1" applyAlignment="1">
      <alignment vertical="center" wrapText="1"/>
    </xf>
    <xf numFmtId="9" fontId="0" fillId="0" borderId="0" xfId="0" applyNumberFormat="1"/>
    <xf numFmtId="0" fontId="14" fillId="3" borderId="6" xfId="3" applyFont="1" applyFill="1" applyBorder="1" applyAlignment="1">
      <alignment horizontal="center"/>
    </xf>
    <xf numFmtId="0" fontId="14" fillId="3" borderId="48" xfId="3" applyFont="1" applyFill="1" applyBorder="1" applyAlignment="1">
      <alignment horizontal="center"/>
    </xf>
    <xf numFmtId="9" fontId="6" fillId="4" borderId="22" xfId="5" applyFont="1" applyFill="1" applyBorder="1"/>
    <xf numFmtId="9" fontId="6" fillId="4" borderId="16" xfId="5" applyFont="1" applyFill="1" applyBorder="1"/>
    <xf numFmtId="9" fontId="6" fillId="4" borderId="40" xfId="5" applyFont="1" applyFill="1" applyBorder="1"/>
    <xf numFmtId="0" fontId="26" fillId="0" borderId="0" xfId="3" applyFont="1"/>
    <xf numFmtId="0" fontId="31" fillId="0" borderId="6" xfId="0" applyFont="1" applyBorder="1"/>
    <xf numFmtId="0" fontId="31" fillId="0" borderId="49" xfId="0" applyFont="1" applyBorder="1"/>
    <xf numFmtId="0" fontId="31" fillId="0" borderId="50" xfId="0" applyFont="1" applyBorder="1"/>
    <xf numFmtId="0" fontId="39" fillId="0" borderId="1" xfId="0" applyFont="1" applyBorder="1" applyAlignment="1">
      <alignment horizontal="centerContinuous"/>
    </xf>
    <xf numFmtId="0" fontId="31" fillId="0" borderId="0" xfId="0" applyFont="1" applyAlignment="1">
      <alignment horizontal="centerContinuous"/>
    </xf>
    <xf numFmtId="0" fontId="31" fillId="0" borderId="3" xfId="0" applyFont="1" applyBorder="1" applyAlignment="1">
      <alignment horizontal="centerContinuous"/>
    </xf>
    <xf numFmtId="0" fontId="33" fillId="14" borderId="1" xfId="0" applyFont="1" applyFill="1" applyBorder="1"/>
    <xf numFmtId="0" fontId="33" fillId="14" borderId="1" xfId="0" applyFont="1" applyFill="1" applyBorder="1" applyAlignment="1">
      <alignment horizontal="left" vertical="center" wrapText="1"/>
    </xf>
    <xf numFmtId="0" fontId="33" fillId="14" borderId="1" xfId="0" applyFont="1" applyFill="1" applyBorder="1" applyAlignment="1">
      <alignment horizontal="center"/>
    </xf>
    <xf numFmtId="0" fontId="7" fillId="0" borderId="0" xfId="3" applyFont="1" applyAlignment="1">
      <alignment horizontal="centerContinuous"/>
    </xf>
    <xf numFmtId="0" fontId="6" fillId="0" borderId="0" xfId="3" applyAlignment="1">
      <alignment horizontal="centerContinuous"/>
    </xf>
    <xf numFmtId="0" fontId="8" fillId="0" borderId="0" xfId="3" applyFont="1" applyAlignment="1">
      <alignment horizontal="centerContinuous"/>
    </xf>
    <xf numFmtId="0" fontId="43" fillId="0" borderId="0" xfId="0" applyFont="1" applyAlignment="1">
      <alignment horizontal="centerContinuous" vertical="center"/>
    </xf>
    <xf numFmtId="0" fontId="6" fillId="0" borderId="0" xfId="3" applyAlignment="1">
      <alignment horizontal="centerContinuous" vertical="center"/>
    </xf>
    <xf numFmtId="0" fontId="25" fillId="0" borderId="0" xfId="3" applyFont="1" applyAlignment="1">
      <alignment horizontal="left" vertical="center"/>
    </xf>
    <xf numFmtId="0" fontId="6" fillId="0" borderId="12" xfId="3" applyBorder="1" applyAlignment="1">
      <alignment horizontal="center" vertical="center"/>
    </xf>
    <xf numFmtId="0" fontId="6" fillId="0" borderId="18" xfId="3" applyBorder="1" applyAlignment="1">
      <alignment horizontal="center" vertical="center"/>
    </xf>
    <xf numFmtId="2" fontId="6" fillId="0" borderId="0" xfId="3" applyNumberFormat="1" applyAlignment="1">
      <alignment horizontal="left" vertical="center"/>
    </xf>
    <xf numFmtId="0" fontId="13" fillId="0" borderId="0" xfId="3" applyFont="1"/>
    <xf numFmtId="0" fontId="19" fillId="0" borderId="51" xfId="3" applyFont="1" applyBorder="1" applyAlignment="1">
      <alignment horizontal="center"/>
    </xf>
    <xf numFmtId="0" fontId="19" fillId="0" borderId="51" xfId="3" applyFont="1" applyBorder="1" applyAlignment="1">
      <alignment horizontal="center" vertical="center"/>
    </xf>
    <xf numFmtId="0" fontId="14" fillId="0" borderId="10" xfId="3" applyFont="1" applyBorder="1" applyAlignment="1">
      <alignment vertical="center"/>
    </xf>
    <xf numFmtId="0" fontId="6" fillId="0" borderId="4" xfId="3" applyBorder="1" applyAlignment="1">
      <alignment vertical="center"/>
    </xf>
    <xf numFmtId="0" fontId="6" fillId="0" borderId="52" xfId="3" applyBorder="1" applyAlignment="1">
      <alignment horizontal="center" vertical="center"/>
    </xf>
    <xf numFmtId="0" fontId="22" fillId="0" borderId="53" xfId="3" applyFont="1" applyBorder="1" applyAlignment="1">
      <alignment horizontal="left" vertical="top"/>
    </xf>
    <xf numFmtId="0" fontId="19" fillId="0" borderId="54" xfId="3" applyFont="1" applyBorder="1" applyAlignment="1">
      <alignment horizontal="center"/>
    </xf>
    <xf numFmtId="0" fontId="24" fillId="0" borderId="51" xfId="3" applyFont="1" applyBorder="1" applyAlignment="1">
      <alignment horizontal="center" vertical="center"/>
    </xf>
    <xf numFmtId="0" fontId="24" fillId="0" borderId="54" xfId="3"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6" fillId="0" borderId="55" xfId="3" applyBorder="1" applyAlignment="1">
      <alignment horizontal="center" vertical="center"/>
    </xf>
    <xf numFmtId="0" fontId="6" fillId="0" borderId="55" xfId="3" applyBorder="1" applyAlignment="1">
      <alignment horizontal="left" vertical="center"/>
    </xf>
    <xf numFmtId="0" fontId="6" fillId="0" borderId="56" xfId="3" applyBorder="1" applyAlignment="1">
      <alignment horizontal="center" vertical="center"/>
    </xf>
    <xf numFmtId="0" fontId="34" fillId="0" borderId="0" xfId="0" applyFont="1" applyAlignment="1">
      <alignment horizontal="left" indent="1"/>
    </xf>
    <xf numFmtId="0" fontId="34" fillId="0" borderId="0" xfId="0" applyFont="1" applyAlignment="1">
      <alignment horizontal="left" vertical="center" wrapText="1" indent="1"/>
    </xf>
    <xf numFmtId="0" fontId="33" fillId="15" borderId="1" xfId="0" applyFont="1" applyFill="1" applyBorder="1"/>
    <xf numFmtId="0" fontId="0" fillId="0" borderId="0" xfId="0" applyAlignment="1">
      <alignment horizontal="center" vertical="distributed" wrapText="1"/>
    </xf>
    <xf numFmtId="0" fontId="44" fillId="0" borderId="0" xfId="0" applyFont="1" applyAlignment="1">
      <alignment horizontal="centerContinuous"/>
    </xf>
    <xf numFmtId="0" fontId="30" fillId="0" borderId="0" xfId="0" applyFont="1" applyAlignment="1">
      <alignment horizontal="left" vertical="center"/>
    </xf>
    <xf numFmtId="0" fontId="0" fillId="0" borderId="0" xfId="0" applyAlignment="1">
      <alignment horizontal="left" vertical="center"/>
    </xf>
    <xf numFmtId="0" fontId="45" fillId="0" borderId="0" xfId="0" applyFont="1" applyAlignment="1">
      <alignment horizontal="centerContinuous"/>
    </xf>
    <xf numFmtId="0" fontId="28" fillId="0" borderId="0" xfId="3" applyFont="1"/>
    <xf numFmtId="0" fontId="24" fillId="0" borderId="0" xfId="3" applyFont="1"/>
    <xf numFmtId="0" fontId="22" fillId="14" borderId="2" xfId="3" applyFont="1" applyFill="1" applyBorder="1" applyAlignment="1">
      <alignment vertical="center"/>
    </xf>
    <xf numFmtId="0" fontId="22" fillId="14" borderId="3" xfId="3" applyFont="1" applyFill="1" applyBorder="1" applyAlignment="1">
      <alignment vertical="center"/>
    </xf>
    <xf numFmtId="0" fontId="6" fillId="14" borderId="6" xfId="3" applyFill="1" applyBorder="1" applyAlignment="1">
      <alignment vertical="center"/>
    </xf>
    <xf numFmtId="0" fontId="22" fillId="14" borderId="1" xfId="3" applyFont="1" applyFill="1" applyBorder="1" applyAlignment="1">
      <alignment vertical="center" wrapText="1"/>
    </xf>
    <xf numFmtId="0" fontId="14" fillId="14" borderId="2" xfId="3" applyFont="1" applyFill="1" applyBorder="1" applyAlignment="1">
      <alignment vertical="center"/>
    </xf>
    <xf numFmtId="168" fontId="14" fillId="14" borderId="3" xfId="3" applyNumberFormat="1" applyFont="1" applyFill="1" applyBorder="1" applyAlignment="1">
      <alignment vertical="center"/>
    </xf>
    <xf numFmtId="0" fontId="38" fillId="13" borderId="6" xfId="0" applyFont="1" applyFill="1" applyBorder="1" applyAlignment="1">
      <alignment vertical="center"/>
    </xf>
    <xf numFmtId="0" fontId="30" fillId="0" borderId="5" xfId="0" applyFont="1" applyBorder="1"/>
    <xf numFmtId="0" fontId="0" fillId="0" borderId="0" xfId="0" applyAlignment="1">
      <alignment horizontal="right" vertical="center"/>
    </xf>
    <xf numFmtId="169" fontId="24" fillId="0" borderId="0" xfId="3" applyNumberFormat="1" applyFont="1" applyAlignment="1">
      <alignment horizontal="left" vertical="center"/>
    </xf>
    <xf numFmtId="0" fontId="46" fillId="0" borderId="57" xfId="0" applyFont="1" applyBorder="1" applyAlignment="1">
      <alignment horizontal="center" vertical="center"/>
    </xf>
    <xf numFmtId="0" fontId="46" fillId="0" borderId="58" xfId="0" applyFont="1" applyBorder="1" applyAlignment="1">
      <alignment horizontal="center" vertical="center"/>
    </xf>
    <xf numFmtId="0" fontId="24" fillId="0" borderId="59" xfId="3" applyFont="1" applyBorder="1" applyAlignment="1">
      <alignment horizontal="center" vertical="center"/>
    </xf>
    <xf numFmtId="0" fontId="24" fillId="0" borderId="60" xfId="3" applyFont="1" applyBorder="1" applyAlignment="1">
      <alignment horizontal="center"/>
    </xf>
    <xf numFmtId="1" fontId="6" fillId="0" borderId="61" xfId="3" applyNumberFormat="1" applyBorder="1" applyAlignment="1">
      <alignment horizontal="center"/>
    </xf>
    <xf numFmtId="1" fontId="6" fillId="0" borderId="55" xfId="3" applyNumberFormat="1" applyBorder="1" applyAlignment="1">
      <alignment horizontal="center"/>
    </xf>
    <xf numFmtId="1" fontId="6" fillId="0" borderId="62" xfId="5" applyNumberFormat="1" applyFont="1" applyBorder="1" applyAlignment="1">
      <alignment horizontal="center"/>
    </xf>
    <xf numFmtId="1" fontId="6" fillId="0" borderId="51" xfId="2" applyNumberFormat="1" applyFont="1" applyBorder="1" applyAlignment="1">
      <alignment horizontal="center"/>
    </xf>
    <xf numFmtId="1" fontId="6" fillId="0" borderId="62" xfId="5" applyNumberFormat="1" applyFont="1" applyBorder="1" applyAlignment="1">
      <alignment horizontal="center" vertical="center"/>
    </xf>
    <xf numFmtId="1" fontId="6" fillId="0" borderId="51" xfId="2" applyNumberFormat="1" applyFont="1" applyBorder="1" applyAlignment="1">
      <alignment horizontal="center" vertical="center"/>
    </xf>
    <xf numFmtId="1" fontId="6" fillId="0" borderId="63" xfId="5" applyNumberFormat="1" applyFont="1" applyBorder="1" applyAlignment="1">
      <alignment horizontal="center"/>
    </xf>
    <xf numFmtId="1" fontId="6" fillId="0" borderId="54" xfId="5" applyNumberFormat="1" applyFont="1" applyBorder="1" applyAlignment="1">
      <alignment horizontal="center"/>
    </xf>
    <xf numFmtId="0" fontId="22" fillId="0" borderId="0" xfId="3" applyFont="1" applyAlignment="1">
      <alignment horizontal="left" vertical="top"/>
    </xf>
    <xf numFmtId="2" fontId="19" fillId="0" borderId="0" xfId="3" applyNumberFormat="1" applyFont="1" applyAlignment="1">
      <alignment horizontal="center" vertical="top"/>
    </xf>
    <xf numFmtId="168" fontId="23" fillId="0" borderId="0" xfId="3" applyNumberFormat="1" applyFont="1" applyAlignment="1">
      <alignment horizontal="left" vertical="top"/>
    </xf>
    <xf numFmtId="168" fontId="19" fillId="0" borderId="0" xfId="3" applyNumberFormat="1" applyFont="1" applyAlignment="1">
      <alignment horizontal="left" vertical="top"/>
    </xf>
    <xf numFmtId="0" fontId="47" fillId="11" borderId="49" xfId="3" applyFont="1" applyFill="1" applyBorder="1" applyAlignment="1">
      <alignment horizontal="center" vertical="center"/>
    </xf>
    <xf numFmtId="0" fontId="47" fillId="11" borderId="1" xfId="3" applyFont="1" applyFill="1" applyBorder="1" applyAlignment="1">
      <alignment horizontal="center" vertical="center"/>
    </xf>
    <xf numFmtId="0" fontId="24" fillId="0" borderId="2" xfId="3" applyFont="1" applyBorder="1" applyAlignment="1">
      <alignment horizontal="center" vertical="center"/>
    </xf>
    <xf numFmtId="0" fontId="24" fillId="0" borderId="2" xfId="3" applyFont="1" applyBorder="1" applyAlignment="1">
      <alignment vertical="center"/>
    </xf>
    <xf numFmtId="0" fontId="24" fillId="0" borderId="3" xfId="3" applyFont="1" applyBorder="1" applyAlignment="1">
      <alignment vertical="center"/>
    </xf>
    <xf numFmtId="0" fontId="24" fillId="0" borderId="1" xfId="3" applyFont="1" applyBorder="1" applyAlignment="1">
      <alignment vertical="center"/>
    </xf>
    <xf numFmtId="0" fontId="22" fillId="0" borderId="65" xfId="3" applyFont="1" applyBorder="1"/>
    <xf numFmtId="0" fontId="48" fillId="11" borderId="66" xfId="3" applyFont="1" applyFill="1" applyBorder="1" applyAlignment="1">
      <alignment horizontal="center" vertical="center"/>
    </xf>
    <xf numFmtId="0" fontId="48" fillId="11" borderId="67" xfId="3" applyFont="1" applyFill="1" applyBorder="1" applyAlignment="1">
      <alignment horizontal="center" vertical="center"/>
    </xf>
    <xf numFmtId="0" fontId="49" fillId="16" borderId="10" xfId="0" applyFont="1" applyFill="1" applyBorder="1" applyAlignment="1">
      <alignment horizontal="center" vertical="center" wrapText="1"/>
    </xf>
    <xf numFmtId="0" fontId="49" fillId="16" borderId="4" xfId="0" applyFont="1" applyFill="1" applyBorder="1" applyAlignment="1">
      <alignment horizontal="center" vertical="center" wrapText="1"/>
    </xf>
    <xf numFmtId="0" fontId="49" fillId="16" borderId="11" xfId="0" applyFont="1" applyFill="1" applyBorder="1" applyAlignment="1">
      <alignment horizontal="center" vertical="center" wrapText="1"/>
    </xf>
    <xf numFmtId="0" fontId="49" fillId="16" borderId="15" xfId="0" applyFont="1" applyFill="1" applyBorder="1" applyAlignment="1">
      <alignment horizontal="center" vertical="center" wrapText="1"/>
    </xf>
    <xf numFmtId="0" fontId="49" fillId="16" borderId="16" xfId="0" applyFont="1" applyFill="1" applyBorder="1" applyAlignment="1">
      <alignment horizontal="center" vertical="center" wrapText="1"/>
    </xf>
    <xf numFmtId="0" fontId="49" fillId="16" borderId="17" xfId="0" applyFont="1" applyFill="1" applyBorder="1" applyAlignment="1">
      <alignment horizontal="center" vertical="center" wrapText="1"/>
    </xf>
    <xf numFmtId="0" fontId="33" fillId="14" borderId="2" xfId="0" applyFont="1" applyFill="1" applyBorder="1" applyAlignment="1">
      <alignment horizontal="left"/>
    </xf>
    <xf numFmtId="0" fontId="33" fillId="14" borderId="6" xfId="0" applyFont="1" applyFill="1" applyBorder="1" applyAlignment="1">
      <alignment horizontal="left"/>
    </xf>
    <xf numFmtId="0" fontId="33" fillId="14" borderId="3" xfId="0" applyFont="1" applyFill="1" applyBorder="1" applyAlignment="1">
      <alignment horizontal="left"/>
    </xf>
    <xf numFmtId="0" fontId="33" fillId="15" borderId="2" xfId="0" applyFont="1" applyFill="1" applyBorder="1" applyAlignment="1">
      <alignment horizontal="left"/>
    </xf>
    <xf numFmtId="0" fontId="33" fillId="15" borderId="6" xfId="0" applyFont="1" applyFill="1" applyBorder="1" applyAlignment="1">
      <alignment horizontal="left"/>
    </xf>
    <xf numFmtId="0" fontId="33" fillId="15" borderId="3" xfId="0" applyFont="1" applyFill="1" applyBorder="1" applyAlignment="1">
      <alignment horizontal="left"/>
    </xf>
    <xf numFmtId="0" fontId="19" fillId="0" borderId="68" xfId="3" applyFont="1" applyBorder="1" applyAlignment="1">
      <alignment horizontal="center"/>
    </xf>
    <xf numFmtId="0" fontId="22" fillId="0" borderId="68" xfId="3" applyFont="1" applyBorder="1" applyAlignment="1">
      <alignment horizontal="left"/>
    </xf>
    <xf numFmtId="0" fontId="22" fillId="0" borderId="51" xfId="3" applyFont="1" applyBorder="1" applyAlignment="1">
      <alignment horizontal="left"/>
    </xf>
    <xf numFmtId="0" fontId="19" fillId="0" borderId="69" xfId="3" applyFont="1" applyBorder="1" applyAlignment="1">
      <alignment horizontal="center" vertical="center"/>
    </xf>
    <xf numFmtId="0" fontId="22" fillId="0" borderId="69" xfId="3" applyFont="1" applyBorder="1" applyAlignment="1">
      <alignment horizontal="left" vertical="top"/>
    </xf>
    <xf numFmtId="0" fontId="19" fillId="0" borderId="69" xfId="3" applyFont="1" applyBorder="1" applyAlignment="1">
      <alignment horizontal="center"/>
    </xf>
    <xf numFmtId="0" fontId="22" fillId="0" borderId="68" xfId="3" applyFont="1" applyBorder="1" applyAlignment="1">
      <alignment horizontal="left" vertical="top"/>
    </xf>
    <xf numFmtId="0" fontId="22" fillId="0" borderId="51" xfId="3" applyFont="1" applyBorder="1" applyAlignment="1">
      <alignment horizontal="left" vertical="top"/>
    </xf>
    <xf numFmtId="0" fontId="19" fillId="0" borderId="69" xfId="3" applyFont="1" applyBorder="1" applyAlignment="1">
      <alignment horizontal="left" vertical="top"/>
    </xf>
    <xf numFmtId="2" fontId="19" fillId="0" borderId="68" xfId="3" applyNumberFormat="1" applyFont="1" applyBorder="1" applyAlignment="1">
      <alignment horizontal="center" vertical="top"/>
    </xf>
    <xf numFmtId="168" fontId="23" fillId="0" borderId="68" xfId="3" applyNumberFormat="1" applyFont="1" applyBorder="1" applyAlignment="1">
      <alignment horizontal="left" vertical="top"/>
    </xf>
    <xf numFmtId="168" fontId="19" fillId="0" borderId="68" xfId="3" applyNumberFormat="1" applyFont="1" applyBorder="1" applyAlignment="1">
      <alignment horizontal="left" vertical="top"/>
    </xf>
    <xf numFmtId="2" fontId="19" fillId="0" borderId="51" xfId="3" applyNumberFormat="1" applyFont="1" applyBorder="1" applyAlignment="1">
      <alignment horizontal="center" vertical="top"/>
    </xf>
    <xf numFmtId="168" fontId="23" fillId="0" borderId="51" xfId="3" applyNumberFormat="1" applyFont="1" applyBorder="1" applyAlignment="1">
      <alignment horizontal="left" vertical="top"/>
    </xf>
    <xf numFmtId="168" fontId="19" fillId="0" borderId="51" xfId="3" applyNumberFormat="1" applyFont="1" applyBorder="1" applyAlignment="1">
      <alignment horizontal="left" vertical="top"/>
    </xf>
    <xf numFmtId="2" fontId="19" fillId="0" borderId="69" xfId="3" applyNumberFormat="1" applyFont="1" applyBorder="1" applyAlignment="1">
      <alignment horizontal="center" vertical="top"/>
    </xf>
    <xf numFmtId="168" fontId="23" fillId="0" borderId="69" xfId="3" applyNumberFormat="1" applyFont="1" applyBorder="1" applyAlignment="1">
      <alignment horizontal="left" vertical="top"/>
    </xf>
    <xf numFmtId="168" fontId="19" fillId="0" borderId="69" xfId="3" applyNumberFormat="1" applyFont="1" applyBorder="1" applyAlignment="1">
      <alignment horizontal="left" vertical="top"/>
    </xf>
    <xf numFmtId="0" fontId="22" fillId="0" borderId="10" xfId="3" applyFont="1" applyBorder="1" applyAlignment="1">
      <alignment vertical="center"/>
    </xf>
    <xf numFmtId="0" fontId="22" fillId="0" borderId="1" xfId="3" applyFont="1" applyBorder="1" applyAlignment="1">
      <alignment vertical="center"/>
    </xf>
    <xf numFmtId="0" fontId="6" fillId="0" borderId="70" xfId="3" applyBorder="1" applyAlignment="1">
      <alignment horizontal="center" vertical="center"/>
    </xf>
    <xf numFmtId="0" fontId="6" fillId="0" borderId="63" xfId="3" applyBorder="1" applyAlignment="1">
      <alignment horizontal="center" vertical="center"/>
    </xf>
    <xf numFmtId="168" fontId="19" fillId="0" borderId="68" xfId="3" applyNumberFormat="1" applyFont="1" applyBorder="1" applyAlignment="1">
      <alignment horizontal="center" vertical="top"/>
    </xf>
    <xf numFmtId="168" fontId="19" fillId="0" borderId="51" xfId="3" applyNumberFormat="1" applyFont="1" applyBorder="1" applyAlignment="1">
      <alignment horizontal="center" vertical="top"/>
    </xf>
    <xf numFmtId="168" fontId="19" fillId="0" borderId="69" xfId="3" applyNumberFormat="1" applyFont="1" applyBorder="1" applyAlignment="1">
      <alignment horizontal="center" vertical="top"/>
    </xf>
    <xf numFmtId="0" fontId="24" fillId="0" borderId="1" xfId="3" applyFont="1" applyBorder="1" applyAlignment="1">
      <alignment horizontal="center" vertical="center"/>
    </xf>
    <xf numFmtId="0" fontId="31" fillId="0" borderId="0" xfId="0" applyFont="1" applyAlignment="1">
      <alignment vertical="center" wrapText="1"/>
    </xf>
    <xf numFmtId="0" fontId="31" fillId="0" borderId="0" xfId="0" applyFont="1" applyAlignment="1">
      <alignment horizontal="left" vertical="center"/>
    </xf>
    <xf numFmtId="0" fontId="33" fillId="0" borderId="0" xfId="0" applyFont="1" applyAlignment="1">
      <alignment vertical="center" wrapText="1"/>
    </xf>
    <xf numFmtId="0" fontId="31" fillId="0" borderId="0" xfId="0" applyFont="1" applyAlignment="1">
      <alignment horizontal="center" vertical="center" wrapText="1"/>
    </xf>
    <xf numFmtId="0" fontId="51" fillId="0" borderId="0" xfId="0" applyFont="1"/>
    <xf numFmtId="0" fontId="40" fillId="0" borderId="0" xfId="0" applyFont="1" applyAlignment="1">
      <alignment horizontal="center"/>
    </xf>
    <xf numFmtId="0" fontId="33" fillId="0" borderId="6" xfId="0" applyFont="1" applyBorder="1" applyAlignment="1">
      <alignment horizontal="center"/>
    </xf>
    <xf numFmtId="0" fontId="39" fillId="0" borderId="3" xfId="0" applyFont="1" applyBorder="1" applyAlignment="1">
      <alignment horizontal="centerContinuous"/>
    </xf>
    <xf numFmtId="0" fontId="49" fillId="16" borderId="0" xfId="0" applyFont="1" applyFill="1" applyAlignment="1">
      <alignment horizontal="center" vertical="center" wrapText="1"/>
    </xf>
    <xf numFmtId="172" fontId="3" fillId="0" borderId="0" xfId="0" applyNumberFormat="1" applyFont="1" applyAlignment="1" applyProtection="1">
      <alignment horizontal="left" vertical="center"/>
      <protection locked="0"/>
    </xf>
    <xf numFmtId="172" fontId="31" fillId="0" borderId="101" xfId="0" applyNumberFormat="1" applyFont="1" applyBorder="1" applyAlignment="1">
      <alignment horizontal="left"/>
    </xf>
    <xf numFmtId="0" fontId="31" fillId="0" borderId="1" xfId="0" applyFont="1" applyBorder="1" applyAlignment="1">
      <alignment horizontal="left"/>
    </xf>
    <xf numFmtId="170" fontId="31" fillId="0" borderId="0" xfId="0" applyNumberFormat="1" applyFont="1"/>
    <xf numFmtId="0" fontId="42" fillId="0" borderId="1" xfId="0" applyFont="1" applyBorder="1"/>
    <xf numFmtId="170" fontId="42" fillId="0" borderId="0" xfId="0" applyNumberFormat="1" applyFont="1"/>
    <xf numFmtId="172" fontId="31" fillId="0" borderId="0" xfId="0" applyNumberFormat="1" applyFont="1" applyAlignment="1">
      <alignment horizontal="left"/>
    </xf>
    <xf numFmtId="0" fontId="31" fillId="0" borderId="0" xfId="0" applyFont="1" applyAlignment="1">
      <alignment vertical="distributed"/>
    </xf>
    <xf numFmtId="0" fontId="0" fillId="0" borderId="0" xfId="0" applyAlignment="1">
      <alignment vertical="distributed"/>
    </xf>
    <xf numFmtId="0" fontId="49" fillId="0" borderId="0" xfId="0" applyFont="1" applyAlignment="1">
      <alignment horizontal="center" vertical="center" wrapText="1"/>
    </xf>
    <xf numFmtId="0" fontId="52" fillId="0" borderId="0" xfId="0" applyFont="1" applyAlignment="1">
      <alignment horizontal="left"/>
    </xf>
    <xf numFmtId="0" fontId="31" fillId="0" borderId="5" xfId="0" applyFont="1" applyBorder="1" applyAlignment="1">
      <alignment horizontal="center" vertical="center" wrapText="1"/>
    </xf>
    <xf numFmtId="0" fontId="53" fillId="0" borderId="0" xfId="0" applyFont="1"/>
    <xf numFmtId="0" fontId="53" fillId="0" borderId="0" xfId="0" applyFont="1" applyAlignment="1">
      <alignment horizontal="left"/>
    </xf>
    <xf numFmtId="0" fontId="52" fillId="0" borderId="0" xfId="0" applyFont="1"/>
    <xf numFmtId="0" fontId="31" fillId="0" borderId="0" xfId="0" applyFont="1" applyAlignment="1">
      <alignment vertical="center"/>
    </xf>
    <xf numFmtId="0" fontId="31" fillId="0" borderId="1" xfId="0" applyFont="1" applyBorder="1" applyAlignment="1">
      <alignment vertical="center"/>
    </xf>
    <xf numFmtId="0" fontId="31" fillId="14" borderId="1" xfId="0" applyFont="1" applyFill="1" applyBorder="1"/>
    <xf numFmtId="172" fontId="3" fillId="0" borderId="0" xfId="0" applyNumberFormat="1" applyFont="1" applyAlignment="1" applyProtection="1">
      <alignment horizontal="center" vertical="center"/>
      <protection locked="0"/>
    </xf>
    <xf numFmtId="170" fontId="31" fillId="0" borderId="1" xfId="0" applyNumberFormat="1" applyFont="1" applyBorder="1"/>
    <xf numFmtId="0" fontId="52" fillId="0" borderId="1" xfId="0" applyFont="1" applyBorder="1" applyAlignment="1">
      <alignment horizontal="left"/>
    </xf>
    <xf numFmtId="174" fontId="31" fillId="0" borderId="1" xfId="0" applyNumberFormat="1" applyFont="1" applyBorder="1"/>
    <xf numFmtId="175" fontId="31" fillId="0" borderId="1" xfId="0" applyNumberFormat="1" applyFont="1" applyBorder="1"/>
    <xf numFmtId="0" fontId="31" fillId="0" borderId="2" xfId="0" applyFont="1" applyBorder="1" applyAlignment="1">
      <alignment horizontal="left"/>
    </xf>
    <xf numFmtId="171" fontId="3" fillId="0" borderId="1" xfId="0" applyNumberFormat="1" applyFont="1" applyBorder="1" applyAlignment="1" applyProtection="1">
      <alignment horizontal="left" vertical="center"/>
      <protection locked="0"/>
    </xf>
    <xf numFmtId="0" fontId="31" fillId="15" borderId="1" xfId="0" applyFont="1" applyFill="1" applyBorder="1" applyAlignment="1">
      <alignment horizontal="left"/>
    </xf>
    <xf numFmtId="0" fontId="31" fillId="0" borderId="97" xfId="0" applyFont="1" applyBorder="1" applyAlignment="1">
      <alignment horizontal="left"/>
    </xf>
    <xf numFmtId="14" fontId="31" fillId="15" borderId="1" xfId="0" applyNumberFormat="1" applyFont="1" applyFill="1" applyBorder="1" applyAlignment="1">
      <alignment horizontal="left"/>
    </xf>
    <xf numFmtId="170" fontId="31" fillId="0" borderId="1" xfId="0" applyNumberFormat="1" applyFont="1" applyBorder="1" applyAlignment="1">
      <alignment horizontal="left"/>
    </xf>
    <xf numFmtId="4" fontId="31" fillId="0" borderId="0" xfId="0" applyNumberFormat="1" applyFont="1" applyAlignment="1">
      <alignment horizontal="left"/>
    </xf>
    <xf numFmtId="0" fontId="42" fillId="0" borderId="1" xfId="0" applyFont="1" applyBorder="1" applyAlignment="1">
      <alignment horizontal="left"/>
    </xf>
    <xf numFmtId="0" fontId="31" fillId="0" borderId="0" xfId="0" quotePrefix="1" applyFont="1" applyAlignment="1">
      <alignment horizontal="left"/>
    </xf>
    <xf numFmtId="0" fontId="3" fillId="0" borderId="0" xfId="0" applyFont="1" applyAlignment="1">
      <alignment horizontal="left"/>
    </xf>
    <xf numFmtId="0" fontId="3" fillId="0" borderId="1" xfId="0" applyFont="1" applyBorder="1" applyAlignment="1">
      <alignment horizontal="left"/>
    </xf>
    <xf numFmtId="4" fontId="3" fillId="0" borderId="0" xfId="0" applyNumberFormat="1" applyFont="1" applyAlignment="1">
      <alignment horizontal="left"/>
    </xf>
    <xf numFmtId="4" fontId="3" fillId="0" borderId="1" xfId="0" applyNumberFormat="1" applyFont="1" applyBorder="1" applyAlignment="1">
      <alignment horizontal="left" vertical="center"/>
    </xf>
    <xf numFmtId="4" fontId="3" fillId="0" borderId="1" xfId="0" applyNumberFormat="1" applyFont="1" applyBorder="1" applyAlignment="1">
      <alignment horizontal="left"/>
    </xf>
    <xf numFmtId="0" fontId="37" fillId="0" borderId="97" xfId="0" applyFont="1" applyBorder="1" applyAlignment="1">
      <alignment horizontal="left"/>
    </xf>
    <xf numFmtId="0" fontId="37" fillId="0" borderId="5" xfId="0" applyFont="1" applyBorder="1" applyAlignment="1">
      <alignment horizontal="left"/>
    </xf>
    <xf numFmtId="0" fontId="31" fillId="9" borderId="1" xfId="0" applyFont="1" applyFill="1" applyBorder="1" applyAlignment="1">
      <alignment horizontal="left" vertical="center" wrapText="1"/>
    </xf>
    <xf numFmtId="0" fontId="33" fillId="0" borderId="1" xfId="0" applyFont="1" applyBorder="1" applyAlignment="1">
      <alignment horizontal="left"/>
    </xf>
    <xf numFmtId="0" fontId="33" fillId="14" borderId="1" xfId="0" applyFont="1" applyFill="1" applyBorder="1" applyAlignment="1">
      <alignment horizontal="left"/>
    </xf>
    <xf numFmtId="176" fontId="31" fillId="0" borderId="1" xfId="0" applyNumberFormat="1" applyFont="1" applyBorder="1" applyAlignment="1">
      <alignment horizontal="left"/>
    </xf>
    <xf numFmtId="165" fontId="31" fillId="0" borderId="1" xfId="0" applyNumberFormat="1" applyFont="1" applyBorder="1" applyAlignment="1">
      <alignment horizontal="left"/>
    </xf>
    <xf numFmtId="169" fontId="31" fillId="0" borderId="1" xfId="0" quotePrefix="1" applyNumberFormat="1" applyFont="1" applyBorder="1" applyAlignment="1">
      <alignment horizontal="left"/>
    </xf>
    <xf numFmtId="0" fontId="50" fillId="0" borderId="72" xfId="0" applyFont="1" applyBorder="1" applyAlignment="1">
      <alignment horizontal="left" vertical="top"/>
    </xf>
    <xf numFmtId="0" fontId="50" fillId="0" borderId="109" xfId="0" applyFont="1" applyBorder="1" applyAlignment="1">
      <alignment wrapText="1"/>
    </xf>
    <xf numFmtId="0" fontId="50" fillId="0" borderId="110" xfId="0" applyFont="1" applyBorder="1" applyAlignment="1">
      <alignment wrapText="1"/>
    </xf>
    <xf numFmtId="0" fontId="50" fillId="0" borderId="111" xfId="0" applyFont="1" applyBorder="1" applyAlignment="1">
      <alignment wrapText="1"/>
    </xf>
    <xf numFmtId="0" fontId="0" fillId="12" borderId="12" xfId="0" applyFill="1" applyBorder="1"/>
    <xf numFmtId="0" fontId="0" fillId="12" borderId="14" xfId="0" applyFill="1" applyBorder="1"/>
    <xf numFmtId="0" fontId="0" fillId="12" borderId="18" xfId="0" applyFill="1" applyBorder="1"/>
    <xf numFmtId="0" fontId="0" fillId="20" borderId="14" xfId="0" applyFill="1" applyBorder="1"/>
    <xf numFmtId="0" fontId="46" fillId="18" borderId="12" xfId="0" applyFont="1" applyFill="1" applyBorder="1"/>
    <xf numFmtId="0" fontId="46" fillId="18" borderId="14" xfId="0" applyFont="1" applyFill="1" applyBorder="1"/>
    <xf numFmtId="0" fontId="46" fillId="19" borderId="18" xfId="0" applyFont="1" applyFill="1" applyBorder="1"/>
    <xf numFmtId="0" fontId="46" fillId="19" borderId="12" xfId="0" applyFont="1" applyFill="1" applyBorder="1"/>
    <xf numFmtId="0" fontId="46" fillId="19" borderId="14" xfId="0" applyFont="1" applyFill="1" applyBorder="1"/>
    <xf numFmtId="0" fontId="0" fillId="21" borderId="12" xfId="0" applyFill="1" applyBorder="1"/>
    <xf numFmtId="0" fontId="0" fillId="21" borderId="14" xfId="0" applyFill="1" applyBorder="1"/>
    <xf numFmtId="0" fontId="0" fillId="21" borderId="18" xfId="0" applyFill="1" applyBorder="1"/>
    <xf numFmtId="0" fontId="0" fillId="0" borderId="0" xfId="0" applyAlignment="1">
      <alignment horizontal="left"/>
    </xf>
    <xf numFmtId="0" fontId="16" fillId="0" borderId="1" xfId="0" applyFont="1" applyBorder="1" applyAlignment="1">
      <alignment horizontal="center" vertical="center" wrapText="1"/>
    </xf>
    <xf numFmtId="0" fontId="16" fillId="0" borderId="2" xfId="0" applyFont="1" applyBorder="1" applyAlignment="1">
      <alignment horizontal="center" vertical="center"/>
    </xf>
    <xf numFmtId="0" fontId="16" fillId="0" borderId="25" xfId="0" applyFont="1" applyBorder="1" applyAlignment="1">
      <alignment horizontal="center" wrapText="1"/>
    </xf>
    <xf numFmtId="0" fontId="0" fillId="0" borderId="3" xfId="0" applyBorder="1" applyAlignment="1">
      <alignment horizontal="center"/>
    </xf>
    <xf numFmtId="0" fontId="46" fillId="18" borderId="18" xfId="0" applyFont="1" applyFill="1" applyBorder="1"/>
    <xf numFmtId="0" fontId="0" fillId="20" borderId="12" xfId="0" applyFill="1" applyBorder="1"/>
    <xf numFmtId="0" fontId="0" fillId="20" borderId="18" xfId="0" applyFill="1" applyBorder="1"/>
    <xf numFmtId="0" fontId="59" fillId="0" borderId="0" xfId="3" applyFont="1" applyAlignment="1">
      <alignment vertical="center"/>
    </xf>
    <xf numFmtId="0" fontId="60" fillId="0" borderId="0" xfId="0" applyFont="1" applyAlignment="1">
      <alignment horizontal="left"/>
    </xf>
    <xf numFmtId="0" fontId="6" fillId="0" borderId="0" xfId="0" applyFont="1"/>
    <xf numFmtId="0" fontId="61" fillId="0" borderId="0" xfId="0" applyFont="1" applyAlignment="1">
      <alignment horizontal="center"/>
    </xf>
    <xf numFmtId="0" fontId="6" fillId="0" borderId="16" xfId="0" applyFont="1" applyBorder="1"/>
    <xf numFmtId="0" fontId="60" fillId="0" borderId="16" xfId="0" applyFont="1" applyBorder="1"/>
    <xf numFmtId="0" fontId="63" fillId="0" borderId="0" xfId="0" applyFont="1"/>
    <xf numFmtId="0" fontId="63" fillId="0" borderId="0" xfId="0" applyFont="1" applyAlignment="1">
      <alignment horizontal="left"/>
    </xf>
    <xf numFmtId="0" fontId="64" fillId="0" borderId="0" xfId="0" applyFont="1" applyAlignment="1">
      <alignment horizontal="left"/>
    </xf>
    <xf numFmtId="0" fontId="6" fillId="0" borderId="0" xfId="0" applyFont="1" applyAlignment="1">
      <alignment horizontal="center"/>
    </xf>
    <xf numFmtId="0" fontId="6" fillId="0" borderId="3" xfId="0" applyFont="1" applyBorder="1" applyAlignment="1">
      <alignment horizontal="center"/>
    </xf>
    <xf numFmtId="0" fontId="6" fillId="0" borderId="6" xfId="0" applyFont="1" applyBorder="1" applyAlignment="1">
      <alignment horizontal="center"/>
    </xf>
    <xf numFmtId="0" fontId="6" fillId="0" borderId="1" xfId="0" applyFont="1" applyBorder="1" applyAlignment="1">
      <alignment horizontal="center"/>
    </xf>
    <xf numFmtId="0" fontId="6" fillId="0" borderId="17" xfId="0" applyFont="1" applyBorder="1" applyAlignment="1">
      <alignment horizontal="center"/>
    </xf>
    <xf numFmtId="0" fontId="6" fillId="0" borderId="16" xfId="0" applyFont="1" applyBorder="1" applyAlignment="1">
      <alignment horizontal="center"/>
    </xf>
    <xf numFmtId="0" fontId="6" fillId="0" borderId="18" xfId="0" applyFont="1" applyBorder="1" applyAlignment="1">
      <alignment horizontal="center"/>
    </xf>
    <xf numFmtId="0" fontId="6" fillId="0" borderId="12" xfId="0" applyFont="1" applyBorder="1" applyAlignment="1">
      <alignment horizontal="center"/>
    </xf>
    <xf numFmtId="0" fontId="6" fillId="0" borderId="4" xfId="0" applyFont="1" applyBorder="1" applyAlignment="1">
      <alignment horizontal="center"/>
    </xf>
    <xf numFmtId="0" fontId="6" fillId="0" borderId="14" xfId="0" applyFont="1" applyBorder="1" applyAlignment="1">
      <alignment horizontal="center"/>
    </xf>
    <xf numFmtId="0" fontId="6" fillId="0" borderId="4" xfId="0" applyFont="1" applyBorder="1"/>
    <xf numFmtId="0" fontId="60" fillId="0" borderId="0" xfId="0" applyFont="1"/>
    <xf numFmtId="0" fontId="6" fillId="0" borderId="0" xfId="0" applyFont="1" applyAlignment="1">
      <alignment horizontal="left"/>
    </xf>
    <xf numFmtId="0" fontId="63" fillId="0" borderId="0" xfId="0" applyFont="1" applyAlignment="1">
      <alignment wrapText="1"/>
    </xf>
    <xf numFmtId="0" fontId="63" fillId="0" borderId="0" xfId="0" applyFont="1" applyAlignment="1">
      <alignment horizontal="justify" wrapText="1"/>
    </xf>
    <xf numFmtId="0" fontId="6" fillId="0" borderId="0" xfId="0" applyFont="1" applyAlignment="1">
      <alignment horizontal="center" wrapText="1"/>
    </xf>
    <xf numFmtId="2" fontId="6" fillId="0" borderId="12" xfId="0" applyNumberFormat="1" applyFont="1" applyBorder="1" applyAlignment="1">
      <alignment horizontal="center"/>
    </xf>
    <xf numFmtId="2" fontId="6" fillId="0" borderId="0" xfId="0" applyNumberFormat="1" applyFont="1" applyAlignment="1">
      <alignment horizontal="center"/>
    </xf>
    <xf numFmtId="2" fontId="6" fillId="0" borderId="14" xfId="0" applyNumberFormat="1" applyFont="1" applyBorder="1" applyAlignment="1">
      <alignment horizontal="center"/>
    </xf>
    <xf numFmtId="2" fontId="6" fillId="0" borderId="18" xfId="0" applyNumberFormat="1" applyFont="1" applyBorder="1" applyAlignment="1">
      <alignment horizontal="center"/>
    </xf>
    <xf numFmtId="0" fontId="66" fillId="0" borderId="1" xfId="0" applyFont="1" applyBorder="1" applyAlignment="1">
      <alignment horizontal="center" vertical="center" wrapText="1"/>
    </xf>
    <xf numFmtId="2" fontId="6" fillId="0" borderId="1" xfId="0" applyNumberFormat="1" applyFont="1" applyBorder="1" applyAlignment="1">
      <alignment horizontal="center"/>
    </xf>
    <xf numFmtId="0" fontId="64" fillId="0" borderId="0" xfId="0" applyFont="1"/>
    <xf numFmtId="0" fontId="67" fillId="0" borderId="0" xfId="0" applyFont="1" applyAlignment="1">
      <alignment horizontal="left" wrapText="1"/>
    </xf>
    <xf numFmtId="0" fontId="67" fillId="0" borderId="0" xfId="0" applyFont="1"/>
    <xf numFmtId="0" fontId="67" fillId="0" borderId="0" xfId="0" applyFont="1" applyAlignment="1">
      <alignment horizontal="center"/>
    </xf>
    <xf numFmtId="0" fontId="63" fillId="0" borderId="0" xfId="0" applyFont="1" applyAlignment="1">
      <alignment horizontal="left" wrapText="1"/>
    </xf>
    <xf numFmtId="0" fontId="6" fillId="22" borderId="0" xfId="0" applyFont="1" applyFill="1" applyAlignment="1">
      <alignment horizontal="center"/>
    </xf>
    <xf numFmtId="0" fontId="67" fillId="22" borderId="0" xfId="0" applyFont="1" applyFill="1"/>
    <xf numFmtId="0" fontId="6" fillId="22" borderId="0" xfId="0" applyFont="1" applyFill="1"/>
    <xf numFmtId="0" fontId="0" fillId="0" borderId="112" xfId="0" applyBorder="1" applyAlignment="1">
      <alignment wrapText="1"/>
    </xf>
    <xf numFmtId="0" fontId="0" fillId="0" borderId="110" xfId="0" applyBorder="1" applyAlignment="1">
      <alignment wrapText="1"/>
    </xf>
    <xf numFmtId="0" fontId="0" fillId="0" borderId="111" xfId="0" applyBorder="1" applyAlignment="1">
      <alignment wrapText="1"/>
    </xf>
    <xf numFmtId="0" fontId="6" fillId="0" borderId="0" xfId="3" applyAlignment="1">
      <alignment horizontal="center" vertical="center" wrapText="1"/>
    </xf>
    <xf numFmtId="0" fontId="69" fillId="0" borderId="115" xfId="0" applyFont="1" applyBorder="1" applyAlignment="1">
      <alignment vertical="center"/>
    </xf>
    <xf numFmtId="0" fontId="69" fillId="0" borderId="116" xfId="0" applyFont="1" applyBorder="1" applyAlignment="1">
      <alignment vertical="center"/>
    </xf>
    <xf numFmtId="0" fontId="39" fillId="0" borderId="1" xfId="0" applyFont="1" applyBorder="1" applyAlignment="1">
      <alignment horizontal="left" vertical="center" wrapText="1"/>
    </xf>
    <xf numFmtId="0" fontId="24" fillId="0" borderId="0" xfId="3" applyFont="1" applyAlignment="1">
      <alignment horizontal="left" vertical="top"/>
    </xf>
    <xf numFmtId="14" fontId="6" fillId="15" borderId="1" xfId="3" applyNumberFormat="1" applyFill="1" applyBorder="1" applyAlignment="1">
      <alignment horizontal="center" vertical="center"/>
    </xf>
    <xf numFmtId="177" fontId="6" fillId="15" borderId="1" xfId="3" applyNumberFormat="1" applyFill="1" applyBorder="1" applyAlignment="1">
      <alignment horizontal="center" vertical="center"/>
    </xf>
    <xf numFmtId="0" fontId="31" fillId="0" borderId="0" xfId="0" applyFont="1" applyAlignment="1">
      <alignment horizontal="center" vertical="center"/>
    </xf>
    <xf numFmtId="0" fontId="70" fillId="0" borderId="0" xfId="0" applyFont="1" applyAlignment="1">
      <alignment horizontal="left"/>
    </xf>
    <xf numFmtId="178" fontId="0" fillId="0" borderId="0" xfId="0" applyNumberFormat="1"/>
    <xf numFmtId="178" fontId="24" fillId="0" borderId="0" xfId="3" applyNumberFormat="1" applyFont="1" applyAlignment="1">
      <alignment horizontal="left"/>
    </xf>
    <xf numFmtId="178" fontId="6" fillId="0" borderId="0" xfId="3" applyNumberFormat="1"/>
    <xf numFmtId="0" fontId="31" fillId="0" borderId="1" xfId="0" applyFont="1" applyBorder="1" applyAlignment="1">
      <alignment horizontal="left" vertical="center"/>
    </xf>
    <xf numFmtId="179" fontId="31" fillId="0" borderId="1" xfId="0" applyNumberFormat="1" applyFont="1" applyBorder="1" applyAlignment="1">
      <alignment horizontal="left"/>
    </xf>
    <xf numFmtId="0" fontId="42" fillId="0" borderId="1" xfId="0" applyFont="1" applyBorder="1" applyAlignment="1">
      <alignment horizontal="left" vertical="center"/>
    </xf>
    <xf numFmtId="0" fontId="31" fillId="15" borderId="1" xfId="0" applyFont="1" applyFill="1" applyBorder="1" applyAlignment="1">
      <alignment horizontal="left" vertical="center"/>
    </xf>
    <xf numFmtId="0" fontId="31" fillId="0" borderId="1" xfId="0" quotePrefix="1" applyFont="1" applyBorder="1" applyAlignment="1">
      <alignment horizontal="left" vertical="center"/>
    </xf>
    <xf numFmtId="0" fontId="69" fillId="0" borderId="116" xfId="0" applyFont="1" applyBorder="1" applyAlignment="1">
      <alignment horizontal="left" vertical="center"/>
    </xf>
    <xf numFmtId="178" fontId="69" fillId="0" borderId="116" xfId="0" applyNumberFormat="1" applyFont="1" applyBorder="1" applyAlignment="1">
      <alignment horizontal="left" vertical="center"/>
    </xf>
    <xf numFmtId="0" fontId="69" fillId="0" borderId="116" xfId="0" applyFont="1" applyBorder="1" applyAlignment="1">
      <alignment horizontal="left"/>
    </xf>
    <xf numFmtId="179" fontId="69" fillId="0" borderId="116" xfId="0" applyNumberFormat="1" applyFont="1" applyBorder="1" applyAlignment="1">
      <alignment horizontal="left"/>
    </xf>
    <xf numFmtId="178" fontId="24" fillId="0" borderId="0" xfId="3" applyNumberFormat="1" applyFont="1" applyAlignment="1">
      <alignment horizontal="left" vertical="top"/>
    </xf>
    <xf numFmtId="173" fontId="31" fillId="0" borderId="1" xfId="0" applyNumberFormat="1" applyFont="1" applyBorder="1" applyAlignment="1">
      <alignment horizontal="left"/>
    </xf>
    <xf numFmtId="10" fontId="31" fillId="0" borderId="1" xfId="5" applyNumberFormat="1" applyFont="1" applyFill="1" applyBorder="1" applyAlignment="1">
      <alignment horizontal="left"/>
    </xf>
    <xf numFmtId="170" fontId="31" fillId="0" borderId="1" xfId="0" applyNumberFormat="1" applyFont="1" applyBorder="1" applyAlignment="1">
      <alignment horizontal="left" vertical="center"/>
    </xf>
    <xf numFmtId="0" fontId="3" fillId="0" borderId="1" xfId="0" applyFont="1" applyBorder="1" applyAlignment="1">
      <alignment horizontal="center"/>
    </xf>
    <xf numFmtId="0" fontId="3" fillId="0" borderId="0" xfId="0" applyFont="1" applyAlignment="1">
      <alignment horizontal="center"/>
    </xf>
    <xf numFmtId="0" fontId="31" fillId="0" borderId="1" xfId="0" applyFont="1" applyBorder="1" applyAlignment="1">
      <alignment horizontal="center"/>
    </xf>
    <xf numFmtId="0" fontId="42" fillId="0" borderId="0" xfId="0" applyFont="1" applyAlignment="1">
      <alignment horizontal="left" vertical="top" indent="1"/>
    </xf>
    <xf numFmtId="0" fontId="14" fillId="17" borderId="12" xfId="3" applyFont="1" applyFill="1" applyBorder="1" applyAlignment="1">
      <alignment horizontal="center" vertical="center"/>
    </xf>
    <xf numFmtId="0" fontId="14" fillId="17" borderId="10" xfId="3" applyFont="1" applyFill="1" applyBorder="1" applyAlignment="1">
      <alignment horizontal="center" vertical="center"/>
    </xf>
    <xf numFmtId="0" fontId="71" fillId="0" borderId="1" xfId="0" applyFont="1" applyBorder="1" applyAlignment="1">
      <alignment vertical="center" wrapText="1"/>
    </xf>
    <xf numFmtId="0" fontId="72" fillId="0" borderId="2" xfId="0" applyFont="1" applyBorder="1"/>
    <xf numFmtId="0" fontId="0" fillId="0" borderId="12" xfId="0" applyBorder="1"/>
    <xf numFmtId="0" fontId="0" fillId="0" borderId="14" xfId="0" applyBorder="1"/>
    <xf numFmtId="0" fontId="0" fillId="0" borderId="18" xfId="0" applyBorder="1"/>
    <xf numFmtId="0" fontId="54" fillId="0" borderId="0" xfId="0" applyFont="1" applyAlignment="1">
      <alignment vertical="center"/>
    </xf>
    <xf numFmtId="0" fontId="54" fillId="0" borderId="0" xfId="0" applyFont="1"/>
    <xf numFmtId="0" fontId="32" fillId="0" borderId="0" xfId="0" applyFont="1" applyAlignment="1">
      <alignment vertical="center"/>
    </xf>
    <xf numFmtId="0" fontId="74" fillId="0" borderId="0" xfId="0" applyFont="1" applyAlignment="1">
      <alignment vertical="center"/>
    </xf>
    <xf numFmtId="0" fontId="32" fillId="0" borderId="0" xfId="0" applyFont="1" applyAlignment="1">
      <alignment vertical="top"/>
    </xf>
    <xf numFmtId="0" fontId="74" fillId="0" borderId="0" xfId="0" applyFont="1" applyAlignment="1">
      <alignment vertical="top"/>
    </xf>
    <xf numFmtId="0" fontId="75" fillId="0" borderId="0" xfId="0" applyFont="1" applyAlignment="1">
      <alignment vertical="center"/>
    </xf>
    <xf numFmtId="0" fontId="75" fillId="0" borderId="0" xfId="0" applyFont="1" applyAlignment="1">
      <alignment horizontal="center" vertical="center"/>
    </xf>
    <xf numFmtId="0" fontId="27" fillId="0" borderId="10" xfId="3" applyFont="1" applyBorder="1" applyAlignment="1">
      <alignment horizontal="center" vertical="center" wrapText="1"/>
    </xf>
    <xf numFmtId="0" fontId="75" fillId="0" borderId="4" xfId="0" applyFont="1" applyBorder="1" applyAlignment="1">
      <alignment horizontal="center" vertical="center"/>
    </xf>
    <xf numFmtId="0" fontId="6" fillId="0" borderId="11" xfId="3" applyBorder="1" applyAlignment="1">
      <alignment horizontal="centerContinuous" vertical="center" wrapText="1"/>
    </xf>
    <xf numFmtId="0" fontId="6" fillId="0" borderId="13" xfId="3" applyBorder="1" applyAlignment="1">
      <alignment vertical="center"/>
    </xf>
    <xf numFmtId="0" fontId="6" fillId="0" borderId="5" xfId="3" applyBorder="1"/>
    <xf numFmtId="0" fontId="6" fillId="0" borderId="13" xfId="3" applyBorder="1" applyAlignment="1">
      <alignment horizontal="left"/>
    </xf>
    <xf numFmtId="169" fontId="6" fillId="0" borderId="0" xfId="3" applyNumberFormat="1" applyAlignment="1">
      <alignment horizontal="left"/>
    </xf>
    <xf numFmtId="2" fontId="6" fillId="0" borderId="13" xfId="3" applyNumberFormat="1" applyBorder="1" applyAlignment="1">
      <alignment horizontal="left"/>
    </xf>
    <xf numFmtId="0" fontId="6" fillId="0" borderId="15" xfId="3" applyBorder="1" applyAlignment="1">
      <alignment vertical="center"/>
    </xf>
    <xf numFmtId="0" fontId="6" fillId="0" borderId="17" xfId="3" applyBorder="1" applyAlignment="1">
      <alignment vertical="center"/>
    </xf>
    <xf numFmtId="0" fontId="6" fillId="0" borderId="2" xfId="3" applyBorder="1" applyAlignment="1">
      <alignment horizontal="center" vertical="center"/>
    </xf>
    <xf numFmtId="0" fontId="6" fillId="0" borderId="10" xfId="3" applyBorder="1" applyAlignment="1">
      <alignment horizontal="left"/>
    </xf>
    <xf numFmtId="0" fontId="6" fillId="0" borderId="4" xfId="3" applyBorder="1" applyAlignment="1">
      <alignment horizontal="left"/>
    </xf>
    <xf numFmtId="0" fontId="6" fillId="0" borderId="11" xfId="3" applyBorder="1" applyAlignment="1">
      <alignment horizontal="left"/>
    </xf>
    <xf numFmtId="0" fontId="6" fillId="0" borderId="16" xfId="3" applyBorder="1" applyAlignment="1">
      <alignment vertical="center"/>
    </xf>
    <xf numFmtId="2" fontId="0" fillId="0" borderId="12" xfId="0" applyNumberFormat="1" applyBorder="1"/>
    <xf numFmtId="2" fontId="0" fillId="0" borderId="14" xfId="0" applyNumberFormat="1" applyBorder="1"/>
    <xf numFmtId="2" fontId="0" fillId="0" borderId="18" xfId="0" applyNumberFormat="1" applyBorder="1"/>
    <xf numFmtId="1" fontId="6" fillId="0" borderId="51" xfId="2" applyNumberFormat="1" applyFont="1" applyFill="1" applyBorder="1" applyAlignment="1">
      <alignment horizontal="center"/>
    </xf>
    <xf numFmtId="1" fontId="6" fillId="0" borderId="51" xfId="2" applyNumberFormat="1" applyFont="1" applyFill="1" applyBorder="1" applyAlignment="1">
      <alignment horizontal="center" vertical="center"/>
    </xf>
    <xf numFmtId="0" fontId="14" fillId="0" borderId="0" xfId="3" applyFont="1" applyAlignment="1">
      <alignment vertical="center"/>
    </xf>
    <xf numFmtId="0" fontId="14" fillId="0" borderId="0" xfId="3" applyFont="1" applyAlignment="1">
      <alignment horizontal="center" vertical="center"/>
    </xf>
    <xf numFmtId="0" fontId="78" fillId="0" borderId="0" xfId="3" applyFont="1" applyAlignment="1">
      <alignment horizontal="center" vertical="center"/>
    </xf>
    <xf numFmtId="0" fontId="22" fillId="0" borderId="65" xfId="3" applyFont="1" applyBorder="1" applyAlignment="1">
      <alignment vertical="center"/>
    </xf>
    <xf numFmtId="0" fontId="71" fillId="0" borderId="1" xfId="0" applyFont="1" applyBorder="1" applyAlignment="1">
      <alignment horizontal="left" vertical="center" wrapText="1"/>
    </xf>
    <xf numFmtId="14" fontId="6" fillId="0" borderId="0" xfId="3" applyNumberFormat="1" applyAlignment="1">
      <alignment horizontal="left"/>
    </xf>
    <xf numFmtId="170" fontId="31" fillId="0" borderId="1" xfId="0" applyNumberFormat="1" applyFont="1" applyBorder="1" applyAlignment="1">
      <alignment horizontal="center"/>
    </xf>
    <xf numFmtId="4" fontId="31" fillId="0" borderId="0" xfId="0" applyNumberFormat="1" applyFont="1" applyAlignment="1">
      <alignment horizontal="center"/>
    </xf>
    <xf numFmtId="2" fontId="22" fillId="0" borderId="51" xfId="3" applyNumberFormat="1" applyFont="1" applyBorder="1" applyAlignment="1">
      <alignment horizontal="center" vertical="center"/>
    </xf>
    <xf numFmtId="2" fontId="6" fillId="0" borderId="14" xfId="3" applyNumberFormat="1" applyBorder="1" applyAlignment="1">
      <alignment horizontal="center"/>
    </xf>
    <xf numFmtId="2" fontId="6" fillId="0" borderId="12" xfId="3" applyNumberFormat="1" applyBorder="1" applyAlignment="1">
      <alignment horizontal="center"/>
    </xf>
    <xf numFmtId="14" fontId="0" fillId="0" borderId="16" xfId="0" applyNumberFormat="1" applyBorder="1"/>
    <xf numFmtId="0" fontId="32" fillId="0" borderId="2" xfId="0" applyFont="1" applyBorder="1" applyAlignment="1">
      <alignment horizontal="left"/>
    </xf>
    <xf numFmtId="0" fontId="32" fillId="0" borderId="6" xfId="0" applyFont="1" applyBorder="1" applyAlignment="1">
      <alignment horizontal="left"/>
    </xf>
    <xf numFmtId="0" fontId="32" fillId="0" borderId="3" xfId="0" applyFont="1" applyBorder="1" applyAlignment="1">
      <alignment horizontal="left"/>
    </xf>
    <xf numFmtId="0" fontId="31" fillId="15" borderId="2" xfId="0" applyFont="1" applyFill="1" applyBorder="1" applyAlignment="1">
      <alignment horizontal="left" vertical="center"/>
    </xf>
    <xf numFmtId="0" fontId="31" fillId="15" borderId="6" xfId="0" applyFont="1" applyFill="1" applyBorder="1" applyAlignment="1">
      <alignment horizontal="left" vertical="center"/>
    </xf>
    <xf numFmtId="0" fontId="31" fillId="15" borderId="3" xfId="0" applyFont="1" applyFill="1" applyBorder="1" applyAlignment="1">
      <alignment horizontal="left" vertical="center"/>
    </xf>
    <xf numFmtId="0" fontId="31" fillId="0" borderId="2" xfId="0" applyFont="1" applyBorder="1" applyAlignment="1">
      <alignment horizontal="left"/>
    </xf>
    <xf numFmtId="0" fontId="31" fillId="0" borderId="6" xfId="0" applyFont="1" applyBorder="1" applyAlignment="1">
      <alignment horizontal="left"/>
    </xf>
    <xf numFmtId="0" fontId="31" fillId="0" borderId="3" xfId="0" applyFont="1" applyBorder="1" applyAlignment="1">
      <alignment horizontal="left"/>
    </xf>
    <xf numFmtId="0" fontId="54" fillId="0" borderId="0" xfId="0" applyFont="1" applyAlignment="1">
      <alignment horizontal="center"/>
    </xf>
    <xf numFmtId="0" fontId="32" fillId="0" borderId="0" xfId="0" applyFont="1" applyAlignment="1">
      <alignment horizontal="center"/>
    </xf>
    <xf numFmtId="0" fontId="32" fillId="0" borderId="0" xfId="0" applyFont="1" applyAlignment="1">
      <alignment horizontal="center" vertical="center"/>
    </xf>
    <xf numFmtId="0" fontId="31" fillId="12" borderId="73" xfId="0" applyFont="1" applyFill="1" applyBorder="1" applyAlignment="1">
      <alignment horizontal="left" vertical="center"/>
    </xf>
    <xf numFmtId="0" fontId="31" fillId="12" borderId="74" xfId="0" applyFont="1" applyFill="1" applyBorder="1" applyAlignment="1">
      <alignment horizontal="left" vertical="center"/>
    </xf>
    <xf numFmtId="0" fontId="31" fillId="12" borderId="75" xfId="0" applyFont="1" applyFill="1" applyBorder="1" applyAlignment="1">
      <alignment horizontal="left" vertical="center"/>
    </xf>
    <xf numFmtId="0" fontId="31" fillId="12" borderId="76" xfId="0" applyFont="1" applyFill="1" applyBorder="1" applyAlignment="1">
      <alignment horizontal="left" vertical="center"/>
    </xf>
    <xf numFmtId="0" fontId="31" fillId="12" borderId="77" xfId="0" applyFont="1" applyFill="1" applyBorder="1" applyAlignment="1">
      <alignment horizontal="left" vertical="center"/>
    </xf>
    <xf numFmtId="0" fontId="31" fillId="12" borderId="78" xfId="0" applyFont="1" applyFill="1" applyBorder="1" applyAlignment="1">
      <alignment horizontal="left" vertical="center"/>
    </xf>
    <xf numFmtId="0" fontId="33" fillId="0" borderId="2" xfId="0" applyFont="1" applyBorder="1" applyAlignment="1">
      <alignment horizontal="left"/>
    </xf>
    <xf numFmtId="0" fontId="33" fillId="0" borderId="6" xfId="0" applyFont="1" applyBorder="1" applyAlignment="1">
      <alignment horizontal="left"/>
    </xf>
    <xf numFmtId="0" fontId="33" fillId="0" borderId="3" xfId="0" applyFont="1" applyBorder="1" applyAlignment="1">
      <alignment horizontal="left"/>
    </xf>
    <xf numFmtId="0" fontId="33" fillId="0" borderId="2" xfId="0" applyFont="1" applyBorder="1" applyAlignment="1">
      <alignment horizontal="center"/>
    </xf>
    <xf numFmtId="0" fontId="33" fillId="0" borderId="6" xfId="0" applyFont="1" applyBorder="1" applyAlignment="1">
      <alignment horizontal="center"/>
    </xf>
    <xf numFmtId="0" fontId="33" fillId="0" borderId="3" xfId="0" applyFont="1" applyBorder="1" applyAlignment="1">
      <alignment horizontal="center"/>
    </xf>
    <xf numFmtId="0" fontId="33" fillId="14" borderId="2" xfId="0" applyFont="1" applyFill="1" applyBorder="1" applyAlignment="1">
      <alignment horizontal="left"/>
    </xf>
    <xf numFmtId="0" fontId="33" fillId="14" borderId="6" xfId="0" applyFont="1" applyFill="1" applyBorder="1" applyAlignment="1">
      <alignment horizontal="left"/>
    </xf>
    <xf numFmtId="0" fontId="33" fillId="14" borderId="3" xfId="0" applyFont="1" applyFill="1" applyBorder="1" applyAlignment="1">
      <alignment horizontal="left"/>
    </xf>
    <xf numFmtId="0" fontId="31" fillId="0" borderId="2" xfId="0" applyFont="1" applyBorder="1" applyAlignment="1">
      <alignment horizontal="left" wrapText="1"/>
    </xf>
    <xf numFmtId="0" fontId="31" fillId="0" borderId="6" xfId="0" applyFont="1" applyBorder="1" applyAlignment="1">
      <alignment horizontal="left" wrapText="1"/>
    </xf>
    <xf numFmtId="0" fontId="31" fillId="0" borderId="3" xfId="0" applyFont="1" applyBorder="1" applyAlignment="1">
      <alignment horizontal="left" wrapText="1"/>
    </xf>
    <xf numFmtId="0" fontId="34" fillId="0" borderId="0" xfId="0" applyFont="1" applyAlignment="1">
      <alignment horizontal="center"/>
    </xf>
    <xf numFmtId="0" fontId="33" fillId="0" borderId="2" xfId="0" applyFont="1" applyBorder="1" applyAlignment="1">
      <alignment horizontal="left" vertical="center" wrapText="1"/>
    </xf>
    <xf numFmtId="0" fontId="33" fillId="0" borderId="6" xfId="0" applyFont="1" applyBorder="1" applyAlignment="1">
      <alignment horizontal="left" vertical="center" wrapText="1"/>
    </xf>
    <xf numFmtId="0" fontId="33" fillId="0" borderId="3" xfId="0" applyFont="1" applyBorder="1" applyAlignment="1">
      <alignment horizontal="left" vertical="center" wrapText="1"/>
    </xf>
    <xf numFmtId="0" fontId="33" fillId="14" borderId="2" xfId="0" applyFont="1" applyFill="1" applyBorder="1" applyAlignment="1">
      <alignment horizontal="left" vertical="center" wrapText="1"/>
    </xf>
    <xf numFmtId="0" fontId="33" fillId="14" borderId="6" xfId="0" applyFont="1" applyFill="1" applyBorder="1" applyAlignment="1">
      <alignment horizontal="left" vertical="center" wrapText="1"/>
    </xf>
    <xf numFmtId="0" fontId="33" fillId="14" borderId="3" xfId="0" applyFont="1" applyFill="1" applyBorder="1" applyAlignment="1">
      <alignment horizontal="left" vertical="center" wrapText="1"/>
    </xf>
    <xf numFmtId="0" fontId="49" fillId="16" borderId="10" xfId="0" applyFont="1" applyFill="1" applyBorder="1" applyAlignment="1">
      <alignment horizontal="center" vertical="center" wrapText="1"/>
    </xf>
    <xf numFmtId="0" fontId="49" fillId="16" borderId="4" xfId="0" applyFont="1" applyFill="1" applyBorder="1" applyAlignment="1">
      <alignment horizontal="center" vertical="center" wrapText="1"/>
    </xf>
    <xf numFmtId="0" fontId="49" fillId="16" borderId="11" xfId="0" applyFont="1" applyFill="1" applyBorder="1" applyAlignment="1">
      <alignment horizontal="center" vertical="center" wrapText="1"/>
    </xf>
    <xf numFmtId="0" fontId="49" fillId="16" borderId="15" xfId="0" applyFont="1" applyFill="1" applyBorder="1" applyAlignment="1">
      <alignment horizontal="center" vertical="center" wrapText="1"/>
    </xf>
    <xf numFmtId="0" fontId="49" fillId="16" borderId="16" xfId="0" applyFont="1" applyFill="1" applyBorder="1" applyAlignment="1">
      <alignment horizontal="center" vertical="center" wrapText="1"/>
    </xf>
    <xf numFmtId="0" fontId="49" fillId="16" borderId="17" xfId="0" applyFont="1" applyFill="1" applyBorder="1" applyAlignment="1">
      <alignment horizontal="center" vertical="center" wrapText="1"/>
    </xf>
    <xf numFmtId="0" fontId="31" fillId="0" borderId="0" xfId="0" applyFont="1" applyAlignment="1">
      <alignment horizontal="center"/>
    </xf>
    <xf numFmtId="0" fontId="31" fillId="12" borderId="73" xfId="0" applyFont="1" applyFill="1" applyBorder="1" applyAlignment="1">
      <alignment horizontal="center" vertical="center"/>
    </xf>
    <xf numFmtId="0" fontId="31" fillId="12" borderId="74" xfId="0" applyFont="1" applyFill="1" applyBorder="1" applyAlignment="1">
      <alignment horizontal="center" vertical="center"/>
    </xf>
    <xf numFmtId="0" fontId="0" fillId="0" borderId="74" xfId="0" applyBorder="1" applyAlignment="1">
      <alignment horizontal="center" vertical="center"/>
    </xf>
    <xf numFmtId="0" fontId="0" fillId="0" borderId="75" xfId="0" applyBorder="1" applyAlignment="1">
      <alignment horizontal="center" vertical="center"/>
    </xf>
    <xf numFmtId="0" fontId="0" fillId="0" borderId="76" xfId="0" applyBorder="1" applyAlignment="1">
      <alignment horizontal="center" vertical="center"/>
    </xf>
    <xf numFmtId="0" fontId="0" fillId="0" borderId="77" xfId="0" applyBorder="1" applyAlignment="1">
      <alignment horizontal="center" vertical="center"/>
    </xf>
    <xf numFmtId="0" fontId="0" fillId="0" borderId="78" xfId="0" applyBorder="1" applyAlignment="1">
      <alignment horizontal="center" vertical="center"/>
    </xf>
    <xf numFmtId="0" fontId="31" fillId="15" borderId="2" xfId="0" applyFont="1" applyFill="1" applyBorder="1" applyAlignment="1">
      <alignment horizontal="left"/>
    </xf>
    <xf numFmtId="0" fontId="31" fillId="15" borderId="6" xfId="0" applyFont="1" applyFill="1" applyBorder="1" applyAlignment="1">
      <alignment horizontal="left"/>
    </xf>
    <xf numFmtId="0" fontId="31" fillId="15" borderId="3" xfId="0" applyFont="1" applyFill="1" applyBorder="1" applyAlignment="1">
      <alignment horizontal="left"/>
    </xf>
    <xf numFmtId="0" fontId="31" fillId="11" borderId="2" xfId="0" applyFont="1" applyFill="1" applyBorder="1" applyAlignment="1">
      <alignment horizontal="center" vertical="center" wrapText="1"/>
    </xf>
    <xf numFmtId="0" fontId="31" fillId="11" borderId="6" xfId="0" applyFont="1" applyFill="1" applyBorder="1" applyAlignment="1">
      <alignment horizontal="center" vertical="center" wrapText="1"/>
    </xf>
    <xf numFmtId="0" fontId="31" fillId="11" borderId="3" xfId="0" applyFont="1" applyFill="1" applyBorder="1" applyAlignment="1">
      <alignment horizontal="center" vertical="center" wrapText="1"/>
    </xf>
    <xf numFmtId="0" fontId="31" fillId="11" borderId="10" xfId="0" applyFont="1" applyFill="1" applyBorder="1" applyAlignment="1">
      <alignment horizontal="center" vertical="center" wrapText="1"/>
    </xf>
    <xf numFmtId="0" fontId="31" fillId="11" borderId="4" xfId="0" applyFont="1" applyFill="1" applyBorder="1" applyAlignment="1">
      <alignment horizontal="center" vertical="center" wrapText="1"/>
    </xf>
    <xf numFmtId="0" fontId="31" fillId="11" borderId="11" xfId="0" applyFont="1" applyFill="1" applyBorder="1" applyAlignment="1">
      <alignment horizontal="center" vertical="center" wrapText="1"/>
    </xf>
    <xf numFmtId="0" fontId="31" fillId="11" borderId="15" xfId="0" applyFont="1" applyFill="1" applyBorder="1" applyAlignment="1">
      <alignment horizontal="center" vertical="center" wrapText="1"/>
    </xf>
    <xf numFmtId="0" fontId="31" fillId="11" borderId="16" xfId="0" applyFont="1" applyFill="1" applyBorder="1" applyAlignment="1">
      <alignment horizontal="center" vertical="center" wrapText="1"/>
    </xf>
    <xf numFmtId="0" fontId="31" fillId="11" borderId="17" xfId="0" applyFont="1" applyFill="1" applyBorder="1" applyAlignment="1">
      <alignment horizontal="center" vertical="center" wrapText="1"/>
    </xf>
    <xf numFmtId="0" fontId="33" fillId="0" borderId="10" xfId="0" applyFont="1" applyBorder="1" applyAlignment="1">
      <alignment horizontal="center"/>
    </xf>
    <xf numFmtId="0" fontId="33" fillId="0" borderId="4" xfId="0" applyFont="1" applyBorder="1" applyAlignment="1">
      <alignment horizontal="center"/>
    </xf>
    <xf numFmtId="0" fontId="33" fillId="0" borderId="1" xfId="0" applyFont="1" applyBorder="1" applyAlignment="1">
      <alignment horizontal="center"/>
    </xf>
    <xf numFmtId="0" fontId="31" fillId="11" borderId="1" xfId="0" applyFont="1" applyFill="1" applyBorder="1" applyAlignment="1">
      <alignment horizontal="center" vertical="center" wrapText="1"/>
    </xf>
    <xf numFmtId="0" fontId="33" fillId="14" borderId="2" xfId="0" applyFont="1" applyFill="1" applyBorder="1" applyAlignment="1">
      <alignment horizontal="center"/>
    </xf>
    <xf numFmtId="0" fontId="0" fillId="0" borderId="3" xfId="0" applyBorder="1"/>
    <xf numFmtId="0" fontId="33" fillId="14" borderId="3" xfId="0" applyFont="1" applyFill="1" applyBorder="1" applyAlignment="1">
      <alignment horizontal="center"/>
    </xf>
    <xf numFmtId="0" fontId="52" fillId="0" borderId="2" xfId="0" applyFont="1" applyBorder="1" applyAlignment="1">
      <alignment horizontal="left"/>
    </xf>
    <xf numFmtId="0" fontId="52" fillId="0" borderId="6" xfId="0" applyFont="1" applyBorder="1" applyAlignment="1">
      <alignment horizontal="left"/>
    </xf>
    <xf numFmtId="0" fontId="52" fillId="0" borderId="3" xfId="0" applyFont="1" applyBorder="1" applyAlignment="1">
      <alignment horizontal="left"/>
    </xf>
    <xf numFmtId="0" fontId="33" fillId="14" borderId="6" xfId="0" applyFont="1" applyFill="1" applyBorder="1" applyAlignment="1">
      <alignment horizontal="center"/>
    </xf>
    <xf numFmtId="0" fontId="42" fillId="0" borderId="2" xfId="0" applyFont="1" applyBorder="1" applyAlignment="1">
      <alignment horizontal="center"/>
    </xf>
    <xf numFmtId="0" fontId="42" fillId="0" borderId="6" xfId="0" applyFont="1" applyBorder="1" applyAlignment="1">
      <alignment horizontal="center"/>
    </xf>
    <xf numFmtId="0" fontId="42" fillId="0" borderId="3" xfId="0" applyFont="1" applyBorder="1" applyAlignment="1">
      <alignment horizontal="center"/>
    </xf>
    <xf numFmtId="0" fontId="31" fillId="0" borderId="2" xfId="0" applyFont="1" applyBorder="1" applyAlignment="1">
      <alignment horizontal="center"/>
    </xf>
    <xf numFmtId="0" fontId="31" fillId="0" borderId="6" xfId="0" applyFont="1" applyBorder="1" applyAlignment="1">
      <alignment horizontal="center"/>
    </xf>
    <xf numFmtId="0" fontId="31" fillId="0" borderId="3" xfId="0" applyFont="1" applyBorder="1" applyAlignment="1">
      <alignment horizontal="center"/>
    </xf>
    <xf numFmtId="0" fontId="21" fillId="11" borderId="10" xfId="0" applyFont="1" applyFill="1" applyBorder="1" applyAlignment="1">
      <alignment horizontal="center" vertical="center" wrapText="1"/>
    </xf>
    <xf numFmtId="0" fontId="21" fillId="11" borderId="4" xfId="0" applyFont="1" applyFill="1" applyBorder="1" applyAlignment="1">
      <alignment horizontal="center" vertical="center" wrapText="1"/>
    </xf>
    <xf numFmtId="0" fontId="21" fillId="11" borderId="11" xfId="0" applyFont="1" applyFill="1" applyBorder="1" applyAlignment="1">
      <alignment horizontal="center" vertical="center" wrapText="1"/>
    </xf>
    <xf numFmtId="0" fontId="21" fillId="11" borderId="15" xfId="0" applyFont="1" applyFill="1" applyBorder="1" applyAlignment="1">
      <alignment horizontal="center" vertical="center" wrapText="1"/>
    </xf>
    <xf numFmtId="0" fontId="21" fillId="11" borderId="16" xfId="0" applyFont="1" applyFill="1" applyBorder="1" applyAlignment="1">
      <alignment horizontal="center" vertical="center" wrapText="1"/>
    </xf>
    <xf numFmtId="0" fontId="21" fillId="11" borderId="17" xfId="0" applyFont="1" applyFill="1" applyBorder="1" applyAlignment="1">
      <alignment horizontal="center" vertical="center" wrapText="1"/>
    </xf>
    <xf numFmtId="0" fontId="19" fillId="8" borderId="2" xfId="0" applyFont="1" applyFill="1" applyBorder="1" applyAlignment="1">
      <alignment horizontal="center" vertical="center"/>
    </xf>
    <xf numFmtId="0" fontId="19" fillId="8" borderId="10" xfId="0" applyFont="1" applyFill="1" applyBorder="1" applyAlignment="1">
      <alignment horizontal="center" vertical="center"/>
    </xf>
    <xf numFmtId="0" fontId="19" fillId="6" borderId="1" xfId="0" applyFont="1" applyFill="1" applyBorder="1" applyAlignment="1">
      <alignment horizontal="left" vertical="center" wrapText="1"/>
    </xf>
    <xf numFmtId="0" fontId="18" fillId="5" borderId="32" xfId="0" applyFont="1" applyFill="1" applyBorder="1" applyAlignment="1">
      <alignment horizontal="left" vertical="center" wrapText="1"/>
    </xf>
    <xf numFmtId="0" fontId="18" fillId="5" borderId="1" xfId="0" applyFont="1" applyFill="1" applyBorder="1" applyAlignment="1">
      <alignment horizontal="left" vertical="center" wrapText="1"/>
    </xf>
    <xf numFmtId="0" fontId="19" fillId="8" borderId="12" xfId="0" applyFont="1" applyFill="1" applyBorder="1" applyAlignment="1">
      <alignment horizontal="center" vertical="center" wrapText="1"/>
    </xf>
    <xf numFmtId="0" fontId="19" fillId="8" borderId="14" xfId="0" applyFont="1" applyFill="1" applyBorder="1" applyAlignment="1">
      <alignment horizontal="center" vertical="center" wrapText="1"/>
    </xf>
    <xf numFmtId="0" fontId="19" fillId="8" borderId="18" xfId="0" applyFont="1" applyFill="1" applyBorder="1" applyAlignment="1">
      <alignment horizontal="center" vertical="center" wrapText="1"/>
    </xf>
    <xf numFmtId="0" fontId="19" fillId="8" borderId="79" xfId="0" applyFont="1" applyFill="1" applyBorder="1" applyAlignment="1">
      <alignment horizontal="center" vertical="center"/>
    </xf>
    <xf numFmtId="0" fontId="19" fillId="7" borderId="12" xfId="0" applyFont="1" applyFill="1" applyBorder="1" applyAlignment="1">
      <alignment horizontal="center" vertical="center" wrapText="1"/>
    </xf>
    <xf numFmtId="0" fontId="19" fillId="7" borderId="14" xfId="0" applyFont="1" applyFill="1" applyBorder="1" applyAlignment="1">
      <alignment horizontal="center" vertical="center" wrapText="1"/>
    </xf>
    <xf numFmtId="0" fontId="19" fillId="7" borderId="18" xfId="0" applyFont="1" applyFill="1" applyBorder="1" applyAlignment="1">
      <alignment horizontal="center" vertical="center" wrapText="1"/>
    </xf>
    <xf numFmtId="0" fontId="19" fillId="7" borderId="1" xfId="0" applyFont="1" applyFill="1" applyBorder="1" applyAlignment="1">
      <alignment horizontal="left" vertical="center" wrapText="1"/>
    </xf>
    <xf numFmtId="0" fontId="19" fillId="7" borderId="11" xfId="0" applyFont="1" applyFill="1" applyBorder="1" applyAlignment="1">
      <alignment horizontal="center" vertical="center"/>
    </xf>
    <xf numFmtId="0" fontId="19" fillId="7" borderId="42" xfId="0" applyFont="1" applyFill="1" applyBorder="1" applyAlignment="1">
      <alignment horizontal="center" vertical="center"/>
    </xf>
    <xf numFmtId="0" fontId="14" fillId="3" borderId="33" xfId="0" applyFont="1" applyFill="1" applyBorder="1" applyAlignment="1">
      <alignment horizontal="center" vertical="center" textRotation="180"/>
    </xf>
    <xf numFmtId="0" fontId="14" fillId="3" borderId="25" xfId="0" applyFont="1" applyFill="1" applyBorder="1" applyAlignment="1">
      <alignment horizontal="center" vertical="center" textRotation="180"/>
    </xf>
    <xf numFmtId="0" fontId="14" fillId="3" borderId="31" xfId="0" applyFont="1" applyFill="1" applyBorder="1" applyAlignment="1">
      <alignment horizontal="center" vertical="center" textRotation="180"/>
    </xf>
    <xf numFmtId="0" fontId="14" fillId="4" borderId="20" xfId="0" applyFont="1" applyFill="1" applyBorder="1" applyAlignment="1">
      <alignment horizontal="center" vertical="center" textRotation="180"/>
    </xf>
    <xf numFmtId="0" fontId="14" fillId="4" borderId="33" xfId="0" applyFont="1" applyFill="1" applyBorder="1" applyAlignment="1">
      <alignment horizontal="center" vertical="center" textRotation="180"/>
    </xf>
    <xf numFmtId="0" fontId="14" fillId="4" borderId="25" xfId="0" applyFont="1" applyFill="1" applyBorder="1" applyAlignment="1">
      <alignment horizontal="center" vertical="center" textRotation="180"/>
    </xf>
    <xf numFmtId="0" fontId="14" fillId="4" borderId="38" xfId="0" applyFont="1" applyFill="1" applyBorder="1" applyAlignment="1">
      <alignment horizontal="center" vertical="center" textRotation="180"/>
    </xf>
    <xf numFmtId="0" fontId="14" fillId="4" borderId="31" xfId="0" applyFont="1" applyFill="1" applyBorder="1" applyAlignment="1">
      <alignment horizontal="center" vertical="center" textRotation="180"/>
    </xf>
    <xf numFmtId="0" fontId="13" fillId="13" borderId="12" xfId="3" applyFont="1" applyFill="1" applyBorder="1" applyAlignment="1">
      <alignment horizontal="center" vertical="center"/>
    </xf>
    <xf numFmtId="0" fontId="0" fillId="0" borderId="18" xfId="0" applyBorder="1" applyAlignment="1">
      <alignment horizontal="center" vertical="center"/>
    </xf>
    <xf numFmtId="0" fontId="19" fillId="8" borderId="79" xfId="0" applyFont="1" applyFill="1" applyBorder="1" applyAlignment="1">
      <alignment horizontal="center" vertical="center" wrapText="1"/>
    </xf>
    <xf numFmtId="0" fontId="19" fillId="8" borderId="2" xfId="0" applyFont="1" applyFill="1" applyBorder="1" applyAlignment="1">
      <alignment horizontal="center" vertical="center" wrapText="1"/>
    </xf>
    <xf numFmtId="0" fontId="14" fillId="4" borderId="45" xfId="0" applyFont="1" applyFill="1" applyBorder="1" applyAlignment="1">
      <alignment horizontal="center" vertical="center" textRotation="180"/>
    </xf>
    <xf numFmtId="0" fontId="14" fillId="4" borderId="43" xfId="0" applyFont="1" applyFill="1" applyBorder="1" applyAlignment="1">
      <alignment horizontal="center" vertical="center" textRotation="180"/>
    </xf>
    <xf numFmtId="0" fontId="14" fillId="4" borderId="35" xfId="0" applyFont="1" applyFill="1" applyBorder="1" applyAlignment="1">
      <alignment horizontal="center" vertical="center" textRotation="180"/>
    </xf>
    <xf numFmtId="0" fontId="19" fillId="7" borderId="2" xfId="0" applyFont="1" applyFill="1" applyBorder="1" applyAlignment="1">
      <alignment horizontal="center" vertical="center"/>
    </xf>
    <xf numFmtId="0" fontId="14" fillId="2" borderId="45" xfId="0" applyFont="1" applyFill="1" applyBorder="1" applyAlignment="1">
      <alignment horizontal="center" vertical="center" textRotation="180"/>
    </xf>
    <xf numFmtId="0" fontId="14" fillId="2" borderId="43" xfId="0" applyFont="1" applyFill="1" applyBorder="1" applyAlignment="1">
      <alignment horizontal="center" vertical="center" textRotation="180"/>
    </xf>
    <xf numFmtId="0" fontId="19" fillId="7" borderId="12" xfId="0" applyFont="1" applyFill="1" applyBorder="1" applyAlignment="1">
      <alignment horizontal="center" vertical="center"/>
    </xf>
    <xf numFmtId="0" fontId="19" fillId="7" borderId="14" xfId="0" applyFont="1" applyFill="1" applyBorder="1" applyAlignment="1">
      <alignment horizontal="center" vertical="center"/>
    </xf>
    <xf numFmtId="0" fontId="19" fillId="8" borderId="32" xfId="0" applyFont="1" applyFill="1" applyBorder="1" applyAlignment="1">
      <alignment horizontal="left" vertical="center" wrapText="1"/>
    </xf>
    <xf numFmtId="0" fontId="19" fillId="8" borderId="1" xfId="0" applyFont="1" applyFill="1" applyBorder="1" applyAlignment="1">
      <alignment horizontal="left" vertical="center" wrapText="1"/>
    </xf>
    <xf numFmtId="0" fontId="16" fillId="4" borderId="80" xfId="0" applyFont="1" applyFill="1" applyBorder="1" applyAlignment="1">
      <alignment horizontal="center" vertical="center" textRotation="180"/>
    </xf>
    <xf numFmtId="0" fontId="16" fillId="4" borderId="81" xfId="0" applyFont="1" applyFill="1" applyBorder="1" applyAlignment="1">
      <alignment horizontal="center" vertical="center" textRotation="180"/>
    </xf>
    <xf numFmtId="0" fontId="16" fillId="4" borderId="82" xfId="0" applyFont="1" applyFill="1" applyBorder="1" applyAlignment="1">
      <alignment horizontal="center" vertical="center" textRotation="180"/>
    </xf>
    <xf numFmtId="0" fontId="16" fillId="4" borderId="83" xfId="0" applyFont="1" applyFill="1" applyBorder="1" applyAlignment="1">
      <alignment horizontal="center" vertical="center" textRotation="180"/>
    </xf>
    <xf numFmtId="0" fontId="19" fillId="7" borderId="2" xfId="0" applyFont="1" applyFill="1" applyBorder="1" applyAlignment="1">
      <alignment horizontal="center" vertical="center" wrapText="1"/>
    </xf>
    <xf numFmtId="0" fontId="15" fillId="0" borderId="19" xfId="0" applyFont="1" applyBorder="1" applyAlignment="1">
      <alignment horizontal="center" wrapText="1"/>
    </xf>
    <xf numFmtId="0" fontId="15" fillId="0" borderId="32" xfId="0" applyFont="1" applyBorder="1" applyAlignment="1">
      <alignment horizontal="center" wrapText="1"/>
    </xf>
    <xf numFmtId="0" fontId="15" fillId="0" borderId="20" xfId="0" applyFont="1" applyBorder="1" applyAlignment="1">
      <alignment horizontal="center" wrapText="1"/>
    </xf>
    <xf numFmtId="0" fontId="16" fillId="0" borderId="12" xfId="0" applyFont="1" applyBorder="1" applyAlignment="1">
      <alignment horizontal="center" vertical="center"/>
    </xf>
    <xf numFmtId="0" fontId="6" fillId="0" borderId="0" xfId="3" applyAlignment="1">
      <alignment horizontal="center"/>
    </xf>
    <xf numFmtId="0" fontId="32" fillId="12" borderId="73" xfId="0" applyFont="1" applyFill="1" applyBorder="1" applyAlignment="1">
      <alignment vertical="center"/>
    </xf>
    <xf numFmtId="0" fontId="0" fillId="0" borderId="74" xfId="0" applyBorder="1" applyAlignment="1">
      <alignment vertical="center"/>
    </xf>
    <xf numFmtId="0" fontId="0" fillId="0" borderId="75" xfId="0" applyBorder="1" applyAlignment="1">
      <alignment vertical="center"/>
    </xf>
    <xf numFmtId="0" fontId="0" fillId="0" borderId="76" xfId="0" applyBorder="1" applyAlignment="1">
      <alignment vertical="center"/>
    </xf>
    <xf numFmtId="0" fontId="0" fillId="0" borderId="77" xfId="0" applyBorder="1" applyAlignment="1">
      <alignment vertical="center"/>
    </xf>
    <xf numFmtId="0" fontId="0" fillId="0" borderId="78" xfId="0" applyBorder="1" applyAlignment="1">
      <alignment vertical="center"/>
    </xf>
    <xf numFmtId="0" fontId="46" fillId="0" borderId="84" xfId="0" applyFont="1" applyBorder="1" applyAlignment="1">
      <alignment horizontal="left" vertical="center" wrapText="1"/>
    </xf>
    <xf numFmtId="0" fontId="46" fillId="0" borderId="85" xfId="0" applyFont="1" applyBorder="1" applyAlignment="1">
      <alignment horizontal="left" vertical="center" wrapText="1"/>
    </xf>
    <xf numFmtId="0" fontId="0" fillId="0" borderId="5" xfId="0" applyBorder="1" applyAlignment="1">
      <alignment wrapText="1"/>
    </xf>
    <xf numFmtId="0" fontId="0" fillId="0" borderId="0" xfId="0" applyAlignment="1">
      <alignment wrapText="1"/>
    </xf>
    <xf numFmtId="0" fontId="0" fillId="0" borderId="13" xfId="0" applyBorder="1" applyAlignment="1">
      <alignment wrapText="1"/>
    </xf>
    <xf numFmtId="0" fontId="46" fillId="0" borderId="57" xfId="0" applyFont="1" applyBorder="1" applyAlignment="1">
      <alignment horizontal="left" vertical="center" wrapText="1"/>
    </xf>
    <xf numFmtId="0" fontId="46" fillId="0" borderId="65" xfId="0" applyFont="1" applyBorder="1" applyAlignment="1">
      <alignment horizontal="left" vertical="center" wrapText="1"/>
    </xf>
    <xf numFmtId="0" fontId="46" fillId="0" borderId="71" xfId="0" applyFont="1" applyBorder="1" applyAlignment="1">
      <alignment horizontal="left" vertical="center" wrapText="1"/>
    </xf>
    <xf numFmtId="0" fontId="0" fillId="0" borderId="57" xfId="0" applyBorder="1" applyAlignment="1">
      <alignment wrapText="1"/>
    </xf>
    <xf numFmtId="0" fontId="0" fillId="0" borderId="65" xfId="0" applyBorder="1" applyAlignment="1">
      <alignment wrapText="1"/>
    </xf>
    <xf numFmtId="0" fontId="0" fillId="0" borderId="71" xfId="0" applyBorder="1" applyAlignment="1">
      <alignment wrapText="1"/>
    </xf>
    <xf numFmtId="0" fontId="46" fillId="0" borderId="84" xfId="0" applyFont="1" applyBorder="1" applyAlignment="1">
      <alignment wrapText="1"/>
    </xf>
    <xf numFmtId="0" fontId="46" fillId="0" borderId="85" xfId="0" applyFont="1" applyBorder="1" applyAlignment="1">
      <alignment wrapText="1"/>
    </xf>
    <xf numFmtId="0" fontId="14" fillId="0" borderId="0" xfId="3" applyFont="1" applyAlignment="1">
      <alignment horizontal="center" vertical="center" wrapText="1"/>
    </xf>
    <xf numFmtId="0" fontId="14" fillId="17" borderId="1" xfId="3" applyFont="1" applyFill="1" applyBorder="1" applyAlignment="1">
      <alignment horizontal="center" vertical="center"/>
    </xf>
    <xf numFmtId="0" fontId="43" fillId="0" borderId="0" xfId="0" applyFont="1" applyAlignment="1">
      <alignment horizontal="center" vertical="center"/>
    </xf>
    <xf numFmtId="0" fontId="27" fillId="0" borderId="0" xfId="3" applyFont="1" applyAlignment="1">
      <alignment horizontal="center" vertical="center" wrapText="1"/>
    </xf>
    <xf numFmtId="0" fontId="24" fillId="0" borderId="0" xfId="3" applyFont="1" applyAlignment="1">
      <alignment horizontal="left"/>
    </xf>
    <xf numFmtId="0" fontId="38" fillId="0" borderId="2" xfId="0" applyFont="1" applyBorder="1" applyAlignment="1">
      <alignment horizontal="center" vertical="center"/>
    </xf>
    <xf numFmtId="0" fontId="38" fillId="0" borderId="6" xfId="0" applyFont="1" applyBorder="1" applyAlignment="1">
      <alignment horizontal="center" vertical="center"/>
    </xf>
    <xf numFmtId="0" fontId="38" fillId="0" borderId="3" xfId="0" applyFont="1" applyBorder="1" applyAlignment="1">
      <alignment horizontal="center" vertical="center"/>
    </xf>
    <xf numFmtId="0" fontId="6" fillId="0" borderId="12" xfId="3" applyBorder="1" applyAlignment="1">
      <alignment horizontal="center" vertical="center"/>
    </xf>
    <xf numFmtId="0" fontId="6" fillId="0" borderId="18" xfId="3" applyBorder="1" applyAlignment="1">
      <alignment horizontal="center" vertical="center"/>
    </xf>
    <xf numFmtId="0" fontId="24" fillId="0" borderId="2" xfId="3" applyFont="1" applyBorder="1" applyAlignment="1">
      <alignment horizontal="center" vertical="center"/>
    </xf>
    <xf numFmtId="0" fontId="24" fillId="0" borderId="6" xfId="3" applyFont="1" applyBorder="1" applyAlignment="1">
      <alignment horizontal="center" vertical="center"/>
    </xf>
    <xf numFmtId="0" fontId="24" fillId="0" borderId="3" xfId="3" applyFont="1" applyBorder="1" applyAlignment="1">
      <alignment horizontal="center" vertical="center"/>
    </xf>
    <xf numFmtId="0" fontId="6" fillId="0" borderId="1" xfId="3" applyBorder="1" applyAlignment="1">
      <alignment horizontal="center" vertical="center"/>
    </xf>
    <xf numFmtId="0" fontId="24" fillId="0" borderId="1" xfId="3" applyFont="1" applyBorder="1" applyAlignment="1">
      <alignment horizontal="center" vertical="center"/>
    </xf>
    <xf numFmtId="168" fontId="14" fillId="0" borderId="86" xfId="3" applyNumberFormat="1" applyFont="1" applyBorder="1" applyAlignment="1">
      <alignment horizontal="center" vertical="center"/>
    </xf>
    <xf numFmtId="0" fontId="30" fillId="0" borderId="87" xfId="0" applyFont="1" applyBorder="1"/>
    <xf numFmtId="0" fontId="30" fillId="0" borderId="88" xfId="0" applyFont="1" applyBorder="1"/>
    <xf numFmtId="0" fontId="47" fillId="11" borderId="86" xfId="3" applyFont="1" applyFill="1" applyBorder="1" applyAlignment="1">
      <alignment horizontal="center" vertical="justify"/>
    </xf>
    <xf numFmtId="0" fontId="55" fillId="0" borderId="87" xfId="0" applyFont="1" applyBorder="1" applyAlignment="1">
      <alignment horizontal="center" vertical="justify"/>
    </xf>
    <xf numFmtId="0" fontId="55" fillId="0" borderId="88" xfId="0" applyFont="1" applyBorder="1" applyAlignment="1">
      <alignment horizontal="center" vertical="justify"/>
    </xf>
    <xf numFmtId="0" fontId="46" fillId="11" borderId="86" xfId="0" applyFont="1" applyFill="1" applyBorder="1" applyAlignment="1">
      <alignment horizontal="center" vertical="center" textRotation="90" wrapText="1"/>
    </xf>
    <xf numFmtId="0" fontId="46" fillId="11" borderId="87" xfId="0" applyFont="1" applyFill="1" applyBorder="1" applyAlignment="1">
      <alignment horizontal="center" vertical="center" textRotation="90" wrapText="1"/>
    </xf>
    <xf numFmtId="0" fontId="46" fillId="11" borderId="88" xfId="0" applyFont="1" applyFill="1" applyBorder="1" applyAlignment="1">
      <alignment horizontal="center" vertical="center" textRotation="90" wrapText="1"/>
    </xf>
    <xf numFmtId="0" fontId="47" fillId="11" borderId="89" xfId="3" applyFont="1" applyFill="1" applyBorder="1" applyAlignment="1">
      <alignment horizontal="center" vertical="center"/>
    </xf>
    <xf numFmtId="0" fontId="47" fillId="11" borderId="90" xfId="3" applyFont="1" applyFill="1" applyBorder="1" applyAlignment="1">
      <alignment horizontal="center" vertical="center"/>
    </xf>
    <xf numFmtId="0" fontId="47" fillId="11" borderId="64" xfId="3" applyFont="1" applyFill="1" applyBorder="1" applyAlignment="1">
      <alignment horizontal="center" vertical="center"/>
    </xf>
    <xf numFmtId="0" fontId="47" fillId="11" borderId="91" xfId="3" applyFont="1" applyFill="1" applyBorder="1" applyAlignment="1">
      <alignment horizontal="center" vertical="center"/>
    </xf>
    <xf numFmtId="0" fontId="55" fillId="0" borderId="92" xfId="0" applyFont="1" applyBorder="1" applyAlignment="1">
      <alignment horizontal="center" vertical="center"/>
    </xf>
    <xf numFmtId="0" fontId="47" fillId="11" borderId="93" xfId="3" applyFont="1" applyFill="1" applyBorder="1" applyAlignment="1">
      <alignment horizontal="center" vertical="center"/>
    </xf>
    <xf numFmtId="0" fontId="55" fillId="0" borderId="5" xfId="0" applyFont="1" applyBorder="1" applyAlignment="1">
      <alignment vertical="center"/>
    </xf>
    <xf numFmtId="0" fontId="55" fillId="0" borderId="94" xfId="0" applyFont="1" applyBorder="1" applyAlignment="1">
      <alignment vertical="center"/>
    </xf>
    <xf numFmtId="0" fontId="55" fillId="11" borderId="95" xfId="0" applyFont="1" applyFill="1" applyBorder="1" applyAlignment="1">
      <alignment horizontal="center" vertical="center"/>
    </xf>
    <xf numFmtId="0" fontId="55" fillId="11" borderId="14" xfId="0" applyFont="1" applyFill="1" applyBorder="1" applyAlignment="1">
      <alignment horizontal="center" vertical="center"/>
    </xf>
    <xf numFmtId="0" fontId="55" fillId="11" borderId="96" xfId="0" applyFont="1" applyFill="1" applyBorder="1" applyAlignment="1">
      <alignment horizontal="center" vertical="center"/>
    </xf>
    <xf numFmtId="0" fontId="6" fillId="0" borderId="2" xfId="3" applyBorder="1" applyAlignment="1">
      <alignment horizontal="center" vertical="center"/>
    </xf>
    <xf numFmtId="0" fontId="6" fillId="0" borderId="6" xfId="3" applyBorder="1" applyAlignment="1">
      <alignment horizontal="center" vertical="center"/>
    </xf>
    <xf numFmtId="0" fontId="6" fillId="0" borderId="3" xfId="3" applyBorder="1" applyAlignment="1">
      <alignment horizontal="center" vertical="center"/>
    </xf>
    <xf numFmtId="0" fontId="8" fillId="0" borderId="0" xfId="3" applyFont="1" applyAlignment="1">
      <alignment horizontal="center"/>
    </xf>
    <xf numFmtId="0" fontId="75" fillId="12" borderId="73" xfId="0" applyFont="1" applyFill="1" applyBorder="1" applyAlignment="1">
      <alignment horizontal="center" vertical="center"/>
    </xf>
    <xf numFmtId="0" fontId="75" fillId="12" borderId="74" xfId="0" applyFont="1" applyFill="1" applyBorder="1" applyAlignment="1">
      <alignment horizontal="center" vertical="center"/>
    </xf>
    <xf numFmtId="0" fontId="75" fillId="12" borderId="75" xfId="0" applyFont="1" applyFill="1" applyBorder="1" applyAlignment="1">
      <alignment horizontal="center" vertical="center"/>
    </xf>
    <xf numFmtId="0" fontId="75" fillId="12" borderId="76" xfId="0" applyFont="1" applyFill="1" applyBorder="1" applyAlignment="1">
      <alignment horizontal="center" vertical="center"/>
    </xf>
    <xf numFmtId="0" fontId="75" fillId="12" borderId="77" xfId="0" applyFont="1" applyFill="1" applyBorder="1" applyAlignment="1">
      <alignment horizontal="center" vertical="center"/>
    </xf>
    <xf numFmtId="0" fontId="75" fillId="12" borderId="78" xfId="0" applyFont="1" applyFill="1" applyBorder="1" applyAlignment="1">
      <alignment horizontal="center" vertical="center"/>
    </xf>
    <xf numFmtId="0" fontId="77" fillId="16" borderId="10" xfId="0" applyFont="1" applyFill="1" applyBorder="1" applyAlignment="1">
      <alignment horizontal="center" vertical="center"/>
    </xf>
    <xf numFmtId="0" fontId="77" fillId="16" borderId="11" xfId="0" applyFont="1" applyFill="1" applyBorder="1" applyAlignment="1">
      <alignment horizontal="center" vertical="center"/>
    </xf>
    <xf numFmtId="0" fontId="77" fillId="16" borderId="15" xfId="0" applyFont="1" applyFill="1" applyBorder="1" applyAlignment="1">
      <alignment horizontal="center" vertical="center"/>
    </xf>
    <xf numFmtId="0" fontId="77" fillId="16" borderId="17" xfId="0" applyFont="1" applyFill="1" applyBorder="1" applyAlignment="1">
      <alignment horizontal="center" vertical="center"/>
    </xf>
    <xf numFmtId="0" fontId="6" fillId="17" borderId="1" xfId="3" applyFill="1" applyBorder="1" applyAlignment="1">
      <alignment horizontal="left" vertical="center"/>
    </xf>
    <xf numFmtId="0" fontId="6" fillId="0" borderId="5" xfId="3" applyBorder="1" applyAlignment="1">
      <alignment horizontal="left"/>
    </xf>
    <xf numFmtId="0" fontId="6" fillId="0" borderId="0" xfId="3" applyAlignment="1">
      <alignment horizontal="left"/>
    </xf>
    <xf numFmtId="0" fontId="6" fillId="0" borderId="13" xfId="3" applyBorder="1" applyAlignment="1">
      <alignment horizontal="left"/>
    </xf>
    <xf numFmtId="0" fontId="6" fillId="0" borderId="15" xfId="3" applyBorder="1" applyAlignment="1">
      <alignment horizontal="left"/>
    </xf>
    <xf numFmtId="0" fontId="6" fillId="0" borderId="16" xfId="3" applyBorder="1" applyAlignment="1">
      <alignment horizontal="left"/>
    </xf>
    <xf numFmtId="0" fontId="6" fillId="0" borderId="17" xfId="3" applyBorder="1" applyAlignment="1">
      <alignment horizontal="left"/>
    </xf>
    <xf numFmtId="0" fontId="73" fillId="0" borderId="10" xfId="3" applyFont="1" applyBorder="1" applyAlignment="1">
      <alignment horizontal="left" vertical="top" wrapText="1"/>
    </xf>
    <xf numFmtId="0" fontId="73" fillId="0" borderId="4" xfId="3" applyFont="1" applyBorder="1" applyAlignment="1">
      <alignment horizontal="left" vertical="top" wrapText="1"/>
    </xf>
    <xf numFmtId="0" fontId="73" fillId="0" borderId="11" xfId="3" applyFont="1" applyBorder="1" applyAlignment="1">
      <alignment horizontal="left" vertical="top" wrapText="1"/>
    </xf>
    <xf numFmtId="0" fontId="73" fillId="0" borderId="5" xfId="3" applyFont="1" applyBorder="1" applyAlignment="1">
      <alignment horizontal="left" vertical="top" wrapText="1"/>
    </xf>
    <xf numFmtId="0" fontId="73" fillId="0" borderId="0" xfId="3" applyFont="1" applyAlignment="1">
      <alignment horizontal="left" vertical="top" wrapText="1"/>
    </xf>
    <xf numFmtId="0" fontId="73" fillId="0" borderId="13" xfId="3" applyFont="1" applyBorder="1" applyAlignment="1">
      <alignment horizontal="left" vertical="top" wrapText="1"/>
    </xf>
    <xf numFmtId="0" fontId="73" fillId="0" borderId="15" xfId="3" applyFont="1" applyBorder="1" applyAlignment="1">
      <alignment horizontal="left" vertical="top" wrapText="1"/>
    </xf>
    <xf numFmtId="0" fontId="73" fillId="0" borderId="16" xfId="3" applyFont="1" applyBorder="1" applyAlignment="1">
      <alignment horizontal="left" vertical="top" wrapText="1"/>
    </xf>
    <xf numFmtId="0" fontId="73" fillId="0" borderId="17" xfId="3" applyFont="1" applyBorder="1" applyAlignment="1">
      <alignment horizontal="left" vertical="top" wrapText="1"/>
    </xf>
    <xf numFmtId="0" fontId="47" fillId="0" borderId="10" xfId="3" applyFont="1" applyBorder="1" applyAlignment="1">
      <alignment horizontal="left" vertical="top" wrapText="1"/>
    </xf>
    <xf numFmtId="0" fontId="47" fillId="0" borderId="4" xfId="3" applyFont="1" applyBorder="1" applyAlignment="1">
      <alignment horizontal="left" vertical="top" wrapText="1"/>
    </xf>
    <xf numFmtId="0" fontId="47" fillId="0" borderId="11" xfId="3" applyFont="1" applyBorder="1" applyAlignment="1">
      <alignment horizontal="left" vertical="top" wrapText="1"/>
    </xf>
    <xf numFmtId="0" fontId="47" fillId="0" borderId="5" xfId="3" applyFont="1" applyBorder="1" applyAlignment="1">
      <alignment horizontal="left" vertical="top" wrapText="1"/>
    </xf>
    <xf numFmtId="0" fontId="47" fillId="0" borderId="0" xfId="3" applyFont="1" applyAlignment="1">
      <alignment horizontal="left" vertical="top" wrapText="1"/>
    </xf>
    <xf numFmtId="0" fontId="47" fillId="0" borderId="13" xfId="3" applyFont="1" applyBorder="1" applyAlignment="1">
      <alignment horizontal="left" vertical="top" wrapText="1"/>
    </xf>
    <xf numFmtId="0" fontId="47" fillId="0" borderId="15" xfId="3" applyFont="1" applyBorder="1" applyAlignment="1">
      <alignment horizontal="left" vertical="top" wrapText="1"/>
    </xf>
    <xf numFmtId="0" fontId="47" fillId="0" borderId="16" xfId="3" applyFont="1" applyBorder="1" applyAlignment="1">
      <alignment horizontal="left" vertical="top" wrapText="1"/>
    </xf>
    <xf numFmtId="0" fontId="47" fillId="0" borderId="17" xfId="3" applyFont="1" applyBorder="1" applyAlignment="1">
      <alignment horizontal="left" vertical="top" wrapText="1"/>
    </xf>
    <xf numFmtId="0" fontId="15" fillId="0" borderId="47" xfId="0" applyFont="1" applyBorder="1" applyAlignment="1">
      <alignment horizontal="center" wrapText="1"/>
    </xf>
    <xf numFmtId="0" fontId="15" fillId="0" borderId="44" xfId="0" applyFont="1" applyBorder="1" applyAlignment="1">
      <alignment horizontal="center" wrapText="1"/>
    </xf>
    <xf numFmtId="0" fontId="15" fillId="0" borderId="45" xfId="0" applyFont="1" applyBorder="1" applyAlignment="1">
      <alignment horizontal="center" wrapText="1"/>
    </xf>
    <xf numFmtId="0" fontId="6" fillId="0" borderId="0" xfId="0" applyFont="1" applyAlignment="1">
      <alignment horizontal="center"/>
    </xf>
    <xf numFmtId="0" fontId="60" fillId="0" borderId="0" xfId="0" applyFont="1" applyAlignment="1">
      <alignment horizontal="center" wrapText="1"/>
    </xf>
    <xf numFmtId="0" fontId="62" fillId="0" borderId="0" xfId="0" applyFont="1" applyAlignment="1">
      <alignment horizontal="center"/>
    </xf>
    <xf numFmtId="0" fontId="63" fillId="0" borderId="0" xfId="0" applyFont="1" applyAlignment="1">
      <alignment horizontal="justify" wrapText="1"/>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5" xfId="0" applyFont="1" applyBorder="1" applyAlignment="1">
      <alignment horizontal="center" vertical="center"/>
    </xf>
    <xf numFmtId="0" fontId="6" fillId="0" borderId="13" xfId="0" applyFont="1" applyBorder="1" applyAlignment="1">
      <alignment horizontal="center" vertical="center"/>
    </xf>
    <xf numFmtId="0" fontId="6" fillId="0" borderId="15" xfId="0" applyFont="1" applyBorder="1" applyAlignment="1">
      <alignment horizontal="center" vertical="center"/>
    </xf>
    <xf numFmtId="0" fontId="6" fillId="0" borderId="17" xfId="0" applyFont="1" applyBorder="1" applyAlignment="1">
      <alignment horizontal="center" vertical="center"/>
    </xf>
    <xf numFmtId="0" fontId="6" fillId="0" borderId="4" xfId="0" applyFont="1" applyBorder="1" applyAlignment="1">
      <alignment horizontal="center"/>
    </xf>
    <xf numFmtId="0" fontId="6" fillId="0" borderId="11" xfId="0" applyFont="1" applyBorder="1" applyAlignment="1">
      <alignment horizontal="center"/>
    </xf>
    <xf numFmtId="0" fontId="6" fillId="0" borderId="10" xfId="0" applyFont="1" applyBorder="1" applyAlignment="1">
      <alignment horizontal="center"/>
    </xf>
    <xf numFmtId="0" fontId="6" fillId="0" borderId="5" xfId="0" applyFont="1" applyBorder="1" applyAlignment="1">
      <alignment horizontal="center"/>
    </xf>
    <xf numFmtId="0" fontId="6" fillId="0" borderId="13" xfId="0" applyFont="1" applyBorder="1" applyAlignment="1">
      <alignment horizontal="center"/>
    </xf>
    <xf numFmtId="0" fontId="6" fillId="0" borderId="15" xfId="0" applyFont="1" applyBorder="1" applyAlignment="1">
      <alignment horizontal="center"/>
    </xf>
    <xf numFmtId="0" fontId="6" fillId="0" borderId="17" xfId="0" applyFont="1" applyBorder="1" applyAlignment="1">
      <alignment horizontal="center"/>
    </xf>
    <xf numFmtId="0" fontId="6" fillId="0" borderId="16" xfId="0" applyFont="1" applyBorder="1" applyAlignment="1">
      <alignment horizontal="center"/>
    </xf>
    <xf numFmtId="0" fontId="6" fillId="0" borderId="2" xfId="0" applyFont="1" applyBorder="1" applyAlignment="1">
      <alignment horizontal="center"/>
    </xf>
    <xf numFmtId="0" fontId="6" fillId="0" borderId="6" xfId="0" applyFont="1" applyBorder="1" applyAlignment="1">
      <alignment horizontal="center"/>
    </xf>
    <xf numFmtId="0" fontId="6" fillId="0" borderId="3" xfId="0" applyFont="1" applyBorder="1" applyAlignment="1">
      <alignment horizontal="center"/>
    </xf>
    <xf numFmtId="0" fontId="6" fillId="0" borderId="6" xfId="0" applyFont="1" applyBorder="1"/>
    <xf numFmtId="0" fontId="6" fillId="0" borderId="3" xfId="0" applyFont="1" applyBorder="1"/>
    <xf numFmtId="0" fontId="6" fillId="0" borderId="12" xfId="0" applyFont="1" applyBorder="1" applyAlignment="1">
      <alignment horizontal="center" wrapText="1"/>
    </xf>
    <xf numFmtId="0" fontId="6" fillId="0" borderId="18" xfId="0" applyFont="1" applyBorder="1" applyAlignment="1">
      <alignment horizontal="center" wrapText="1"/>
    </xf>
    <xf numFmtId="0" fontId="66" fillId="0" borderId="2" xfId="0" applyFont="1" applyBorder="1" applyAlignment="1">
      <alignment horizontal="center" vertical="center" wrapText="1"/>
    </xf>
    <xf numFmtId="0" fontId="66" fillId="0" borderId="3" xfId="0" applyFont="1" applyBorder="1" applyAlignment="1">
      <alignment horizontal="center" vertical="center" wrapText="1"/>
    </xf>
    <xf numFmtId="2" fontId="6" fillId="0" borderId="12" xfId="0" applyNumberFormat="1" applyFont="1" applyBorder="1" applyAlignment="1">
      <alignment horizontal="center" vertical="center" wrapText="1"/>
    </xf>
    <xf numFmtId="2" fontId="6" fillId="0" borderId="14" xfId="0" applyNumberFormat="1" applyFont="1" applyBorder="1" applyAlignment="1">
      <alignment horizontal="center" vertical="center" wrapText="1"/>
    </xf>
    <xf numFmtId="2" fontId="6" fillId="0" borderId="18" xfId="0" applyNumberFormat="1" applyFont="1" applyBorder="1" applyAlignment="1">
      <alignment horizontal="center" vertical="center" wrapText="1"/>
    </xf>
    <xf numFmtId="0" fontId="6" fillId="0" borderId="1" xfId="0" applyFont="1" applyBorder="1" applyAlignment="1">
      <alignment horizontal="center"/>
    </xf>
    <xf numFmtId="0" fontId="68" fillId="0" borderId="113" xfId="0" applyFont="1" applyBorder="1" applyAlignment="1">
      <alignment vertical="center"/>
    </xf>
    <xf numFmtId="0" fontId="68" fillId="0" borderId="114" xfId="0" applyFont="1" applyBorder="1" applyAlignment="1">
      <alignment vertical="center"/>
    </xf>
  </cellXfs>
  <cellStyles count="6">
    <cellStyle name="Euro" xfId="1" xr:uid="{00000000-0005-0000-0000-000000000000}"/>
    <cellStyle name="Millares" xfId="2" builtinId="3"/>
    <cellStyle name="Normal" xfId="0" builtinId="0"/>
    <cellStyle name="Normal 2" xfId="3" xr:uid="{00000000-0005-0000-0000-000003000000}"/>
    <cellStyle name="Normal 5" xfId="4" xr:uid="{00000000-0005-0000-0000-000004000000}"/>
    <cellStyle name="Porcentaje" xfId="5" builtinId="5"/>
  </cellStyles>
  <dxfs count="0"/>
  <tableStyles count="0" defaultTableStyle="TableStyleMedium2" defaultPivotStyle="PivotStyleLight16"/>
  <colors>
    <mruColors>
      <color rgb="FF0000FF"/>
      <color rgb="FFD5F5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0418353576248348E-2"/>
          <c:y val="4.8611111111111112E-2"/>
          <c:w val="0.61943319838056676"/>
          <c:h val="0.8958333333333337"/>
        </c:manualLayout>
      </c:layout>
      <c:scatterChart>
        <c:scatterStyle val="lineMarker"/>
        <c:varyColors val="0"/>
        <c:ser>
          <c:idx val="0"/>
          <c:order val="0"/>
          <c:tx>
            <c:v>Perfil A.Arriba</c:v>
          </c:tx>
          <c:xVal>
            <c:numRef>
              <c:f>'A-D.- FICHA'!$J$482:$J$496</c:f>
            </c:numRef>
          </c:xVal>
          <c:yVal>
            <c:numRef>
              <c:f>'A-D.- FICHA'!$L$482:$L$496</c:f>
            </c:numRef>
          </c:yVal>
          <c:smooth val="0"/>
          <c:extLst>
            <c:ext xmlns:c16="http://schemas.microsoft.com/office/drawing/2014/chart" uri="{C3380CC4-5D6E-409C-BE32-E72D297353CC}">
              <c16:uniqueId val="{00000000-5B00-4CB4-9378-9D04EA112172}"/>
            </c:ext>
          </c:extLst>
        </c:ser>
        <c:ser>
          <c:idx val="1"/>
          <c:order val="1"/>
          <c:tx>
            <c:v>Perfil eje</c:v>
          </c:tx>
          <c:xVal>
            <c:numRef>
              <c:f>'A-D.- FICHA'!$C$461:$C$475</c:f>
            </c:numRef>
          </c:xVal>
          <c:yVal>
            <c:numRef>
              <c:f>'A-D.- FICHA'!$N$461:$N$475</c:f>
            </c:numRef>
          </c:yVal>
          <c:smooth val="0"/>
          <c:extLst>
            <c:ext xmlns:c16="http://schemas.microsoft.com/office/drawing/2014/chart" uri="{C3380CC4-5D6E-409C-BE32-E72D297353CC}">
              <c16:uniqueId val="{00000000-9299-4957-832C-B56C4BE3DB04}"/>
            </c:ext>
          </c:extLst>
        </c:ser>
        <c:ser>
          <c:idx val="2"/>
          <c:order val="2"/>
          <c:tx>
            <c:v>Perfil A.Abajo</c:v>
          </c:tx>
          <c:xVal>
            <c:numRef>
              <c:f>'A-D.- FICHA'!$G$482:$G$496</c:f>
            </c:numRef>
          </c:xVal>
          <c:yVal>
            <c:numRef>
              <c:f>'A-D.- FICHA'!$H$482:$H$496</c:f>
            </c:numRef>
          </c:yVal>
          <c:smooth val="0"/>
          <c:extLst>
            <c:ext xmlns:c16="http://schemas.microsoft.com/office/drawing/2014/chart" uri="{C3380CC4-5D6E-409C-BE32-E72D297353CC}">
              <c16:uniqueId val="{00000001-9299-4957-832C-B56C4BE3DB04}"/>
            </c:ext>
          </c:extLst>
        </c:ser>
        <c:dLbls>
          <c:showLegendKey val="0"/>
          <c:showVal val="0"/>
          <c:showCatName val="0"/>
          <c:showSerName val="0"/>
          <c:showPercent val="0"/>
          <c:showBubbleSize val="0"/>
        </c:dLbls>
        <c:axId val="1170640560"/>
        <c:axId val="1170644368"/>
      </c:scatterChart>
      <c:valAx>
        <c:axId val="1170640560"/>
        <c:scaling>
          <c:orientation val="minMax"/>
        </c:scaling>
        <c:delete val="0"/>
        <c:axPos val="b"/>
        <c:numFmt formatCode="General" sourceLinked="1"/>
        <c:majorTickMark val="out"/>
        <c:minorTickMark val="none"/>
        <c:tickLblPos val="low"/>
        <c:txPr>
          <a:bodyPr rot="0" vert="horz"/>
          <a:lstStyle/>
          <a:p>
            <a:pPr>
              <a:defRPr sz="1000" b="0" i="0" u="none" strike="noStrike" baseline="0">
                <a:solidFill>
                  <a:srgbClr val="000000"/>
                </a:solidFill>
                <a:latin typeface="Calibri"/>
                <a:ea typeface="Calibri"/>
                <a:cs typeface="Calibri"/>
              </a:defRPr>
            </a:pPr>
            <a:endParaRPr lang="es-PE"/>
          </a:p>
        </c:txPr>
        <c:crossAx val="1170644368"/>
        <c:crosses val="autoZero"/>
        <c:crossBetween val="midCat"/>
      </c:valAx>
      <c:valAx>
        <c:axId val="1170644368"/>
        <c:scaling>
          <c:orientation val="minMax"/>
        </c:scaling>
        <c:delete val="0"/>
        <c:axPos val="l"/>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s-PE"/>
          </a:p>
        </c:txPr>
        <c:crossAx val="1170640560"/>
        <c:crosses val="autoZero"/>
        <c:crossBetween val="midCat"/>
      </c:valAx>
    </c:plotArea>
    <c:legend>
      <c:legendPos val="r"/>
      <c:layout>
        <c:manualLayout>
          <c:xMode val="edge"/>
          <c:yMode val="edge"/>
          <c:x val="0.74898785425101455"/>
          <c:y val="0.37152887139107976"/>
          <c:w val="0.21924235518464383"/>
          <c:h val="0.2377438757655293"/>
        </c:manualLayout>
      </c:layout>
      <c:overlay val="0"/>
      <c:txPr>
        <a:bodyPr/>
        <a:lstStyle/>
        <a:p>
          <a:pPr>
            <a:defRPr sz="920" b="0" i="0" u="none" strike="noStrike" baseline="0">
              <a:solidFill>
                <a:srgbClr val="000000"/>
              </a:solidFill>
              <a:latin typeface="Calibri"/>
              <a:ea typeface="Calibri"/>
              <a:cs typeface="Calibri"/>
            </a:defRPr>
          </a:pPr>
          <a:endParaRPr lang="es-PE"/>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s-PE"/>
    </a:p>
  </c:txPr>
  <c:printSettings>
    <c:headerFooter/>
    <c:pageMargins b="0.75000000000000255" l="0.70000000000000062" r="0.70000000000000062" t="0.75000000000000255" header="0.30000000000000032" footer="0.30000000000000032"/>
    <c:pageSetup/>
  </c:printSettings>
</c:chartSpace>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GBox" noThreeD="1"/>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5.tmp"/><Relationship Id="rId2" Type="http://schemas.openxmlformats.org/officeDocument/2006/relationships/image" Target="../media/image4.tmp"/><Relationship Id="rId1" Type="http://schemas.openxmlformats.org/officeDocument/2006/relationships/image" Target="../media/image3.tmp"/><Relationship Id="rId5" Type="http://schemas.openxmlformats.org/officeDocument/2006/relationships/image" Target="../media/image6.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3" Type="http://schemas.openxmlformats.org/officeDocument/2006/relationships/image" Target="../media/image20.jpeg"/><Relationship Id="rId18" Type="http://schemas.openxmlformats.org/officeDocument/2006/relationships/image" Target="../media/image25.jpeg"/><Relationship Id="rId26" Type="http://schemas.openxmlformats.org/officeDocument/2006/relationships/image" Target="../media/image33.jpeg"/><Relationship Id="rId3" Type="http://schemas.openxmlformats.org/officeDocument/2006/relationships/image" Target="../media/image10.jpeg"/><Relationship Id="rId21" Type="http://schemas.openxmlformats.org/officeDocument/2006/relationships/image" Target="../media/image28.jpeg"/><Relationship Id="rId34" Type="http://schemas.openxmlformats.org/officeDocument/2006/relationships/image" Target="../media/image39.jpeg"/><Relationship Id="rId7" Type="http://schemas.openxmlformats.org/officeDocument/2006/relationships/image" Target="../media/image14.jpeg"/><Relationship Id="rId12" Type="http://schemas.openxmlformats.org/officeDocument/2006/relationships/image" Target="../media/image19.jpeg"/><Relationship Id="rId17" Type="http://schemas.openxmlformats.org/officeDocument/2006/relationships/image" Target="../media/image24.jpeg"/><Relationship Id="rId25" Type="http://schemas.openxmlformats.org/officeDocument/2006/relationships/image" Target="../media/image32.jpeg"/><Relationship Id="rId33" Type="http://schemas.openxmlformats.org/officeDocument/2006/relationships/image" Target="../media/image6.png"/><Relationship Id="rId2" Type="http://schemas.openxmlformats.org/officeDocument/2006/relationships/image" Target="../media/image9.jpeg"/><Relationship Id="rId16" Type="http://schemas.openxmlformats.org/officeDocument/2006/relationships/image" Target="../media/image23.jpeg"/><Relationship Id="rId20" Type="http://schemas.openxmlformats.org/officeDocument/2006/relationships/image" Target="../media/image27.jpeg"/><Relationship Id="rId29" Type="http://schemas.openxmlformats.org/officeDocument/2006/relationships/image" Target="../media/image36.jpeg"/><Relationship Id="rId1" Type="http://schemas.openxmlformats.org/officeDocument/2006/relationships/image" Target="../media/image8.jpeg"/><Relationship Id="rId6" Type="http://schemas.openxmlformats.org/officeDocument/2006/relationships/image" Target="../media/image13.jpeg"/><Relationship Id="rId11" Type="http://schemas.openxmlformats.org/officeDocument/2006/relationships/image" Target="../media/image18.jpeg"/><Relationship Id="rId24" Type="http://schemas.openxmlformats.org/officeDocument/2006/relationships/image" Target="../media/image31.jpeg"/><Relationship Id="rId32" Type="http://schemas.openxmlformats.org/officeDocument/2006/relationships/image" Target="../media/image1.png"/><Relationship Id="rId5" Type="http://schemas.openxmlformats.org/officeDocument/2006/relationships/image" Target="../media/image12.jpeg"/><Relationship Id="rId15" Type="http://schemas.openxmlformats.org/officeDocument/2006/relationships/image" Target="../media/image22.jpeg"/><Relationship Id="rId23" Type="http://schemas.openxmlformats.org/officeDocument/2006/relationships/image" Target="../media/image30.jpeg"/><Relationship Id="rId28" Type="http://schemas.openxmlformats.org/officeDocument/2006/relationships/image" Target="../media/image35.jpeg"/><Relationship Id="rId10" Type="http://schemas.openxmlformats.org/officeDocument/2006/relationships/image" Target="../media/image17.jpeg"/><Relationship Id="rId19" Type="http://schemas.openxmlformats.org/officeDocument/2006/relationships/image" Target="../media/image26.jpeg"/><Relationship Id="rId31" Type="http://schemas.openxmlformats.org/officeDocument/2006/relationships/image" Target="../media/image38.jpeg"/><Relationship Id="rId4" Type="http://schemas.openxmlformats.org/officeDocument/2006/relationships/image" Target="../media/image11.jpeg"/><Relationship Id="rId9" Type="http://schemas.openxmlformats.org/officeDocument/2006/relationships/image" Target="../media/image16.jpeg"/><Relationship Id="rId14" Type="http://schemas.openxmlformats.org/officeDocument/2006/relationships/image" Target="../media/image21.jpeg"/><Relationship Id="rId22" Type="http://schemas.openxmlformats.org/officeDocument/2006/relationships/image" Target="../media/image29.jpeg"/><Relationship Id="rId27" Type="http://schemas.openxmlformats.org/officeDocument/2006/relationships/image" Target="../media/image34.jpeg"/><Relationship Id="rId30" Type="http://schemas.openxmlformats.org/officeDocument/2006/relationships/image" Target="../media/image37.jpeg"/><Relationship Id="rId8" Type="http://schemas.openxmlformats.org/officeDocument/2006/relationships/image" Target="../media/image15.jpe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file:///C:\Users\Ronald\Desktop\CASMA%20SCAP\imagenes\3.jpg" TargetMode="External"/><Relationship Id="rId1" Type="http://schemas.openxmlformats.org/officeDocument/2006/relationships/image" Target="../media/image47.jpeg"/></Relationships>
</file>

<file path=xl/drawings/_rels/vmlDrawing4.vml.rels><?xml version="1.0" encoding="UTF-8" standalone="yes"?>
<Relationships xmlns="http://schemas.openxmlformats.org/package/2006/relationships"><Relationship Id="rId3" Type="http://schemas.openxmlformats.org/officeDocument/2006/relationships/image" Target="../media/image43.emf"/><Relationship Id="rId2" Type="http://schemas.openxmlformats.org/officeDocument/2006/relationships/image" Target="../media/image44.emf"/><Relationship Id="rId1" Type="http://schemas.openxmlformats.org/officeDocument/2006/relationships/image" Target="../media/image45.emf"/><Relationship Id="rId6" Type="http://schemas.openxmlformats.org/officeDocument/2006/relationships/image" Target="../media/image40.emf"/><Relationship Id="rId5" Type="http://schemas.openxmlformats.org/officeDocument/2006/relationships/image" Target="../media/image41.emf"/><Relationship Id="rId4" Type="http://schemas.openxmlformats.org/officeDocument/2006/relationships/image" Target="../media/image4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46.wmf"/></Relationships>
</file>

<file path=xl/drawings/drawing1.xml><?xml version="1.0" encoding="utf-8"?>
<xdr:wsDr xmlns:xdr="http://schemas.openxmlformats.org/drawingml/2006/spreadsheetDrawing" xmlns:a="http://schemas.openxmlformats.org/drawingml/2006/main">
  <xdr:twoCellAnchor>
    <xdr:from>
      <xdr:col>4</xdr:col>
      <xdr:colOff>0</xdr:colOff>
      <xdr:row>450</xdr:row>
      <xdr:rowOff>0</xdr:rowOff>
    </xdr:from>
    <xdr:to>
      <xdr:col>11</xdr:col>
      <xdr:colOff>704850</xdr:colOff>
      <xdr:row>454</xdr:row>
      <xdr:rowOff>523875</xdr:rowOff>
    </xdr:to>
    <xdr:graphicFrame macro="">
      <xdr:nvGraphicFramePr>
        <xdr:cNvPr id="1577" name="13 Gráfico">
          <a:extLst>
            <a:ext uri="{FF2B5EF4-FFF2-40B4-BE49-F238E27FC236}">
              <a16:creationId xmlns:a16="http://schemas.microsoft.com/office/drawing/2014/main" id="{00000000-0008-0000-0000-00002906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47625</xdr:colOff>
      <xdr:row>0</xdr:row>
      <xdr:rowOff>104775</xdr:rowOff>
    </xdr:from>
    <xdr:to>
      <xdr:col>7</xdr:col>
      <xdr:colOff>106045</xdr:colOff>
      <xdr:row>2</xdr:row>
      <xdr:rowOff>70485</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2900" y="104775"/>
          <a:ext cx="3563620" cy="384810"/>
        </a:xfrm>
        <a:prstGeom prst="rect">
          <a:avLst/>
        </a:prstGeom>
        <a:noFill/>
      </xdr:spPr>
    </xdr:pic>
    <xdr:clientData/>
  </xdr:twoCellAnchor>
  <xdr:twoCellAnchor editAs="oneCell">
    <xdr:from>
      <xdr:col>15</xdr:col>
      <xdr:colOff>581025</xdr:colOff>
      <xdr:row>0</xdr:row>
      <xdr:rowOff>152400</xdr:rowOff>
    </xdr:from>
    <xdr:to>
      <xdr:col>17</xdr:col>
      <xdr:colOff>670478</xdr:colOff>
      <xdr:row>2</xdr:row>
      <xdr:rowOff>54268</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8467725" y="152400"/>
          <a:ext cx="1118153" cy="3209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180975</xdr:colOff>
      <xdr:row>23</xdr:row>
      <xdr:rowOff>47625</xdr:rowOff>
    </xdr:from>
    <xdr:to>
      <xdr:col>8</xdr:col>
      <xdr:colOff>457934</xdr:colOff>
      <xdr:row>34</xdr:row>
      <xdr:rowOff>123825</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316" b="5769"/>
        <a:stretch/>
      </xdr:blipFill>
      <xdr:spPr>
        <a:xfrm>
          <a:off x="180975" y="4657725"/>
          <a:ext cx="5258534" cy="2381250"/>
        </a:xfrm>
        <a:prstGeom prst="rect">
          <a:avLst/>
        </a:prstGeom>
      </xdr:spPr>
    </xdr:pic>
    <xdr:clientData/>
  </xdr:twoCellAnchor>
  <xdr:twoCellAnchor editAs="oneCell">
    <xdr:from>
      <xdr:col>0</xdr:col>
      <xdr:colOff>152400</xdr:colOff>
      <xdr:row>9</xdr:row>
      <xdr:rowOff>19050</xdr:rowOff>
    </xdr:from>
    <xdr:to>
      <xdr:col>8</xdr:col>
      <xdr:colOff>467464</xdr:colOff>
      <xdr:row>19</xdr:row>
      <xdr:rowOff>142875</xdr:rowOff>
    </xdr:to>
    <xdr:pic>
      <xdr:nvPicPr>
        <xdr:cNvPr id="5" name="Imagen 4">
          <a:extLst>
            <a:ext uri="{FF2B5EF4-FFF2-40B4-BE49-F238E27FC236}">
              <a16:creationId xmlns:a16="http://schemas.microsoft.com/office/drawing/2014/main" id="{00000000-0008-0000-0100-00000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1215" b="4467"/>
        <a:stretch/>
      </xdr:blipFill>
      <xdr:spPr>
        <a:xfrm>
          <a:off x="152400" y="1790700"/>
          <a:ext cx="5296639" cy="2219325"/>
        </a:xfrm>
        <a:prstGeom prst="rect">
          <a:avLst/>
        </a:prstGeom>
      </xdr:spPr>
    </xdr:pic>
    <xdr:clientData/>
  </xdr:twoCellAnchor>
  <xdr:twoCellAnchor editAs="oneCell">
    <xdr:from>
      <xdr:col>1</xdr:col>
      <xdr:colOff>571500</xdr:colOff>
      <xdr:row>38</xdr:row>
      <xdr:rowOff>28575</xdr:rowOff>
    </xdr:from>
    <xdr:to>
      <xdr:col>7</xdr:col>
      <xdr:colOff>286272</xdr:colOff>
      <xdr:row>49</xdr:row>
      <xdr:rowOff>152739</xdr:rowOff>
    </xdr:to>
    <xdr:pic>
      <xdr:nvPicPr>
        <xdr:cNvPr id="11" name="Imagen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62000" y="7696200"/>
          <a:ext cx="3743847" cy="2429214"/>
        </a:xfrm>
        <a:prstGeom prst="rect">
          <a:avLst/>
        </a:prstGeom>
      </xdr:spPr>
    </xdr:pic>
    <xdr:clientData/>
  </xdr:twoCellAnchor>
  <xdr:twoCellAnchor editAs="oneCell">
    <xdr:from>
      <xdr:col>0</xdr:col>
      <xdr:colOff>38100</xdr:colOff>
      <xdr:row>0</xdr:row>
      <xdr:rowOff>66675</xdr:rowOff>
    </xdr:from>
    <xdr:to>
      <xdr:col>6</xdr:col>
      <xdr:colOff>144145</xdr:colOff>
      <xdr:row>2</xdr:row>
      <xdr:rowOff>70485</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8100" y="66675"/>
          <a:ext cx="3563620" cy="384810"/>
        </a:xfrm>
        <a:prstGeom prst="rect">
          <a:avLst/>
        </a:prstGeom>
        <a:noFill/>
      </xdr:spPr>
    </xdr:pic>
    <xdr:clientData/>
  </xdr:twoCellAnchor>
  <xdr:twoCellAnchor editAs="oneCell">
    <xdr:from>
      <xdr:col>7</xdr:col>
      <xdr:colOff>342900</xdr:colOff>
      <xdr:row>0</xdr:row>
      <xdr:rowOff>133350</xdr:rowOff>
    </xdr:from>
    <xdr:to>
      <xdr:col>8</xdr:col>
      <xdr:colOff>699053</xdr:colOff>
      <xdr:row>2</xdr:row>
      <xdr:rowOff>73318</xdr:rowOff>
    </xdr:to>
    <xdr:pic>
      <xdr:nvPicPr>
        <xdr:cNvPr id="4" name="Imagen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562475" y="133350"/>
          <a:ext cx="1118153" cy="3209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76200</xdr:rowOff>
    </xdr:from>
    <xdr:to>
      <xdr:col>7</xdr:col>
      <xdr:colOff>296545</xdr:colOff>
      <xdr:row>2</xdr:row>
      <xdr:rowOff>118110</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24025" y="76200"/>
          <a:ext cx="3563620" cy="384810"/>
        </a:xfrm>
        <a:prstGeom prst="rect">
          <a:avLst/>
        </a:prstGeom>
        <a:noFill/>
      </xdr:spPr>
    </xdr:pic>
    <xdr:clientData/>
  </xdr:twoCellAnchor>
  <xdr:twoCellAnchor editAs="oneCell">
    <xdr:from>
      <xdr:col>12</xdr:col>
      <xdr:colOff>180975</xdr:colOff>
      <xdr:row>0</xdr:row>
      <xdr:rowOff>133350</xdr:rowOff>
    </xdr:from>
    <xdr:to>
      <xdr:col>13</xdr:col>
      <xdr:colOff>651428</xdr:colOff>
      <xdr:row>2</xdr:row>
      <xdr:rowOff>111418</xdr:rowOff>
    </xdr:to>
    <xdr:pic>
      <xdr:nvPicPr>
        <xdr:cNvPr id="3" name="Imagen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3400" y="133350"/>
          <a:ext cx="1118153" cy="3209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100853</xdr:colOff>
      <xdr:row>0</xdr:row>
      <xdr:rowOff>78441</xdr:rowOff>
    </xdr:from>
    <xdr:to>
      <xdr:col>5</xdr:col>
      <xdr:colOff>1087120</xdr:colOff>
      <xdr:row>2</xdr:row>
      <xdr:rowOff>82251</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853" y="78441"/>
          <a:ext cx="3563620" cy="384810"/>
        </a:xfrm>
        <a:prstGeom prst="rect">
          <a:avLst/>
        </a:prstGeom>
        <a:noFill/>
      </xdr:spPr>
    </xdr:pic>
    <xdr:clientData/>
  </xdr:twoCellAnchor>
  <xdr:twoCellAnchor editAs="oneCell">
    <xdr:from>
      <xdr:col>10</xdr:col>
      <xdr:colOff>114300</xdr:colOff>
      <xdr:row>0</xdr:row>
      <xdr:rowOff>171450</xdr:rowOff>
    </xdr:from>
    <xdr:to>
      <xdr:col>11</xdr:col>
      <xdr:colOff>165653</xdr:colOff>
      <xdr:row>2</xdr:row>
      <xdr:rowOff>111418</xdr:rowOff>
    </xdr:to>
    <xdr:pic>
      <xdr:nvPicPr>
        <xdr:cNvPr id="3" name="Imagen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00725" y="171450"/>
          <a:ext cx="1118153" cy="32096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8</xdr:col>
          <xdr:colOff>457200</xdr:colOff>
          <xdr:row>0</xdr:row>
          <xdr:rowOff>388620</xdr:rowOff>
        </xdr:from>
        <xdr:to>
          <xdr:col>11</xdr:col>
          <xdr:colOff>198120</xdr:colOff>
          <xdr:row>4</xdr:row>
          <xdr:rowOff>99060</xdr:rowOff>
        </xdr:to>
        <xdr:sp macro="" textlink="">
          <xdr:nvSpPr>
            <xdr:cNvPr id="5121" name="Button 1" hidden="1">
              <a:extLst>
                <a:ext uri="{63B3BB69-23CF-44E3-9099-C40C66FF867C}">
                  <a14:compatExt spid="_x0000_s5121"/>
                </a:ext>
                <a:ext uri="{FF2B5EF4-FFF2-40B4-BE49-F238E27FC236}">
                  <a16:creationId xmlns:a16="http://schemas.microsoft.com/office/drawing/2014/main" id="{00000000-0008-0000-0400-0000011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s-PE" sz="1100" b="1" i="0" u="none" strike="noStrike" baseline="0">
                  <a:solidFill>
                    <a:srgbClr val="0000FF"/>
                  </a:solidFill>
                  <a:latin typeface="Calibri"/>
                  <a:ea typeface="Calibri"/>
                  <a:cs typeface="Calibri"/>
                </a:rPr>
                <a:t>RONALD FARFAN DURAND</a:t>
              </a:r>
            </a:p>
            <a:p>
              <a:pPr algn="ctr" rtl="0">
                <a:defRPr sz="1000"/>
              </a:pPr>
              <a:r>
                <a:rPr lang="es-PE" sz="1100" b="1" i="0" u="none" strike="noStrike" baseline="0">
                  <a:solidFill>
                    <a:srgbClr val="FF0000"/>
                  </a:solidFill>
                  <a:latin typeface="Calibri"/>
                  <a:ea typeface="Calibri"/>
                  <a:cs typeface="Calibri"/>
                </a:rPr>
                <a:t>IMPORTAR FOTOS</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11</xdr:col>
          <xdr:colOff>525780</xdr:colOff>
          <xdr:row>0</xdr:row>
          <xdr:rowOff>563880</xdr:rowOff>
        </xdr:from>
        <xdr:to>
          <xdr:col>14</xdr:col>
          <xdr:colOff>266700</xdr:colOff>
          <xdr:row>2</xdr:row>
          <xdr:rowOff>182880</xdr:rowOff>
        </xdr:to>
        <xdr:sp macro="" textlink="">
          <xdr:nvSpPr>
            <xdr:cNvPr id="5125" name="Button 5" hidden="1">
              <a:extLst>
                <a:ext uri="{63B3BB69-23CF-44E3-9099-C40C66FF867C}">
                  <a14:compatExt spid="_x0000_s5125"/>
                </a:ext>
                <a:ext uri="{FF2B5EF4-FFF2-40B4-BE49-F238E27FC236}">
                  <a16:creationId xmlns:a16="http://schemas.microsoft.com/office/drawing/2014/main" id="{00000000-0008-0000-0400-0000051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s-PE" sz="1100" b="1" i="0" u="none" strike="noStrike" baseline="0">
                  <a:solidFill>
                    <a:srgbClr val="FF0000"/>
                  </a:solidFill>
                  <a:latin typeface="Calibri"/>
                  <a:ea typeface="Calibri"/>
                  <a:cs typeface="Calibri"/>
                </a:rPr>
                <a:t>BORRAR FOTOS</a:t>
              </a:r>
            </a:p>
          </xdr:txBody>
        </xdr:sp>
        <xdr:clientData fPrintsWithSheet="0"/>
      </xdr:twoCellAnchor>
    </mc:Choice>
    <mc:Fallback/>
  </mc:AlternateContent>
  <xdr:twoCellAnchor editAs="oneCell">
    <xdr:from>
      <xdr:col>4</xdr:col>
      <xdr:colOff>550291</xdr:colOff>
      <xdr:row>12</xdr:row>
      <xdr:rowOff>143595</xdr:rowOff>
    </xdr:from>
    <xdr:to>
      <xdr:col>4</xdr:col>
      <xdr:colOff>2760384</xdr:colOff>
      <xdr:row>12</xdr:row>
      <xdr:rowOff>1616991</xdr:rowOff>
    </xdr:to>
    <xdr:pic>
      <xdr:nvPicPr>
        <xdr:cNvPr id="3" name="13">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6579616" y="2905845"/>
          <a:ext cx="2210093" cy="1473396"/>
        </a:xfrm>
        <a:prstGeom prst="rect">
          <a:avLst/>
        </a:prstGeom>
      </xdr:spPr>
    </xdr:pic>
    <xdr:clientData/>
  </xdr:twoCellAnchor>
  <xdr:oneCellAnchor>
    <xdr:from>
      <xdr:col>4</xdr:col>
      <xdr:colOff>549339</xdr:colOff>
      <xdr:row>13</xdr:row>
      <xdr:rowOff>141690</xdr:rowOff>
    </xdr:from>
    <xdr:ext cx="2221523" cy="1481016"/>
    <xdr:pic>
      <xdr:nvPicPr>
        <xdr:cNvPr id="4" name="1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6578664" y="4675590"/>
          <a:ext cx="2221523" cy="1481016"/>
        </a:xfrm>
        <a:prstGeom prst="rect">
          <a:avLst/>
        </a:prstGeom>
      </xdr:spPr>
    </xdr:pic>
    <xdr:clientData/>
  </xdr:oneCellAnchor>
  <xdr:oneCellAnchor>
    <xdr:from>
      <xdr:col>4</xdr:col>
      <xdr:colOff>549339</xdr:colOff>
      <xdr:row>16</xdr:row>
      <xdr:rowOff>142325</xdr:rowOff>
    </xdr:from>
    <xdr:ext cx="2219618" cy="1479746"/>
    <xdr:pic>
      <xdr:nvPicPr>
        <xdr:cNvPr id="5" name="13">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578664" y="9991175"/>
          <a:ext cx="2219618" cy="1479746"/>
        </a:xfrm>
        <a:prstGeom prst="rect">
          <a:avLst/>
        </a:prstGeom>
      </xdr:spPr>
    </xdr:pic>
    <xdr:clientData/>
  </xdr:oneCellAnchor>
  <xdr:oneCellAnchor>
    <xdr:from>
      <xdr:col>4</xdr:col>
      <xdr:colOff>549339</xdr:colOff>
      <xdr:row>17</xdr:row>
      <xdr:rowOff>143595</xdr:rowOff>
    </xdr:from>
    <xdr:ext cx="2215808" cy="1477206"/>
    <xdr:pic>
      <xdr:nvPicPr>
        <xdr:cNvPr id="6" name="13">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6578664" y="11764095"/>
          <a:ext cx="2215808" cy="1477206"/>
        </a:xfrm>
        <a:prstGeom prst="rect">
          <a:avLst/>
        </a:prstGeom>
      </xdr:spPr>
    </xdr:pic>
    <xdr:clientData/>
  </xdr:oneCellAnchor>
  <xdr:oneCellAnchor>
    <xdr:from>
      <xdr:col>4</xdr:col>
      <xdr:colOff>549339</xdr:colOff>
      <xdr:row>18</xdr:row>
      <xdr:rowOff>144865</xdr:rowOff>
    </xdr:from>
    <xdr:ext cx="2211998" cy="1474666"/>
    <xdr:pic>
      <xdr:nvPicPr>
        <xdr:cNvPr id="7" name="13">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6578664" y="13537015"/>
          <a:ext cx="2211998" cy="1474666"/>
        </a:xfrm>
        <a:prstGeom prst="rect">
          <a:avLst/>
        </a:prstGeom>
      </xdr:spPr>
    </xdr:pic>
    <xdr:clientData/>
  </xdr:oneCellAnchor>
  <xdr:oneCellAnchor>
    <xdr:from>
      <xdr:col>4</xdr:col>
      <xdr:colOff>549339</xdr:colOff>
      <xdr:row>19</xdr:row>
      <xdr:rowOff>143595</xdr:rowOff>
    </xdr:from>
    <xdr:ext cx="2215808" cy="1477206"/>
    <xdr:pic>
      <xdr:nvPicPr>
        <xdr:cNvPr id="8" name="13">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6578664" y="15307395"/>
          <a:ext cx="2215808" cy="1477206"/>
        </a:xfrm>
        <a:prstGeom prst="rect">
          <a:avLst/>
        </a:prstGeom>
      </xdr:spPr>
    </xdr:pic>
    <xdr:clientData/>
  </xdr:oneCellAnchor>
  <xdr:oneCellAnchor>
    <xdr:from>
      <xdr:col>4</xdr:col>
      <xdr:colOff>549339</xdr:colOff>
      <xdr:row>20</xdr:row>
      <xdr:rowOff>144865</xdr:rowOff>
    </xdr:from>
    <xdr:ext cx="2211998" cy="1474666"/>
    <xdr:pic>
      <xdr:nvPicPr>
        <xdr:cNvPr id="9" name="13">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6578664" y="17080315"/>
          <a:ext cx="2211998" cy="1474666"/>
        </a:xfrm>
        <a:prstGeom prst="rect">
          <a:avLst/>
        </a:prstGeom>
      </xdr:spPr>
    </xdr:pic>
    <xdr:clientData/>
  </xdr:oneCellAnchor>
  <xdr:oneCellAnchor>
    <xdr:from>
      <xdr:col>4</xdr:col>
      <xdr:colOff>549339</xdr:colOff>
      <xdr:row>21</xdr:row>
      <xdr:rowOff>143595</xdr:rowOff>
    </xdr:from>
    <xdr:ext cx="2215808" cy="1477206"/>
    <xdr:pic>
      <xdr:nvPicPr>
        <xdr:cNvPr id="10" name="13">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xdr:blipFill>
      <xdr:spPr>
        <a:xfrm>
          <a:off x="6578664" y="18850695"/>
          <a:ext cx="2215808" cy="1477206"/>
        </a:xfrm>
        <a:prstGeom prst="rect">
          <a:avLst/>
        </a:prstGeom>
      </xdr:spPr>
    </xdr:pic>
    <xdr:clientData/>
  </xdr:oneCellAnchor>
  <xdr:oneCellAnchor>
    <xdr:from>
      <xdr:col>4</xdr:col>
      <xdr:colOff>549339</xdr:colOff>
      <xdr:row>22</xdr:row>
      <xdr:rowOff>144865</xdr:rowOff>
    </xdr:from>
    <xdr:ext cx="2211998" cy="1474666"/>
    <xdr:pic>
      <xdr:nvPicPr>
        <xdr:cNvPr id="11" name="13">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xdr:blipFill>
      <xdr:spPr>
        <a:xfrm>
          <a:off x="6578664" y="20623615"/>
          <a:ext cx="2211998" cy="1474666"/>
        </a:xfrm>
        <a:prstGeom prst="rect">
          <a:avLst/>
        </a:prstGeom>
      </xdr:spPr>
    </xdr:pic>
    <xdr:clientData/>
  </xdr:oneCellAnchor>
  <xdr:oneCellAnchor>
    <xdr:from>
      <xdr:col>4</xdr:col>
      <xdr:colOff>549339</xdr:colOff>
      <xdr:row>23</xdr:row>
      <xdr:rowOff>143595</xdr:rowOff>
    </xdr:from>
    <xdr:ext cx="2215808" cy="1477205"/>
    <xdr:pic>
      <xdr:nvPicPr>
        <xdr:cNvPr id="12" name="13">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6581839" y="22326262"/>
          <a:ext cx="2215808" cy="1477205"/>
        </a:xfrm>
        <a:prstGeom prst="rect">
          <a:avLst/>
        </a:prstGeom>
      </xdr:spPr>
    </xdr:pic>
    <xdr:clientData/>
  </xdr:oneCellAnchor>
  <xdr:oneCellAnchor>
    <xdr:from>
      <xdr:col>4</xdr:col>
      <xdr:colOff>549339</xdr:colOff>
      <xdr:row>24</xdr:row>
      <xdr:rowOff>144865</xdr:rowOff>
    </xdr:from>
    <xdr:ext cx="2211998" cy="1474665"/>
    <xdr:pic>
      <xdr:nvPicPr>
        <xdr:cNvPr id="13" name="13">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xdr:blipFill>
      <xdr:spPr>
        <a:xfrm>
          <a:off x="6581839" y="24094948"/>
          <a:ext cx="2211998" cy="1474665"/>
        </a:xfrm>
        <a:prstGeom prst="rect">
          <a:avLst/>
        </a:prstGeom>
      </xdr:spPr>
    </xdr:pic>
    <xdr:clientData/>
  </xdr:oneCellAnchor>
  <xdr:oneCellAnchor>
    <xdr:from>
      <xdr:col>4</xdr:col>
      <xdr:colOff>549339</xdr:colOff>
      <xdr:row>26</xdr:row>
      <xdr:rowOff>143595</xdr:rowOff>
    </xdr:from>
    <xdr:ext cx="2215808" cy="1477206"/>
    <xdr:pic>
      <xdr:nvPicPr>
        <xdr:cNvPr id="14" name="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xdr:blipFill>
      <xdr:spPr>
        <a:xfrm>
          <a:off x="6578664" y="25937295"/>
          <a:ext cx="2215808" cy="1477206"/>
        </a:xfrm>
        <a:prstGeom prst="rect">
          <a:avLst/>
        </a:prstGeom>
      </xdr:spPr>
    </xdr:pic>
    <xdr:clientData/>
  </xdr:oneCellAnchor>
  <xdr:oneCellAnchor>
    <xdr:from>
      <xdr:col>4</xdr:col>
      <xdr:colOff>549338</xdr:colOff>
      <xdr:row>27</xdr:row>
      <xdr:rowOff>144865</xdr:rowOff>
    </xdr:from>
    <xdr:ext cx="2212000" cy="1474666"/>
    <xdr:pic>
      <xdr:nvPicPr>
        <xdr:cNvPr id="15" name="13">
          <a:extLst>
            <a:ext uri="{FF2B5EF4-FFF2-40B4-BE49-F238E27FC236}">
              <a16:creationId xmlns:a16="http://schemas.microsoft.com/office/drawing/2014/main" id="{00000000-0008-0000-0400-00000F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xdr:blipFill>
      <xdr:spPr>
        <a:xfrm>
          <a:off x="6750113" y="24243115"/>
          <a:ext cx="2212000" cy="1474666"/>
        </a:xfrm>
        <a:prstGeom prst="rect">
          <a:avLst/>
        </a:prstGeom>
      </xdr:spPr>
    </xdr:pic>
    <xdr:clientData/>
  </xdr:oneCellAnchor>
  <xdr:oneCellAnchor>
    <xdr:from>
      <xdr:col>4</xdr:col>
      <xdr:colOff>549339</xdr:colOff>
      <xdr:row>28</xdr:row>
      <xdr:rowOff>143595</xdr:rowOff>
    </xdr:from>
    <xdr:ext cx="2215808" cy="1477206"/>
    <xdr:pic>
      <xdr:nvPicPr>
        <xdr:cNvPr id="16" name="13">
          <a:extLst>
            <a:ext uri="{FF2B5EF4-FFF2-40B4-BE49-F238E27FC236}">
              <a16:creationId xmlns:a16="http://schemas.microsoft.com/office/drawing/2014/main" id="{00000000-0008-0000-0400-000010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xdr:blipFill>
      <xdr:spPr>
        <a:xfrm>
          <a:off x="6578664" y="29480595"/>
          <a:ext cx="2215808" cy="1477206"/>
        </a:xfrm>
        <a:prstGeom prst="rect">
          <a:avLst/>
        </a:prstGeom>
      </xdr:spPr>
    </xdr:pic>
    <xdr:clientData/>
  </xdr:oneCellAnchor>
  <xdr:oneCellAnchor>
    <xdr:from>
      <xdr:col>4</xdr:col>
      <xdr:colOff>549339</xdr:colOff>
      <xdr:row>30</xdr:row>
      <xdr:rowOff>144865</xdr:rowOff>
    </xdr:from>
    <xdr:ext cx="2211998" cy="1474665"/>
    <xdr:pic>
      <xdr:nvPicPr>
        <xdr:cNvPr id="17" name="13">
          <a:extLst>
            <a:ext uri="{FF2B5EF4-FFF2-40B4-BE49-F238E27FC236}">
              <a16:creationId xmlns:a16="http://schemas.microsoft.com/office/drawing/2014/main" id="{00000000-0008-0000-0400-000011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xdr:blipFill>
      <xdr:spPr>
        <a:xfrm>
          <a:off x="6578664" y="31253515"/>
          <a:ext cx="2211998" cy="1474665"/>
        </a:xfrm>
        <a:prstGeom prst="rect">
          <a:avLst/>
        </a:prstGeom>
      </xdr:spPr>
    </xdr:pic>
    <xdr:clientData/>
  </xdr:oneCellAnchor>
  <xdr:oneCellAnchor>
    <xdr:from>
      <xdr:col>4</xdr:col>
      <xdr:colOff>549339</xdr:colOff>
      <xdr:row>31</xdr:row>
      <xdr:rowOff>143595</xdr:rowOff>
    </xdr:from>
    <xdr:ext cx="2215808" cy="1477206"/>
    <xdr:pic>
      <xdr:nvPicPr>
        <xdr:cNvPr id="18" name="13">
          <a:extLst>
            <a:ext uri="{FF2B5EF4-FFF2-40B4-BE49-F238E27FC236}">
              <a16:creationId xmlns:a16="http://schemas.microsoft.com/office/drawing/2014/main" id="{00000000-0008-0000-0400-000012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xdr:blipFill>
      <xdr:spPr>
        <a:xfrm>
          <a:off x="6578664" y="33023895"/>
          <a:ext cx="2215808" cy="1477206"/>
        </a:xfrm>
        <a:prstGeom prst="rect">
          <a:avLst/>
        </a:prstGeom>
      </xdr:spPr>
    </xdr:pic>
    <xdr:clientData/>
  </xdr:oneCellAnchor>
  <xdr:oneCellAnchor>
    <xdr:from>
      <xdr:col>4</xdr:col>
      <xdr:colOff>549339</xdr:colOff>
      <xdr:row>32</xdr:row>
      <xdr:rowOff>144865</xdr:rowOff>
    </xdr:from>
    <xdr:ext cx="2211998" cy="1474666"/>
    <xdr:pic>
      <xdr:nvPicPr>
        <xdr:cNvPr id="19" name="13">
          <a:extLst>
            <a:ext uri="{FF2B5EF4-FFF2-40B4-BE49-F238E27FC236}">
              <a16:creationId xmlns:a16="http://schemas.microsoft.com/office/drawing/2014/main" id="{00000000-0008-0000-0400-000013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rcRect/>
        <a:stretch/>
      </xdr:blipFill>
      <xdr:spPr>
        <a:xfrm>
          <a:off x="6578664" y="34796815"/>
          <a:ext cx="2211998" cy="1474666"/>
        </a:xfrm>
        <a:prstGeom prst="rect">
          <a:avLst/>
        </a:prstGeom>
      </xdr:spPr>
    </xdr:pic>
    <xdr:clientData/>
  </xdr:oneCellAnchor>
  <xdr:oneCellAnchor>
    <xdr:from>
      <xdr:col>4</xdr:col>
      <xdr:colOff>549339</xdr:colOff>
      <xdr:row>33</xdr:row>
      <xdr:rowOff>143595</xdr:rowOff>
    </xdr:from>
    <xdr:ext cx="2215808" cy="1477206"/>
    <xdr:pic>
      <xdr:nvPicPr>
        <xdr:cNvPr id="20" name="13">
          <a:extLst>
            <a:ext uri="{FF2B5EF4-FFF2-40B4-BE49-F238E27FC236}">
              <a16:creationId xmlns:a16="http://schemas.microsoft.com/office/drawing/2014/main" id="{00000000-0008-0000-0400-000014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xdr:blipFill>
      <xdr:spPr>
        <a:xfrm>
          <a:off x="6578664" y="36567195"/>
          <a:ext cx="2215808" cy="1477206"/>
        </a:xfrm>
        <a:prstGeom prst="rect">
          <a:avLst/>
        </a:prstGeom>
      </xdr:spPr>
    </xdr:pic>
    <xdr:clientData/>
  </xdr:oneCellAnchor>
  <xdr:oneCellAnchor>
    <xdr:from>
      <xdr:col>4</xdr:col>
      <xdr:colOff>549339</xdr:colOff>
      <xdr:row>34</xdr:row>
      <xdr:rowOff>144865</xdr:rowOff>
    </xdr:from>
    <xdr:ext cx="2211998" cy="1474665"/>
    <xdr:pic>
      <xdr:nvPicPr>
        <xdr:cNvPr id="21" name="13">
          <a:extLst>
            <a:ext uri="{FF2B5EF4-FFF2-40B4-BE49-F238E27FC236}">
              <a16:creationId xmlns:a16="http://schemas.microsoft.com/office/drawing/2014/main" id="{00000000-0008-0000-0400-000015000000}"/>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xdr:blipFill>
      <xdr:spPr>
        <a:xfrm>
          <a:off x="6581839" y="40001698"/>
          <a:ext cx="2211998" cy="1474665"/>
        </a:xfrm>
        <a:prstGeom prst="rect">
          <a:avLst/>
        </a:prstGeom>
      </xdr:spPr>
    </xdr:pic>
    <xdr:clientData/>
  </xdr:oneCellAnchor>
  <xdr:oneCellAnchor>
    <xdr:from>
      <xdr:col>4</xdr:col>
      <xdr:colOff>549339</xdr:colOff>
      <xdr:row>35</xdr:row>
      <xdr:rowOff>143595</xdr:rowOff>
    </xdr:from>
    <xdr:ext cx="2215808" cy="1477206"/>
    <xdr:pic>
      <xdr:nvPicPr>
        <xdr:cNvPr id="22" name="13">
          <a:extLst>
            <a:ext uri="{FF2B5EF4-FFF2-40B4-BE49-F238E27FC236}">
              <a16:creationId xmlns:a16="http://schemas.microsoft.com/office/drawing/2014/main" id="{00000000-0008-0000-0400-000016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xdr:blipFill>
      <xdr:spPr>
        <a:xfrm>
          <a:off x="6578664" y="40110495"/>
          <a:ext cx="2215808" cy="1477206"/>
        </a:xfrm>
        <a:prstGeom prst="rect">
          <a:avLst/>
        </a:prstGeom>
      </xdr:spPr>
    </xdr:pic>
    <xdr:clientData/>
  </xdr:oneCellAnchor>
  <xdr:oneCellAnchor>
    <xdr:from>
      <xdr:col>4</xdr:col>
      <xdr:colOff>549339</xdr:colOff>
      <xdr:row>36</xdr:row>
      <xdr:rowOff>144865</xdr:rowOff>
    </xdr:from>
    <xdr:ext cx="2211998" cy="1474666"/>
    <xdr:pic>
      <xdr:nvPicPr>
        <xdr:cNvPr id="23" name="13">
          <a:extLst>
            <a:ext uri="{FF2B5EF4-FFF2-40B4-BE49-F238E27FC236}">
              <a16:creationId xmlns:a16="http://schemas.microsoft.com/office/drawing/2014/main" id="{00000000-0008-0000-0400-00001700000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xdr:blipFill>
      <xdr:spPr>
        <a:xfrm>
          <a:off x="6578664" y="41883415"/>
          <a:ext cx="2211998" cy="1474666"/>
        </a:xfrm>
        <a:prstGeom prst="rect">
          <a:avLst/>
        </a:prstGeom>
      </xdr:spPr>
    </xdr:pic>
    <xdr:clientData/>
  </xdr:oneCellAnchor>
  <xdr:oneCellAnchor>
    <xdr:from>
      <xdr:col>4</xdr:col>
      <xdr:colOff>549339</xdr:colOff>
      <xdr:row>37</xdr:row>
      <xdr:rowOff>143595</xdr:rowOff>
    </xdr:from>
    <xdr:ext cx="2215808" cy="1477206"/>
    <xdr:pic>
      <xdr:nvPicPr>
        <xdr:cNvPr id="24" name="13">
          <a:extLst>
            <a:ext uri="{FF2B5EF4-FFF2-40B4-BE49-F238E27FC236}">
              <a16:creationId xmlns:a16="http://schemas.microsoft.com/office/drawing/2014/main" id="{00000000-0008-0000-0400-000018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rcRect/>
        <a:stretch/>
      </xdr:blipFill>
      <xdr:spPr>
        <a:xfrm>
          <a:off x="6578664" y="43653795"/>
          <a:ext cx="2215808" cy="1477206"/>
        </a:xfrm>
        <a:prstGeom prst="rect">
          <a:avLst/>
        </a:prstGeom>
      </xdr:spPr>
    </xdr:pic>
    <xdr:clientData/>
  </xdr:oneCellAnchor>
  <xdr:oneCellAnchor>
    <xdr:from>
      <xdr:col>4</xdr:col>
      <xdr:colOff>553149</xdr:colOff>
      <xdr:row>38</xdr:row>
      <xdr:rowOff>142960</xdr:rowOff>
    </xdr:from>
    <xdr:ext cx="2211998" cy="1474666"/>
    <xdr:pic>
      <xdr:nvPicPr>
        <xdr:cNvPr id="25" name="13">
          <a:extLst>
            <a:ext uri="{FF2B5EF4-FFF2-40B4-BE49-F238E27FC236}">
              <a16:creationId xmlns:a16="http://schemas.microsoft.com/office/drawing/2014/main" id="{00000000-0008-0000-0400-000019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xdr:blipFill>
      <xdr:spPr>
        <a:xfrm>
          <a:off x="6582474" y="45424810"/>
          <a:ext cx="2211998" cy="1474666"/>
        </a:xfrm>
        <a:prstGeom prst="rect">
          <a:avLst/>
        </a:prstGeom>
      </xdr:spPr>
    </xdr:pic>
    <xdr:clientData/>
  </xdr:oneCellAnchor>
  <xdr:oneCellAnchor>
    <xdr:from>
      <xdr:col>4</xdr:col>
      <xdr:colOff>549339</xdr:colOff>
      <xdr:row>39</xdr:row>
      <xdr:rowOff>143595</xdr:rowOff>
    </xdr:from>
    <xdr:ext cx="2215808" cy="1477206"/>
    <xdr:pic>
      <xdr:nvPicPr>
        <xdr:cNvPr id="26" name="13">
          <a:extLst>
            <a:ext uri="{FF2B5EF4-FFF2-40B4-BE49-F238E27FC236}">
              <a16:creationId xmlns:a16="http://schemas.microsoft.com/office/drawing/2014/main" id="{00000000-0008-0000-0400-00001A00000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rcRect/>
        <a:stretch/>
      </xdr:blipFill>
      <xdr:spPr>
        <a:xfrm>
          <a:off x="6578664" y="47197095"/>
          <a:ext cx="2215808" cy="1477206"/>
        </a:xfrm>
        <a:prstGeom prst="rect">
          <a:avLst/>
        </a:prstGeom>
      </xdr:spPr>
    </xdr:pic>
    <xdr:clientData/>
  </xdr:oneCellAnchor>
  <xdr:oneCellAnchor>
    <xdr:from>
      <xdr:col>4</xdr:col>
      <xdr:colOff>549339</xdr:colOff>
      <xdr:row>40</xdr:row>
      <xdr:rowOff>144865</xdr:rowOff>
    </xdr:from>
    <xdr:ext cx="2211998" cy="1474666"/>
    <xdr:pic>
      <xdr:nvPicPr>
        <xdr:cNvPr id="27" name="13">
          <a:extLst>
            <a:ext uri="{FF2B5EF4-FFF2-40B4-BE49-F238E27FC236}">
              <a16:creationId xmlns:a16="http://schemas.microsoft.com/office/drawing/2014/main" id="{00000000-0008-0000-0400-00001B00000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xdr:blipFill>
      <xdr:spPr>
        <a:xfrm>
          <a:off x="6578664" y="48970015"/>
          <a:ext cx="2211998" cy="1474666"/>
        </a:xfrm>
        <a:prstGeom prst="rect">
          <a:avLst/>
        </a:prstGeom>
      </xdr:spPr>
    </xdr:pic>
    <xdr:clientData/>
  </xdr:oneCellAnchor>
  <xdr:oneCellAnchor>
    <xdr:from>
      <xdr:col>4</xdr:col>
      <xdr:colOff>549339</xdr:colOff>
      <xdr:row>41</xdr:row>
      <xdr:rowOff>143595</xdr:rowOff>
    </xdr:from>
    <xdr:ext cx="2215808" cy="1477206"/>
    <xdr:pic>
      <xdr:nvPicPr>
        <xdr:cNvPr id="28" name="13">
          <a:extLst>
            <a:ext uri="{FF2B5EF4-FFF2-40B4-BE49-F238E27FC236}">
              <a16:creationId xmlns:a16="http://schemas.microsoft.com/office/drawing/2014/main" id="{00000000-0008-0000-0400-00001C000000}"/>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xdr:blipFill>
      <xdr:spPr>
        <a:xfrm>
          <a:off x="6578664" y="50740395"/>
          <a:ext cx="2215808" cy="1477206"/>
        </a:xfrm>
        <a:prstGeom prst="rect">
          <a:avLst/>
        </a:prstGeom>
      </xdr:spPr>
    </xdr:pic>
    <xdr:clientData/>
  </xdr:oneCellAnchor>
  <xdr:oneCellAnchor>
    <xdr:from>
      <xdr:col>4</xdr:col>
      <xdr:colOff>549339</xdr:colOff>
      <xdr:row>43</xdr:row>
      <xdr:rowOff>144865</xdr:rowOff>
    </xdr:from>
    <xdr:ext cx="2211998" cy="1474665"/>
    <xdr:pic>
      <xdr:nvPicPr>
        <xdr:cNvPr id="29" name="13">
          <a:extLst>
            <a:ext uri="{FF2B5EF4-FFF2-40B4-BE49-F238E27FC236}">
              <a16:creationId xmlns:a16="http://schemas.microsoft.com/office/drawing/2014/main" id="{00000000-0008-0000-0400-00001D000000}"/>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xdr:blipFill>
      <xdr:spPr>
        <a:xfrm>
          <a:off x="6581839" y="57675865"/>
          <a:ext cx="2211998" cy="1474665"/>
        </a:xfrm>
        <a:prstGeom prst="rect">
          <a:avLst/>
        </a:prstGeom>
      </xdr:spPr>
    </xdr:pic>
    <xdr:clientData/>
  </xdr:oneCellAnchor>
  <xdr:twoCellAnchor editAs="oneCell">
    <xdr:from>
      <xdr:col>4</xdr:col>
      <xdr:colOff>553403</xdr:colOff>
      <xdr:row>14</xdr:row>
      <xdr:rowOff>123825</xdr:rowOff>
    </xdr:from>
    <xdr:to>
      <xdr:col>4</xdr:col>
      <xdr:colOff>2763496</xdr:colOff>
      <xdr:row>14</xdr:row>
      <xdr:rowOff>1597221</xdr:rowOff>
    </xdr:to>
    <xdr:pic>
      <xdr:nvPicPr>
        <xdr:cNvPr id="30" name="13">
          <a:extLst>
            <a:ext uri="{FF2B5EF4-FFF2-40B4-BE49-F238E27FC236}">
              <a16:creationId xmlns:a16="http://schemas.microsoft.com/office/drawing/2014/main" id="{00000000-0008-0000-0400-00001E00000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rcRect/>
        <a:stretch/>
      </xdr:blipFill>
      <xdr:spPr>
        <a:xfrm>
          <a:off x="6582728" y="6429375"/>
          <a:ext cx="2210093" cy="1473396"/>
        </a:xfrm>
        <a:prstGeom prst="rect">
          <a:avLst/>
        </a:prstGeom>
      </xdr:spPr>
    </xdr:pic>
    <xdr:clientData/>
  </xdr:twoCellAnchor>
  <xdr:twoCellAnchor editAs="oneCell">
    <xdr:from>
      <xdr:col>4</xdr:col>
      <xdr:colOff>581978</xdr:colOff>
      <xdr:row>15</xdr:row>
      <xdr:rowOff>123825</xdr:rowOff>
    </xdr:from>
    <xdr:to>
      <xdr:col>4</xdr:col>
      <xdr:colOff>2792071</xdr:colOff>
      <xdr:row>15</xdr:row>
      <xdr:rowOff>1597221</xdr:rowOff>
    </xdr:to>
    <xdr:pic>
      <xdr:nvPicPr>
        <xdr:cNvPr id="31" name="13">
          <a:extLst>
            <a:ext uri="{FF2B5EF4-FFF2-40B4-BE49-F238E27FC236}">
              <a16:creationId xmlns:a16="http://schemas.microsoft.com/office/drawing/2014/main" id="{00000000-0008-0000-0400-00001F00000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rcRect/>
        <a:stretch/>
      </xdr:blipFill>
      <xdr:spPr>
        <a:xfrm>
          <a:off x="6611303" y="8201025"/>
          <a:ext cx="2210093" cy="1473396"/>
        </a:xfrm>
        <a:prstGeom prst="rect">
          <a:avLst/>
        </a:prstGeom>
      </xdr:spPr>
    </xdr:pic>
    <xdr:clientData/>
  </xdr:twoCellAnchor>
  <xdr:oneCellAnchor>
    <xdr:from>
      <xdr:col>4</xdr:col>
      <xdr:colOff>550333</xdr:colOff>
      <xdr:row>29</xdr:row>
      <xdr:rowOff>95250</xdr:rowOff>
    </xdr:from>
    <xdr:ext cx="2215808" cy="1477205"/>
    <xdr:pic>
      <xdr:nvPicPr>
        <xdr:cNvPr id="32" name="13">
          <a:extLst>
            <a:ext uri="{FF2B5EF4-FFF2-40B4-BE49-F238E27FC236}">
              <a16:creationId xmlns:a16="http://schemas.microsoft.com/office/drawing/2014/main" id="{00000000-0008-0000-0400-000020000000}"/>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rcRect/>
        <a:stretch/>
      </xdr:blipFill>
      <xdr:spPr>
        <a:xfrm>
          <a:off x="6582833" y="31115000"/>
          <a:ext cx="2215808" cy="1477205"/>
        </a:xfrm>
        <a:prstGeom prst="rect">
          <a:avLst/>
        </a:prstGeom>
      </xdr:spPr>
    </xdr:pic>
    <xdr:clientData/>
  </xdr:oneCellAnchor>
  <xdr:oneCellAnchor>
    <xdr:from>
      <xdr:col>4</xdr:col>
      <xdr:colOff>571500</xdr:colOff>
      <xdr:row>25</xdr:row>
      <xdr:rowOff>105833</xdr:rowOff>
    </xdr:from>
    <xdr:ext cx="2211997" cy="1474665"/>
    <xdr:pic>
      <xdr:nvPicPr>
        <xdr:cNvPr id="33" name="13">
          <a:extLst>
            <a:ext uri="{FF2B5EF4-FFF2-40B4-BE49-F238E27FC236}">
              <a16:creationId xmlns:a16="http://schemas.microsoft.com/office/drawing/2014/main" id="{00000000-0008-0000-0400-000021000000}"/>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rcRect/>
        <a:stretch/>
      </xdr:blipFill>
      <xdr:spPr>
        <a:xfrm>
          <a:off x="6604000" y="25823333"/>
          <a:ext cx="2211997" cy="1474665"/>
        </a:xfrm>
        <a:prstGeom prst="rect">
          <a:avLst/>
        </a:prstGeom>
      </xdr:spPr>
    </xdr:pic>
    <xdr:clientData/>
  </xdr:oneCellAnchor>
  <xdr:twoCellAnchor editAs="oneCell">
    <xdr:from>
      <xdr:col>1</xdr:col>
      <xdr:colOff>95250</xdr:colOff>
      <xdr:row>0</xdr:row>
      <xdr:rowOff>127000</xdr:rowOff>
    </xdr:from>
    <xdr:to>
      <xdr:col>3</xdr:col>
      <xdr:colOff>2092536</xdr:colOff>
      <xdr:row>0</xdr:row>
      <xdr:rowOff>511810</xdr:rowOff>
    </xdr:to>
    <xdr:pic>
      <xdr:nvPicPr>
        <xdr:cNvPr id="34" name="Imagen 33">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rcRect/>
        <a:stretch>
          <a:fillRect/>
        </a:stretch>
      </xdr:blipFill>
      <xdr:spPr bwMode="auto">
        <a:xfrm>
          <a:off x="582083" y="127000"/>
          <a:ext cx="3563620" cy="384810"/>
        </a:xfrm>
        <a:prstGeom prst="rect">
          <a:avLst/>
        </a:prstGeom>
        <a:noFill/>
      </xdr:spPr>
    </xdr:pic>
    <xdr:clientData/>
  </xdr:twoCellAnchor>
  <xdr:twoCellAnchor editAs="oneCell">
    <xdr:from>
      <xdr:col>4</xdr:col>
      <xdr:colOff>1873251</xdr:colOff>
      <xdr:row>0</xdr:row>
      <xdr:rowOff>148166</xdr:rowOff>
    </xdr:from>
    <xdr:to>
      <xdr:col>4</xdr:col>
      <xdr:colOff>2991404</xdr:colOff>
      <xdr:row>0</xdr:row>
      <xdr:rowOff>469134</xdr:rowOff>
    </xdr:to>
    <xdr:pic>
      <xdr:nvPicPr>
        <xdr:cNvPr id="35" name="Imagen 34">
          <a:extLst>
            <a:ext uri="{FF2B5EF4-FFF2-40B4-BE49-F238E27FC236}">
              <a16:creationId xmlns:a16="http://schemas.microsoft.com/office/drawing/2014/main" id="{00000000-0008-0000-0400-000023000000}"/>
            </a:ext>
          </a:extLst>
        </xdr:cNvPr>
        <xdr:cNvPicPr>
          <a:picLocks noChangeAspect="1"/>
        </xdr:cNvPicPr>
      </xdr:nvPicPr>
      <xdr:blipFill>
        <a:blip xmlns:r="http://schemas.openxmlformats.org/officeDocument/2006/relationships" r:embed="rId33">
          <a:extLst>
            <a:ext uri="{28A0092B-C50C-407E-A947-70E740481C1C}">
              <a14:useLocalDpi xmlns:a14="http://schemas.microsoft.com/office/drawing/2010/main" val="0"/>
            </a:ext>
          </a:extLst>
        </a:blip>
        <a:stretch>
          <a:fillRect/>
        </a:stretch>
      </xdr:blipFill>
      <xdr:spPr>
        <a:xfrm>
          <a:off x="7905751" y="148166"/>
          <a:ext cx="1118153" cy="320968"/>
        </a:xfrm>
        <a:prstGeom prst="rect">
          <a:avLst/>
        </a:prstGeom>
      </xdr:spPr>
    </xdr:pic>
    <xdr:clientData/>
  </xdr:twoCellAnchor>
  <xdr:oneCellAnchor>
    <xdr:from>
      <xdr:col>4</xdr:col>
      <xdr:colOff>550333</xdr:colOff>
      <xdr:row>42</xdr:row>
      <xdr:rowOff>148167</xdr:rowOff>
    </xdr:from>
    <xdr:ext cx="2211998" cy="1474666"/>
    <xdr:pic>
      <xdr:nvPicPr>
        <xdr:cNvPr id="2" name="13">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rcRect/>
        <a:stretch/>
      </xdr:blipFill>
      <xdr:spPr>
        <a:xfrm>
          <a:off x="6582833" y="55911750"/>
          <a:ext cx="2211998" cy="1474666"/>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78441</xdr:colOff>
      <xdr:row>0</xdr:row>
      <xdr:rowOff>145676</xdr:rowOff>
    </xdr:from>
    <xdr:to>
      <xdr:col>3</xdr:col>
      <xdr:colOff>280296</xdr:colOff>
      <xdr:row>0</xdr:row>
      <xdr:rowOff>530486</xdr:rowOff>
    </xdr:to>
    <xdr:pic>
      <xdr:nvPicPr>
        <xdr:cNvPr id="2" name="Imagen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441" y="145676"/>
          <a:ext cx="3563620" cy="384810"/>
        </a:xfrm>
        <a:prstGeom prst="rect">
          <a:avLst/>
        </a:prstGeom>
        <a:noFill/>
      </xdr:spPr>
    </xdr:pic>
    <xdr:clientData/>
  </xdr:twoCellAnchor>
  <xdr:twoCellAnchor editAs="oneCell">
    <xdr:from>
      <xdr:col>9</xdr:col>
      <xdr:colOff>392205</xdr:colOff>
      <xdr:row>0</xdr:row>
      <xdr:rowOff>190500</xdr:rowOff>
    </xdr:from>
    <xdr:to>
      <xdr:col>11</xdr:col>
      <xdr:colOff>535446</xdr:colOff>
      <xdr:row>0</xdr:row>
      <xdr:rowOff>511468</xdr:rowOff>
    </xdr:to>
    <xdr:pic>
      <xdr:nvPicPr>
        <xdr:cNvPr id="3" name="Imagen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555440" y="190500"/>
          <a:ext cx="1118153" cy="32096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33618</xdr:colOff>
      <xdr:row>0</xdr:row>
      <xdr:rowOff>100853</xdr:rowOff>
    </xdr:from>
    <xdr:to>
      <xdr:col>3</xdr:col>
      <xdr:colOff>2297356</xdr:colOff>
      <xdr:row>2</xdr:row>
      <xdr:rowOff>37428</xdr:rowOff>
    </xdr:to>
    <xdr:pic>
      <xdr:nvPicPr>
        <xdr:cNvPr id="3" name="Imagen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677" y="100853"/>
          <a:ext cx="3563620" cy="384810"/>
        </a:xfrm>
        <a:prstGeom prst="rect">
          <a:avLst/>
        </a:prstGeom>
        <a:noFill/>
      </xdr:spPr>
    </xdr:pic>
    <xdr:clientData/>
  </xdr:twoCellAnchor>
  <xdr:twoCellAnchor editAs="oneCell">
    <xdr:from>
      <xdr:col>7</xdr:col>
      <xdr:colOff>414618</xdr:colOff>
      <xdr:row>0</xdr:row>
      <xdr:rowOff>156883</xdr:rowOff>
    </xdr:from>
    <xdr:to>
      <xdr:col>8</xdr:col>
      <xdr:colOff>681124</xdr:colOff>
      <xdr:row>2</xdr:row>
      <xdr:rowOff>29616</xdr:rowOff>
    </xdr:to>
    <xdr:pic>
      <xdr:nvPicPr>
        <xdr:cNvPr id="4" name="Imagen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16589" y="156883"/>
          <a:ext cx="1118153" cy="32096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754380</xdr:colOff>
          <xdr:row>0</xdr:row>
          <xdr:rowOff>60960</xdr:rowOff>
        </xdr:from>
        <xdr:to>
          <xdr:col>10</xdr:col>
          <xdr:colOff>1219200</xdr:colOff>
          <xdr:row>3</xdr:row>
          <xdr:rowOff>487680</xdr:rowOff>
        </xdr:to>
        <xdr:sp macro="" textlink="">
          <xdr:nvSpPr>
            <xdr:cNvPr id="7171" name="Group Box 3" hidden="1">
              <a:extLst>
                <a:ext uri="{63B3BB69-23CF-44E3-9099-C40C66FF867C}">
                  <a14:compatExt spid="_x0000_s7171"/>
                </a:ext>
                <a:ext uri="{FF2B5EF4-FFF2-40B4-BE49-F238E27FC236}">
                  <a16:creationId xmlns:a16="http://schemas.microsoft.com/office/drawing/2014/main" id="{00000000-0008-0000-0700-0000031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22860" rIns="0" bIns="0" anchor="t" upright="1"/>
            <a:lstStyle/>
            <a:p>
              <a:pPr algn="l" rtl="0">
                <a:defRPr sz="1000"/>
              </a:pPr>
              <a:r>
                <a:rPr lang="es-PE" sz="800" b="0" i="0" u="none" strike="noStrike" baseline="0">
                  <a:solidFill>
                    <a:srgbClr val="000000"/>
                  </a:solidFill>
                  <a:latin typeface="Tahoma"/>
                  <a:ea typeface="Tahoma"/>
                  <a:cs typeface="Tahoma"/>
                </a:rPr>
                <a:t>Revision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388620</xdr:colOff>
          <xdr:row>0</xdr:row>
          <xdr:rowOff>251460</xdr:rowOff>
        </xdr:from>
        <xdr:to>
          <xdr:col>10</xdr:col>
          <xdr:colOff>1127760</xdr:colOff>
          <xdr:row>2</xdr:row>
          <xdr:rowOff>68580</xdr:rowOff>
        </xdr:to>
        <xdr:sp macro="" textlink="">
          <xdr:nvSpPr>
            <xdr:cNvPr id="7176" name="CommandButton1" hidden="1">
              <a:extLst>
                <a:ext uri="{63B3BB69-23CF-44E3-9099-C40C66FF867C}">
                  <a14:compatExt spid="_x0000_s7176"/>
                </a:ext>
                <a:ext uri="{FF2B5EF4-FFF2-40B4-BE49-F238E27FC236}">
                  <a16:creationId xmlns:a16="http://schemas.microsoft.com/office/drawing/2014/main" id="{00000000-0008-0000-0700-000008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30480</xdr:colOff>
          <xdr:row>0</xdr:row>
          <xdr:rowOff>152400</xdr:rowOff>
        </xdr:from>
        <xdr:to>
          <xdr:col>9</xdr:col>
          <xdr:colOff>167640</xdr:colOff>
          <xdr:row>1</xdr:row>
          <xdr:rowOff>30480</xdr:rowOff>
        </xdr:to>
        <xdr:sp macro="" textlink="">
          <xdr:nvSpPr>
            <xdr:cNvPr id="7177" name="ck1" hidden="1">
              <a:extLst>
                <a:ext uri="{63B3BB69-23CF-44E3-9099-C40C66FF867C}">
                  <a14:compatExt spid="_x0000_s7177"/>
                </a:ext>
                <a:ext uri="{FF2B5EF4-FFF2-40B4-BE49-F238E27FC236}">
                  <a16:creationId xmlns:a16="http://schemas.microsoft.com/office/drawing/2014/main" id="{00000000-0008-0000-0700-000009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45720</xdr:colOff>
          <xdr:row>1</xdr:row>
          <xdr:rowOff>68580</xdr:rowOff>
        </xdr:from>
        <xdr:to>
          <xdr:col>9</xdr:col>
          <xdr:colOff>236220</xdr:colOff>
          <xdr:row>2</xdr:row>
          <xdr:rowOff>91440</xdr:rowOff>
        </xdr:to>
        <xdr:sp macro="" textlink="">
          <xdr:nvSpPr>
            <xdr:cNvPr id="7178" name="ck2" hidden="1">
              <a:extLst>
                <a:ext uri="{63B3BB69-23CF-44E3-9099-C40C66FF867C}">
                  <a14:compatExt spid="_x0000_s7178"/>
                </a:ext>
                <a:ext uri="{FF2B5EF4-FFF2-40B4-BE49-F238E27FC236}">
                  <a16:creationId xmlns:a16="http://schemas.microsoft.com/office/drawing/2014/main" id="{00000000-0008-0000-0700-00000A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xdr:row>
          <xdr:rowOff>114300</xdr:rowOff>
        </xdr:from>
        <xdr:to>
          <xdr:col>9</xdr:col>
          <xdr:colOff>144780</xdr:colOff>
          <xdr:row>2</xdr:row>
          <xdr:rowOff>373380</xdr:rowOff>
        </xdr:to>
        <xdr:sp macro="" textlink="">
          <xdr:nvSpPr>
            <xdr:cNvPr id="7179" name="ck3" hidden="1">
              <a:extLst>
                <a:ext uri="{63B3BB69-23CF-44E3-9099-C40C66FF867C}">
                  <a14:compatExt spid="_x0000_s7179"/>
                </a:ext>
                <a:ext uri="{FF2B5EF4-FFF2-40B4-BE49-F238E27FC236}">
                  <a16:creationId xmlns:a16="http://schemas.microsoft.com/office/drawing/2014/main" id="{00000000-0008-0000-0700-00000B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2</xdr:row>
          <xdr:rowOff>373380</xdr:rowOff>
        </xdr:from>
        <xdr:to>
          <xdr:col>9</xdr:col>
          <xdr:colOff>243840</xdr:colOff>
          <xdr:row>3</xdr:row>
          <xdr:rowOff>236220</xdr:rowOff>
        </xdr:to>
        <xdr:sp macro="" textlink="">
          <xdr:nvSpPr>
            <xdr:cNvPr id="7180" name="ck4" hidden="1">
              <a:extLst>
                <a:ext uri="{63B3BB69-23CF-44E3-9099-C40C66FF867C}">
                  <a14:compatExt spid="_x0000_s7180"/>
                </a:ext>
                <a:ext uri="{FF2B5EF4-FFF2-40B4-BE49-F238E27FC236}">
                  <a16:creationId xmlns:a16="http://schemas.microsoft.com/office/drawing/2014/main" id="{00000000-0008-0000-0700-00000C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38100</xdr:colOff>
          <xdr:row>3</xdr:row>
          <xdr:rowOff>220980</xdr:rowOff>
        </xdr:from>
        <xdr:to>
          <xdr:col>9</xdr:col>
          <xdr:colOff>243840</xdr:colOff>
          <xdr:row>3</xdr:row>
          <xdr:rowOff>472440</xdr:rowOff>
        </xdr:to>
        <xdr:sp macro="" textlink="">
          <xdr:nvSpPr>
            <xdr:cNvPr id="7183" name="ck5" hidden="1">
              <a:extLst>
                <a:ext uri="{63B3BB69-23CF-44E3-9099-C40C66FF867C}">
                  <a14:compatExt spid="_x0000_s7183"/>
                </a:ext>
                <a:ext uri="{FF2B5EF4-FFF2-40B4-BE49-F238E27FC236}">
                  <a16:creationId xmlns:a16="http://schemas.microsoft.com/office/drawing/2014/main" id="{00000000-0008-0000-0700-00000F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123825</xdr:rowOff>
    </xdr:from>
    <xdr:to>
      <xdr:col>3</xdr:col>
      <xdr:colOff>657225</xdr:colOff>
      <xdr:row>3</xdr:row>
      <xdr:rowOff>38100</xdr:rowOff>
    </xdr:to>
    <xdr:pic>
      <xdr:nvPicPr>
        <xdr:cNvPr id="2" name="Picture 59" descr="Logos_solo">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23825"/>
          <a:ext cx="2247900" cy="419100"/>
        </a:xfrm>
        <a:prstGeom prst="rect">
          <a:avLst/>
        </a:prstGeom>
        <a:noFill/>
        <a:ln w="9525">
          <a:noFill/>
          <a:miter lim="800000"/>
          <a:headEnd/>
          <a:tailEnd/>
        </a:ln>
      </xdr:spPr>
    </xdr:pic>
    <xdr:clientData/>
  </xdr:twoCellAnchor>
  <xdr:twoCellAnchor>
    <xdr:from>
      <xdr:col>0</xdr:col>
      <xdr:colOff>0</xdr:colOff>
      <xdr:row>65</xdr:row>
      <xdr:rowOff>123825</xdr:rowOff>
    </xdr:from>
    <xdr:to>
      <xdr:col>3</xdr:col>
      <xdr:colOff>657225</xdr:colOff>
      <xdr:row>68</xdr:row>
      <xdr:rowOff>38100</xdr:rowOff>
    </xdr:to>
    <xdr:pic>
      <xdr:nvPicPr>
        <xdr:cNvPr id="3" name="Picture 59" descr="Logos_solo">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11039475"/>
          <a:ext cx="2247900" cy="419100"/>
        </a:xfrm>
        <a:prstGeom prst="rect">
          <a:avLst/>
        </a:prstGeom>
        <a:noFill/>
        <a:ln w="9525">
          <a:noFill/>
          <a:miter lim="800000"/>
          <a:headEnd/>
          <a:tailEnd/>
        </a:ln>
      </xdr:spPr>
    </xdr:pic>
    <xdr:clientData/>
  </xdr:twoCellAnchor>
  <xdr:twoCellAnchor>
    <xdr:from>
      <xdr:col>0</xdr:col>
      <xdr:colOff>0</xdr:colOff>
      <xdr:row>130</xdr:row>
      <xdr:rowOff>123825</xdr:rowOff>
    </xdr:from>
    <xdr:to>
      <xdr:col>3</xdr:col>
      <xdr:colOff>657225</xdr:colOff>
      <xdr:row>133</xdr:row>
      <xdr:rowOff>38100</xdr:rowOff>
    </xdr:to>
    <xdr:pic>
      <xdr:nvPicPr>
        <xdr:cNvPr id="4" name="Picture 59" descr="Logos_solo">
          <a:extLst>
            <a:ext uri="{FF2B5EF4-FFF2-40B4-BE49-F238E27FC236}">
              <a16:creationId xmlns:a16="http://schemas.microsoft.com/office/drawing/2014/main" id="{00000000-0008-0000-08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1964650"/>
          <a:ext cx="2247900" cy="419100"/>
        </a:xfrm>
        <a:prstGeom prst="rect">
          <a:avLst/>
        </a:prstGeom>
        <a:noFill/>
        <a:ln w="9525">
          <a:noFill/>
          <a:miter lim="800000"/>
          <a:headEnd/>
          <a:tailEnd/>
        </a:ln>
      </xdr:spPr>
    </xdr:pic>
    <xdr:clientData/>
  </xdr:twoCellAnchor>
  <xdr:twoCellAnchor>
    <xdr:from>
      <xdr:col>0</xdr:col>
      <xdr:colOff>0</xdr:colOff>
      <xdr:row>260</xdr:row>
      <xdr:rowOff>133350</xdr:rowOff>
    </xdr:from>
    <xdr:to>
      <xdr:col>3</xdr:col>
      <xdr:colOff>657225</xdr:colOff>
      <xdr:row>263</xdr:row>
      <xdr:rowOff>47625</xdr:rowOff>
    </xdr:to>
    <xdr:pic>
      <xdr:nvPicPr>
        <xdr:cNvPr id="5" name="Picture 59" descr="Logos_solo">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44234100"/>
          <a:ext cx="2247900" cy="419100"/>
        </a:xfrm>
        <a:prstGeom prst="rect">
          <a:avLst/>
        </a:prstGeom>
        <a:noFill/>
        <a:ln w="9525">
          <a:noFill/>
          <a:miter lim="800000"/>
          <a:headEnd/>
          <a:tailEnd/>
        </a:ln>
      </xdr:spPr>
    </xdr:pic>
    <xdr:clientData/>
  </xdr:twoCellAnchor>
  <xdr:twoCellAnchor>
    <xdr:from>
      <xdr:col>0</xdr:col>
      <xdr:colOff>0</xdr:colOff>
      <xdr:row>195</xdr:row>
      <xdr:rowOff>114300</xdr:rowOff>
    </xdr:from>
    <xdr:to>
      <xdr:col>3</xdr:col>
      <xdr:colOff>657225</xdr:colOff>
      <xdr:row>198</xdr:row>
      <xdr:rowOff>28575</xdr:rowOff>
    </xdr:to>
    <xdr:pic>
      <xdr:nvPicPr>
        <xdr:cNvPr id="6" name="Picture 59" descr="Logos_solo">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32956500"/>
          <a:ext cx="2247900" cy="419100"/>
        </a:xfrm>
        <a:prstGeom prst="rect">
          <a:avLst/>
        </a:prstGeom>
        <a:noFill/>
        <a:ln w="9525">
          <a:noFill/>
          <a:miter lim="800000"/>
          <a:headEnd/>
          <a:tailEnd/>
        </a:ln>
      </xdr:spPr>
    </xdr:pic>
    <xdr:clientData/>
  </xdr:twoCellAnchor>
  <xdr:twoCellAnchor>
    <xdr:from>
      <xdr:col>0</xdr:col>
      <xdr:colOff>0</xdr:colOff>
      <xdr:row>325</xdr:row>
      <xdr:rowOff>133350</xdr:rowOff>
    </xdr:from>
    <xdr:to>
      <xdr:col>3</xdr:col>
      <xdr:colOff>657225</xdr:colOff>
      <xdr:row>328</xdr:row>
      <xdr:rowOff>47625</xdr:rowOff>
    </xdr:to>
    <xdr:pic>
      <xdr:nvPicPr>
        <xdr:cNvPr id="7" name="Picture 59" descr="Logos_solo">
          <a:extLst>
            <a:ext uri="{FF2B5EF4-FFF2-40B4-BE49-F238E27FC236}">
              <a16:creationId xmlns:a16="http://schemas.microsoft.com/office/drawing/2014/main" id="{00000000-0008-0000-08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54825900"/>
          <a:ext cx="2247900" cy="419100"/>
        </a:xfrm>
        <a:prstGeom prst="rect">
          <a:avLst/>
        </a:prstGeom>
        <a:noFill/>
        <a:ln w="9525">
          <a:noFill/>
          <a:miter lim="800000"/>
          <a:headEnd/>
          <a:tailEnd/>
        </a:ln>
      </xdr:spPr>
    </xdr:pic>
    <xdr:clientData/>
  </xdr:twoCellAnchor>
  <xdr:twoCellAnchor editAs="oneCell">
    <xdr:from>
      <xdr:col>1</xdr:col>
      <xdr:colOff>104775</xdr:colOff>
      <xdr:row>15</xdr:row>
      <xdr:rowOff>104775</xdr:rowOff>
    </xdr:from>
    <xdr:to>
      <xdr:col>3</xdr:col>
      <xdr:colOff>80433</xdr:colOff>
      <xdr:row>21</xdr:row>
      <xdr:rowOff>41275</xdr:rowOff>
    </xdr:to>
    <xdr:pic>
      <xdr:nvPicPr>
        <xdr:cNvPr id="12" name="13">
          <a:extLst>
            <a:ext uri="{FF2B5EF4-FFF2-40B4-BE49-F238E27FC236}">
              <a16:creationId xmlns:a16="http://schemas.microsoft.com/office/drawing/2014/main" id="{00000000-0008-0000-0800-00000C000000}"/>
            </a:ext>
          </a:extLst>
        </xdr:cNvPr>
        <xdr:cNvPicPr>
          <a:picLocks noChangeAspect="1"/>
        </xdr:cNvPicPr>
      </xdr:nvPicPr>
      <xdr:blipFill>
        <a:blip xmlns:r="http://schemas.openxmlformats.org/officeDocument/2006/relationships" r:link="rId2"/>
        <a:stretch>
          <a:fillRect/>
        </a:stretch>
      </xdr:blipFill>
      <xdr:spPr>
        <a:xfrm>
          <a:off x="485775" y="2762250"/>
          <a:ext cx="1185333" cy="889000"/>
        </a:xfrm>
        <a:prstGeom prst="rect">
          <a:avLst/>
        </a:prstGeom>
      </xdr:spPr>
    </xdr:pic>
    <xdr:clientData/>
  </xdr:twoCellAnchor>
  <mc:AlternateContent xmlns:mc="http://schemas.openxmlformats.org/markup-compatibility/2006">
    <mc:Choice xmlns:a14="http://schemas.microsoft.com/office/drawing/2010/main" Requires="a14">
      <xdr:twoCellAnchor>
        <xdr:from>
          <xdr:col>7</xdr:col>
          <xdr:colOff>411480</xdr:colOff>
          <xdr:row>1</xdr:row>
          <xdr:rowOff>68580</xdr:rowOff>
        </xdr:from>
        <xdr:to>
          <xdr:col>8</xdr:col>
          <xdr:colOff>464820</xdr:colOff>
          <xdr:row>2</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8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411480</xdr:colOff>
          <xdr:row>66</xdr:row>
          <xdr:rowOff>68580</xdr:rowOff>
        </xdr:from>
        <xdr:to>
          <xdr:col>8</xdr:col>
          <xdr:colOff>464820</xdr:colOff>
          <xdr:row>67</xdr:row>
          <xdr:rowOff>152400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0800-000002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518160</xdr:colOff>
          <xdr:row>131</xdr:row>
          <xdr:rowOff>30480</xdr:rowOff>
        </xdr:from>
        <xdr:to>
          <xdr:col>8</xdr:col>
          <xdr:colOff>464820</xdr:colOff>
          <xdr:row>132</xdr:row>
          <xdr:rowOff>152400</xdr:rowOff>
        </xdr:to>
        <xdr:sp macro="" textlink="">
          <xdr:nvSpPr>
            <xdr:cNvPr id="8195" name="Object 3" hidden="1">
              <a:extLst>
                <a:ext uri="{63B3BB69-23CF-44E3-9099-C40C66FF867C}">
                  <a14:compatExt spid="_x0000_s8195"/>
                </a:ext>
                <a:ext uri="{FF2B5EF4-FFF2-40B4-BE49-F238E27FC236}">
                  <a16:creationId xmlns:a16="http://schemas.microsoft.com/office/drawing/2014/main" id="{00000000-0008-0000-0800-000003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411480</xdr:colOff>
          <xdr:row>261</xdr:row>
          <xdr:rowOff>68580</xdr:rowOff>
        </xdr:from>
        <xdr:to>
          <xdr:col>8</xdr:col>
          <xdr:colOff>464820</xdr:colOff>
          <xdr:row>262</xdr:row>
          <xdr:rowOff>152400</xdr:rowOff>
        </xdr:to>
        <xdr:sp macro="" textlink="">
          <xdr:nvSpPr>
            <xdr:cNvPr id="8196" name="Object 4" hidden="1">
              <a:extLst>
                <a:ext uri="{63B3BB69-23CF-44E3-9099-C40C66FF867C}">
                  <a14:compatExt spid="_x0000_s8196"/>
                </a:ext>
                <a:ext uri="{FF2B5EF4-FFF2-40B4-BE49-F238E27FC236}">
                  <a16:creationId xmlns:a16="http://schemas.microsoft.com/office/drawing/2014/main" id="{00000000-0008-0000-0800-000004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411480</xdr:colOff>
          <xdr:row>196</xdr:row>
          <xdr:rowOff>68580</xdr:rowOff>
        </xdr:from>
        <xdr:to>
          <xdr:col>8</xdr:col>
          <xdr:colOff>464820</xdr:colOff>
          <xdr:row>197</xdr:row>
          <xdr:rowOff>152400</xdr:rowOff>
        </xdr:to>
        <xdr:sp macro="" textlink="">
          <xdr:nvSpPr>
            <xdr:cNvPr id="8197" name="Object 5" hidden="1">
              <a:extLst>
                <a:ext uri="{63B3BB69-23CF-44E3-9099-C40C66FF867C}">
                  <a14:compatExt spid="_x0000_s8197"/>
                </a:ext>
                <a:ext uri="{FF2B5EF4-FFF2-40B4-BE49-F238E27FC236}">
                  <a16:creationId xmlns:a16="http://schemas.microsoft.com/office/drawing/2014/main" id="{00000000-0008-0000-0800-000005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7</xdr:col>
          <xdr:colOff>411480</xdr:colOff>
          <xdr:row>326</xdr:row>
          <xdr:rowOff>68580</xdr:rowOff>
        </xdr:from>
        <xdr:to>
          <xdr:col>8</xdr:col>
          <xdr:colOff>464820</xdr:colOff>
          <xdr:row>327</xdr:row>
          <xdr:rowOff>152400</xdr:rowOff>
        </xdr:to>
        <xdr:sp macro="" textlink="">
          <xdr:nvSpPr>
            <xdr:cNvPr id="8198" name="Object 6" hidden="1">
              <a:extLst>
                <a:ext uri="{63B3BB69-23CF-44E3-9099-C40C66FF867C}">
                  <a14:compatExt spid="_x0000_s8198"/>
                </a:ext>
                <a:ext uri="{FF2B5EF4-FFF2-40B4-BE49-F238E27FC236}">
                  <a16:creationId xmlns:a16="http://schemas.microsoft.com/office/drawing/2014/main" id="{00000000-0008-0000-0800-000006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44.emf"/><Relationship Id="rId3" Type="http://schemas.openxmlformats.org/officeDocument/2006/relationships/vmlDrawing" Target="../drawings/vmlDrawing4.vml"/><Relationship Id="rId7" Type="http://schemas.openxmlformats.org/officeDocument/2006/relationships/image" Target="../media/image41.emf"/><Relationship Id="rId12" Type="http://schemas.openxmlformats.org/officeDocument/2006/relationships/control" Target="../activeX/activeX5.xml"/><Relationship Id="rId2" Type="http://schemas.openxmlformats.org/officeDocument/2006/relationships/drawing" Target="../drawings/drawing8.xml"/><Relationship Id="rId16" Type="http://schemas.openxmlformats.org/officeDocument/2006/relationships/ctrlProp" Target="../ctrlProps/ctrlProp3.xml"/><Relationship Id="rId1" Type="http://schemas.openxmlformats.org/officeDocument/2006/relationships/printerSettings" Target="../printerSettings/printerSettings8.bin"/><Relationship Id="rId6" Type="http://schemas.openxmlformats.org/officeDocument/2006/relationships/control" Target="../activeX/activeX2.xml"/><Relationship Id="rId11" Type="http://schemas.openxmlformats.org/officeDocument/2006/relationships/image" Target="../media/image43.emf"/><Relationship Id="rId5" Type="http://schemas.openxmlformats.org/officeDocument/2006/relationships/image" Target="../media/image40.emf"/><Relationship Id="rId15" Type="http://schemas.openxmlformats.org/officeDocument/2006/relationships/image" Target="../media/image45.emf"/><Relationship Id="rId10" Type="http://schemas.openxmlformats.org/officeDocument/2006/relationships/control" Target="../activeX/activeX4.xml"/><Relationship Id="rId4" Type="http://schemas.openxmlformats.org/officeDocument/2006/relationships/control" Target="../activeX/activeX1.xml"/><Relationship Id="rId9" Type="http://schemas.openxmlformats.org/officeDocument/2006/relationships/image" Target="../media/image42.emf"/><Relationship Id="rId14" Type="http://schemas.openxmlformats.org/officeDocument/2006/relationships/control" Target="../activeX/activeX6.xml"/></Relationships>
</file>

<file path=xl/worksheets/_rels/sheet9.xml.rels><?xml version="1.0" encoding="UTF-8" standalone="yes"?>
<Relationships xmlns="http://schemas.openxmlformats.org/package/2006/relationships"><Relationship Id="rId8" Type="http://schemas.openxmlformats.org/officeDocument/2006/relationships/oleObject" Target="../embeddings/oleObject5.bin"/><Relationship Id="rId3" Type="http://schemas.openxmlformats.org/officeDocument/2006/relationships/oleObject" Target="../embeddings/oleObject1.bin"/><Relationship Id="rId7" Type="http://schemas.openxmlformats.org/officeDocument/2006/relationships/oleObject" Target="../embeddings/oleObject4.bin"/><Relationship Id="rId2" Type="http://schemas.openxmlformats.org/officeDocument/2006/relationships/vmlDrawing" Target="../drawings/vmlDrawing5.vml"/><Relationship Id="rId1" Type="http://schemas.openxmlformats.org/officeDocument/2006/relationships/drawing" Target="../drawings/drawing9.xml"/><Relationship Id="rId6" Type="http://schemas.openxmlformats.org/officeDocument/2006/relationships/oleObject" Target="../embeddings/oleObject3.bin"/><Relationship Id="rId5" Type="http://schemas.openxmlformats.org/officeDocument/2006/relationships/oleObject" Target="../embeddings/oleObject2.bin"/><Relationship Id="rId4" Type="http://schemas.openxmlformats.org/officeDocument/2006/relationships/image" Target="../media/image46.wmf"/><Relationship Id="rId9" Type="http://schemas.openxmlformats.org/officeDocument/2006/relationships/oleObject" Target="../embeddings/oleObject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3">
    <pageSetUpPr fitToPage="1"/>
  </sheetPr>
  <dimension ref="A1:X500"/>
  <sheetViews>
    <sheetView view="pageBreakPreview" topLeftCell="A173" zoomScaleNormal="100" zoomScaleSheetLayoutView="100" workbookViewId="0">
      <selection activeCell="C58" sqref="C58"/>
    </sheetView>
  </sheetViews>
  <sheetFormatPr baseColWidth="10" defaultColWidth="11.5546875" defaultRowHeight="13.8" outlineLevelRow="2" x14ac:dyDescent="0.25"/>
  <cols>
    <col min="1" max="1" width="2.6640625" style="1" customWidth="1"/>
    <col min="2" max="2" width="1.6640625" style="1" customWidth="1"/>
    <col min="3" max="3" width="20.6640625" style="1" customWidth="1"/>
    <col min="4" max="4" width="1.6640625" style="1" customWidth="1"/>
    <col min="5" max="5" width="14.6640625" style="1" customWidth="1"/>
    <col min="6" max="6" width="1.6640625" style="1" customWidth="1"/>
    <col min="7" max="8" width="13.6640625" style="1" customWidth="1"/>
    <col min="9" max="9" width="1.6640625" style="1" customWidth="1"/>
    <col min="10" max="10" width="13.6640625" style="1" customWidth="1"/>
    <col min="11" max="11" width="1.6640625" style="1" customWidth="1"/>
    <col min="12" max="12" width="13.33203125" style="1" customWidth="1"/>
    <col min="13" max="13" width="1.6640625" style="1" customWidth="1"/>
    <col min="14" max="14" width="13.6640625" style="1" customWidth="1"/>
    <col min="15" max="15" width="1.6640625" style="1" customWidth="1"/>
    <col min="16" max="16" width="13.6640625" style="1" customWidth="1"/>
    <col min="17" max="17" width="1.6640625" style="1" customWidth="1"/>
    <col min="18" max="18" width="15.6640625" style="1" customWidth="1"/>
    <col min="19" max="19" width="6.44140625" style="1" customWidth="1"/>
    <col min="20" max="16384" width="11.5546875" style="1"/>
  </cols>
  <sheetData>
    <row r="1" spans="2:21" x14ac:dyDescent="0.25">
      <c r="C1" s="622"/>
      <c r="D1" s="622"/>
      <c r="E1" s="622"/>
      <c r="F1" s="622"/>
      <c r="G1" s="622"/>
      <c r="H1" s="622"/>
      <c r="I1" s="622"/>
      <c r="J1" s="622"/>
      <c r="K1" s="622"/>
      <c r="L1" s="622"/>
      <c r="M1" s="622"/>
      <c r="N1" s="622"/>
      <c r="O1" s="622"/>
      <c r="P1" s="622"/>
      <c r="Q1" s="622"/>
      <c r="R1" s="622"/>
      <c r="S1" s="2"/>
      <c r="T1" s="2"/>
    </row>
    <row r="2" spans="2:21" x14ac:dyDescent="0.25">
      <c r="C2" s="622"/>
      <c r="D2" s="622"/>
      <c r="E2" s="622"/>
      <c r="F2" s="622"/>
      <c r="G2" s="622"/>
      <c r="H2" s="622"/>
      <c r="I2" s="622"/>
      <c r="J2" s="622"/>
      <c r="K2" s="622"/>
      <c r="L2" s="622"/>
      <c r="M2" s="622"/>
      <c r="N2" s="622"/>
      <c r="O2" s="622"/>
      <c r="P2" s="622"/>
      <c r="Q2" s="622"/>
      <c r="R2" s="622"/>
      <c r="S2" s="2"/>
      <c r="T2" s="2"/>
    </row>
    <row r="3" spans="2:21" x14ac:dyDescent="0.25">
      <c r="C3" s="623"/>
      <c r="D3" s="623"/>
      <c r="E3" s="623"/>
      <c r="F3" s="623"/>
      <c r="G3" s="623"/>
      <c r="H3" s="623"/>
      <c r="I3" s="623"/>
      <c r="J3" s="623"/>
      <c r="K3" s="623"/>
      <c r="L3" s="623"/>
      <c r="M3" s="623"/>
      <c r="N3" s="623"/>
      <c r="O3" s="623"/>
      <c r="P3" s="623"/>
      <c r="Q3" s="623"/>
      <c r="R3" s="623"/>
      <c r="S3" s="2"/>
      <c r="T3" s="2"/>
    </row>
    <row r="4" spans="2:21" ht="30.75" customHeight="1" thickBot="1" x14ac:dyDescent="0.3">
      <c r="C4" s="624" t="s">
        <v>889</v>
      </c>
      <c r="D4" s="624"/>
      <c r="E4" s="624"/>
      <c r="F4" s="624"/>
      <c r="G4" s="624"/>
      <c r="H4" s="624"/>
      <c r="I4" s="624"/>
      <c r="J4" s="624"/>
      <c r="K4" s="624"/>
      <c r="L4" s="624"/>
      <c r="M4" s="624"/>
      <c r="N4" s="624"/>
      <c r="O4" s="624"/>
      <c r="P4" s="624"/>
      <c r="Q4" s="624"/>
      <c r="R4" s="624"/>
      <c r="S4" s="2"/>
      <c r="T4" s="2"/>
    </row>
    <row r="5" spans="2:21" ht="16.5" customHeight="1" thickBot="1" x14ac:dyDescent="0.3">
      <c r="C5" s="3"/>
      <c r="D5" s="3"/>
      <c r="E5" s="3"/>
      <c r="F5" s="3"/>
      <c r="G5" s="3"/>
      <c r="H5" s="3"/>
      <c r="I5" s="3"/>
      <c r="J5" s="3"/>
      <c r="K5" s="3"/>
      <c r="L5" s="3"/>
      <c r="M5" s="3"/>
      <c r="N5" s="3"/>
      <c r="O5" s="3"/>
      <c r="P5" s="3"/>
      <c r="Q5" s="3"/>
      <c r="R5" s="3"/>
      <c r="S5" s="3"/>
      <c r="T5" s="3"/>
    </row>
    <row r="6" spans="2:21" ht="9.75" customHeight="1" thickTop="1" x14ac:dyDescent="0.25">
      <c r="B6" s="4"/>
      <c r="C6" s="625" t="s">
        <v>270</v>
      </c>
      <c r="D6" s="626"/>
      <c r="E6" s="626"/>
      <c r="F6" s="626"/>
      <c r="G6" s="627"/>
      <c r="H6" s="3"/>
      <c r="I6" s="3"/>
      <c r="J6" s="3"/>
      <c r="K6" s="3"/>
      <c r="L6" s="3"/>
      <c r="M6" s="3"/>
      <c r="N6" s="3"/>
      <c r="O6" s="3"/>
      <c r="P6" s="3"/>
      <c r="Q6" s="3"/>
      <c r="R6" s="3"/>
      <c r="S6" s="3"/>
      <c r="T6" s="3"/>
    </row>
    <row r="7" spans="2:21" ht="14.4" thickBot="1" x14ac:dyDescent="0.3">
      <c r="B7" s="5"/>
      <c r="C7" s="628"/>
      <c r="D7" s="629"/>
      <c r="E7" s="629"/>
      <c r="F7" s="629"/>
      <c r="G7" s="630"/>
      <c r="H7" s="6"/>
      <c r="I7" s="6"/>
      <c r="J7" s="6"/>
      <c r="K7" s="6"/>
      <c r="L7" s="6"/>
      <c r="M7" s="6"/>
      <c r="N7" s="6"/>
      <c r="O7" s="6"/>
      <c r="P7" s="6"/>
      <c r="Q7" s="6"/>
      <c r="R7" s="7"/>
      <c r="S7" s="5"/>
    </row>
    <row r="8" spans="2:21" ht="14.4" thickTop="1" x14ac:dyDescent="0.25">
      <c r="B8" s="5"/>
      <c r="C8" s="418"/>
      <c r="D8" s="418"/>
      <c r="E8" s="418"/>
      <c r="F8" s="418"/>
      <c r="G8" s="418"/>
      <c r="R8" s="8"/>
    </row>
    <row r="9" spans="2:21" x14ac:dyDescent="0.25">
      <c r="B9" s="5"/>
      <c r="F9" s="418"/>
      <c r="G9" s="418"/>
      <c r="H9" s="9" t="s">
        <v>2</v>
      </c>
      <c r="J9" s="613" t="str">
        <f>+C4</f>
        <v>PUENTE AGUA BLANCA</v>
      </c>
      <c r="K9" s="614"/>
      <c r="L9" s="615"/>
      <c r="N9" s="426">
        <v>1</v>
      </c>
      <c r="R9" s="8"/>
    </row>
    <row r="10" spans="2:21" x14ac:dyDescent="0.25">
      <c r="B10" s="5"/>
      <c r="F10" s="418"/>
      <c r="G10" s="418"/>
      <c r="H10" s="418"/>
      <c r="I10" s="418"/>
      <c r="R10" s="8"/>
    </row>
    <row r="11" spans="2:21" x14ac:dyDescent="0.25">
      <c r="B11" s="5"/>
      <c r="F11" s="418"/>
      <c r="G11" s="418"/>
      <c r="H11" s="9" t="s">
        <v>4</v>
      </c>
      <c r="J11" s="616" t="s">
        <v>931</v>
      </c>
      <c r="K11" s="617"/>
      <c r="L11" s="618"/>
      <c r="N11" s="426">
        <v>2</v>
      </c>
      <c r="R11" s="8"/>
    </row>
    <row r="12" spans="2:21" x14ac:dyDescent="0.25">
      <c r="B12" s="5"/>
      <c r="C12" s="25"/>
      <c r="D12" s="25"/>
      <c r="E12" s="53"/>
      <c r="F12" s="418"/>
      <c r="G12" s="418"/>
      <c r="P12" s="53"/>
      <c r="R12" s="8"/>
    </row>
    <row r="13" spans="2:21" x14ac:dyDescent="0.25">
      <c r="B13" s="5"/>
      <c r="C13" s="9" t="s">
        <v>1</v>
      </c>
      <c r="E13" s="450" t="s">
        <v>882</v>
      </c>
      <c r="F13" s="418"/>
      <c r="G13" s="426">
        <v>3</v>
      </c>
      <c r="H13" s="9" t="s">
        <v>0</v>
      </c>
      <c r="I13" s="25"/>
      <c r="J13" s="33" t="s">
        <v>886</v>
      </c>
      <c r="L13" s="426">
        <v>6</v>
      </c>
      <c r="M13" s="25"/>
      <c r="N13" s="569" t="s">
        <v>598</v>
      </c>
      <c r="P13" s="428" t="str">
        <f>+J19</f>
        <v>Matalaque</v>
      </c>
      <c r="R13" s="427">
        <v>10</v>
      </c>
      <c r="U13" s="3"/>
    </row>
    <row r="14" spans="2:21" x14ac:dyDescent="0.25">
      <c r="B14" s="5"/>
      <c r="E14" s="53"/>
      <c r="P14" s="53"/>
      <c r="R14" s="427"/>
      <c r="T14" s="1" t="s">
        <v>651</v>
      </c>
    </row>
    <row r="15" spans="2:21" x14ac:dyDescent="0.25">
      <c r="B15" s="5"/>
      <c r="C15" s="9" t="s">
        <v>883</v>
      </c>
      <c r="E15" s="428">
        <v>311174.39</v>
      </c>
      <c r="G15" s="426">
        <v>4</v>
      </c>
      <c r="H15" s="9" t="s">
        <v>3</v>
      </c>
      <c r="I15" s="25"/>
      <c r="J15" s="33" t="s">
        <v>886</v>
      </c>
      <c r="L15" s="426">
        <v>7</v>
      </c>
      <c r="M15" s="25"/>
      <c r="N15" s="9" t="s">
        <v>6</v>
      </c>
      <c r="P15" s="451" t="s">
        <v>885</v>
      </c>
      <c r="R15" s="427">
        <v>11</v>
      </c>
    </row>
    <row r="16" spans="2:21" x14ac:dyDescent="0.25">
      <c r="B16" s="5"/>
      <c r="E16" s="53"/>
      <c r="P16" s="53"/>
      <c r="R16" s="427"/>
    </row>
    <row r="17" spans="2:18" x14ac:dyDescent="0.25">
      <c r="B17" s="5"/>
      <c r="C17" s="9" t="s">
        <v>884</v>
      </c>
      <c r="E17" s="428">
        <v>8155443.3899999997</v>
      </c>
      <c r="F17" s="3"/>
      <c r="G17" s="427">
        <v>5</v>
      </c>
      <c r="H17" s="9" t="s">
        <v>5</v>
      </c>
      <c r="I17" s="25"/>
      <c r="J17" s="33" t="s">
        <v>887</v>
      </c>
      <c r="L17" s="426">
        <v>8</v>
      </c>
      <c r="M17" s="25"/>
      <c r="N17" s="9" t="s">
        <v>8</v>
      </c>
      <c r="P17" s="470">
        <v>30298</v>
      </c>
      <c r="R17" s="427">
        <v>12</v>
      </c>
    </row>
    <row r="18" spans="2:18" x14ac:dyDescent="0.25">
      <c r="B18" s="5"/>
      <c r="E18" s="53"/>
      <c r="P18" s="53"/>
      <c r="R18" s="427"/>
    </row>
    <row r="19" spans="2:18" x14ac:dyDescent="0.25">
      <c r="B19" s="5"/>
      <c r="C19" s="9" t="s">
        <v>845</v>
      </c>
      <c r="E19" s="428">
        <v>11</v>
      </c>
      <c r="H19" s="9" t="s">
        <v>7</v>
      </c>
      <c r="I19" s="25"/>
      <c r="J19" s="33" t="s">
        <v>888</v>
      </c>
      <c r="L19" s="426">
        <v>9</v>
      </c>
      <c r="M19" s="25"/>
      <c r="N19" s="9" t="s">
        <v>547</v>
      </c>
      <c r="P19" s="428" t="s">
        <v>550</v>
      </c>
      <c r="R19" s="427">
        <v>13</v>
      </c>
    </row>
    <row r="20" spans="2:18" x14ac:dyDescent="0.25">
      <c r="B20" s="5"/>
      <c r="C20" s="25"/>
      <c r="D20" s="25"/>
      <c r="G20" s="25"/>
      <c r="P20" s="53"/>
      <c r="R20" s="8"/>
    </row>
    <row r="21" spans="2:18" x14ac:dyDescent="0.25">
      <c r="B21" s="10"/>
      <c r="C21" s="11"/>
      <c r="D21" s="11"/>
      <c r="E21" s="11"/>
      <c r="F21" s="11"/>
      <c r="G21" s="11"/>
      <c r="H21" s="11"/>
      <c r="I21" s="11"/>
      <c r="J21" s="11"/>
      <c r="K21" s="11"/>
      <c r="L21" s="11"/>
      <c r="M21" s="11"/>
      <c r="N21" s="11"/>
      <c r="O21" s="11"/>
      <c r="P21" s="452"/>
      <c r="Q21" s="11"/>
      <c r="R21" s="12"/>
    </row>
    <row r="22" spans="2:18" x14ac:dyDescent="0.25">
      <c r="P22" s="53"/>
    </row>
    <row r="23" spans="2:18" ht="14.4" thickBot="1" x14ac:dyDescent="0.3">
      <c r="P23" s="53"/>
    </row>
    <row r="24" spans="2:18" ht="16.5" customHeight="1" thickTop="1" x14ac:dyDescent="0.25">
      <c r="C24" s="625" t="s">
        <v>271</v>
      </c>
      <c r="D24" s="626"/>
      <c r="E24" s="626"/>
      <c r="F24" s="626"/>
      <c r="G24" s="627"/>
      <c r="K24" s="11"/>
      <c r="L24" s="11"/>
      <c r="M24" s="11"/>
      <c r="N24" s="11"/>
      <c r="O24" s="11"/>
      <c r="P24" s="452"/>
      <c r="Q24" s="11"/>
      <c r="R24" s="11"/>
    </row>
    <row r="25" spans="2:18" ht="14.4" thickBot="1" x14ac:dyDescent="0.3">
      <c r="B25" s="13"/>
      <c r="C25" s="628"/>
      <c r="D25" s="629"/>
      <c r="E25" s="629"/>
      <c r="F25" s="629"/>
      <c r="G25" s="630"/>
      <c r="H25" s="6"/>
      <c r="I25" s="6"/>
      <c r="J25" s="6"/>
      <c r="N25" s="53"/>
      <c r="O25" s="53"/>
      <c r="P25" s="53"/>
      <c r="R25" s="8"/>
    </row>
    <row r="26" spans="2:18" ht="14.4" thickTop="1" x14ac:dyDescent="0.25">
      <c r="B26" s="5"/>
      <c r="E26" s="53"/>
      <c r="N26" s="53"/>
      <c r="O26" s="53"/>
      <c r="P26" s="53"/>
      <c r="R26" s="8"/>
    </row>
    <row r="27" spans="2:18" x14ac:dyDescent="0.25">
      <c r="B27" s="5"/>
      <c r="C27" s="307" t="s">
        <v>9</v>
      </c>
      <c r="D27" s="25"/>
      <c r="E27" s="428" t="s">
        <v>10</v>
      </c>
      <c r="G27" s="426">
        <v>1</v>
      </c>
      <c r="J27" s="631" t="s">
        <v>11</v>
      </c>
      <c r="K27" s="632"/>
      <c r="L27" s="633"/>
      <c r="M27" s="14"/>
      <c r="N27" s="428"/>
      <c r="O27" s="53"/>
      <c r="P27" s="426">
        <v>10</v>
      </c>
      <c r="R27" s="8"/>
    </row>
    <row r="28" spans="2:18" x14ac:dyDescent="0.25">
      <c r="B28" s="5"/>
      <c r="E28" s="53"/>
      <c r="N28" s="53"/>
      <c r="O28" s="53"/>
      <c r="P28" s="53"/>
      <c r="R28" s="8"/>
    </row>
    <row r="29" spans="2:18" x14ac:dyDescent="0.25">
      <c r="B29" s="5"/>
      <c r="C29" s="9" t="s">
        <v>12</v>
      </c>
      <c r="D29" s="25"/>
      <c r="E29" s="428" t="s">
        <v>932</v>
      </c>
      <c r="G29" s="426">
        <v>2</v>
      </c>
      <c r="J29" s="631" t="s">
        <v>13</v>
      </c>
      <c r="K29" s="632"/>
      <c r="L29" s="633"/>
      <c r="M29" s="14"/>
      <c r="N29" s="451"/>
      <c r="O29" s="53"/>
      <c r="P29" s="426">
        <v>11</v>
      </c>
      <c r="R29" s="8"/>
    </row>
    <row r="30" spans="2:18" x14ac:dyDescent="0.25">
      <c r="B30" s="5"/>
      <c r="E30" s="53"/>
      <c r="N30" s="53"/>
      <c r="O30" s="53"/>
      <c r="P30" s="53"/>
      <c r="R30" s="8"/>
    </row>
    <row r="31" spans="2:18" x14ac:dyDescent="0.25">
      <c r="B31" s="5"/>
      <c r="C31" s="9" t="s">
        <v>14</v>
      </c>
      <c r="D31" s="25"/>
      <c r="E31" s="454">
        <v>31.2</v>
      </c>
      <c r="G31" s="426">
        <v>3</v>
      </c>
      <c r="J31" s="631" t="s">
        <v>15</v>
      </c>
      <c r="K31" s="632"/>
      <c r="L31" s="633"/>
      <c r="M31" s="14"/>
      <c r="N31" s="453">
        <v>45715</v>
      </c>
      <c r="O31" s="53"/>
      <c r="P31" s="426">
        <v>12</v>
      </c>
      <c r="R31" s="8" t="s">
        <v>16</v>
      </c>
    </row>
    <row r="32" spans="2:18" x14ac:dyDescent="0.25">
      <c r="B32" s="5"/>
      <c r="E32" s="455"/>
      <c r="N32" s="53"/>
      <c r="O32" s="53"/>
      <c r="P32" s="53"/>
      <c r="R32" s="8"/>
    </row>
    <row r="33" spans="2:18" x14ac:dyDescent="0.25">
      <c r="B33" s="5"/>
      <c r="C33" s="16" t="s">
        <v>25</v>
      </c>
      <c r="D33" s="419"/>
      <c r="E33" s="428">
        <v>1</v>
      </c>
      <c r="G33" s="426">
        <v>4</v>
      </c>
      <c r="J33" s="631" t="s">
        <v>18</v>
      </c>
      <c r="K33" s="632"/>
      <c r="L33" s="633"/>
      <c r="M33" s="14"/>
      <c r="N33" s="451" t="s">
        <v>820</v>
      </c>
      <c r="O33" s="53"/>
      <c r="P33" s="426">
        <v>13</v>
      </c>
      <c r="R33" s="8"/>
    </row>
    <row r="34" spans="2:18" x14ac:dyDescent="0.25">
      <c r="B34" s="5"/>
      <c r="E34" s="53"/>
      <c r="N34" s="53"/>
      <c r="O34" s="53"/>
      <c r="P34" s="53"/>
      <c r="R34" s="8"/>
    </row>
    <row r="35" spans="2:18" ht="16.5" customHeight="1" x14ac:dyDescent="0.25">
      <c r="B35" s="5"/>
      <c r="C35" s="9" t="s">
        <v>17</v>
      </c>
      <c r="D35" s="25"/>
      <c r="E35" s="550">
        <v>3.5</v>
      </c>
      <c r="G35" s="426">
        <v>5</v>
      </c>
      <c r="J35" s="637" t="s">
        <v>20</v>
      </c>
      <c r="K35" s="638"/>
      <c r="L35" s="639"/>
      <c r="M35" s="14"/>
      <c r="N35" s="640" t="s">
        <v>21</v>
      </c>
      <c r="O35" s="641"/>
      <c r="P35" s="642"/>
      <c r="R35" s="427">
        <v>14</v>
      </c>
    </row>
    <row r="36" spans="2:18" x14ac:dyDescent="0.25">
      <c r="B36" s="5"/>
      <c r="E36" s="455"/>
      <c r="N36" s="53"/>
      <c r="O36" s="53"/>
      <c r="P36" s="53"/>
      <c r="R36" s="8"/>
    </row>
    <row r="37" spans="2:18" x14ac:dyDescent="0.25">
      <c r="B37" s="5"/>
      <c r="C37" s="16" t="s">
        <v>27</v>
      </c>
      <c r="D37" s="419"/>
      <c r="E37" s="451"/>
      <c r="G37" s="426">
        <v>6</v>
      </c>
      <c r="J37" s="631" t="s">
        <v>23</v>
      </c>
      <c r="K37" s="632"/>
      <c r="L37" s="633"/>
      <c r="M37" s="14"/>
      <c r="N37" s="559">
        <v>81</v>
      </c>
      <c r="O37" s="53"/>
      <c r="P37" s="426">
        <v>15</v>
      </c>
      <c r="R37" s="8"/>
    </row>
    <row r="38" spans="2:18" x14ac:dyDescent="0.25">
      <c r="B38" s="5"/>
      <c r="E38" s="53"/>
      <c r="N38" s="53"/>
      <c r="O38" s="53"/>
      <c r="P38" s="53"/>
      <c r="R38" s="8"/>
    </row>
    <row r="39" spans="2:18" x14ac:dyDescent="0.25">
      <c r="B39" s="5"/>
      <c r="C39" s="9" t="s">
        <v>19</v>
      </c>
      <c r="D39" s="25"/>
      <c r="E39" s="550">
        <v>0.6</v>
      </c>
      <c r="G39" s="426">
        <v>7</v>
      </c>
      <c r="J39" s="631" t="s">
        <v>24</v>
      </c>
      <c r="K39" s="632"/>
      <c r="L39" s="633"/>
      <c r="M39" s="14"/>
      <c r="N39" s="428">
        <v>2025</v>
      </c>
      <c r="O39" s="53"/>
      <c r="P39" s="426">
        <v>16</v>
      </c>
      <c r="R39" s="8"/>
    </row>
    <row r="40" spans="2:18" x14ac:dyDescent="0.25">
      <c r="B40" s="5"/>
      <c r="E40" s="455"/>
      <c r="N40" s="53"/>
      <c r="O40" s="53"/>
      <c r="P40" s="53"/>
      <c r="R40" s="8"/>
    </row>
    <row r="41" spans="2:18" ht="16.5" customHeight="1" x14ac:dyDescent="0.25">
      <c r="B41" s="5"/>
      <c r="C41" s="9" t="s">
        <v>22</v>
      </c>
      <c r="D41" s="25"/>
      <c r="E41" s="454"/>
      <c r="G41" s="426">
        <v>8</v>
      </c>
      <c r="J41" s="644" t="s">
        <v>26</v>
      </c>
      <c r="K41" s="645"/>
      <c r="L41" s="646"/>
      <c r="M41" s="14"/>
      <c r="N41" s="560">
        <v>0.09</v>
      </c>
      <c r="O41" s="53"/>
      <c r="P41" s="426">
        <v>17</v>
      </c>
      <c r="R41" s="8"/>
    </row>
    <row r="42" spans="2:18" x14ac:dyDescent="0.25">
      <c r="B42" s="5"/>
      <c r="E42" s="455"/>
      <c r="N42" s="53"/>
      <c r="O42" s="53"/>
      <c r="P42" s="53"/>
      <c r="R42" s="8"/>
    </row>
    <row r="43" spans="2:18" x14ac:dyDescent="0.25">
      <c r="B43" s="5"/>
      <c r="C43" s="9" t="s">
        <v>601</v>
      </c>
      <c r="D43" s="25"/>
      <c r="E43" s="454">
        <v>5.63</v>
      </c>
      <c r="G43" s="426">
        <v>9</v>
      </c>
      <c r="J43" s="647" t="s">
        <v>30</v>
      </c>
      <c r="K43" s="648"/>
      <c r="L43" s="649"/>
      <c r="N43" s="428" t="s">
        <v>36</v>
      </c>
      <c r="O43" s="53"/>
      <c r="P43" s="426">
        <v>18</v>
      </c>
      <c r="R43" s="8"/>
    </row>
    <row r="44" spans="2:18" x14ac:dyDescent="0.25">
      <c r="B44" s="5"/>
      <c r="E44" s="53"/>
      <c r="N44" s="53"/>
      <c r="O44" s="53"/>
      <c r="P44" s="53"/>
      <c r="R44" s="8"/>
    </row>
    <row r="45" spans="2:18" x14ac:dyDescent="0.25">
      <c r="B45" s="5"/>
      <c r="J45" s="647" t="s">
        <v>28</v>
      </c>
      <c r="K45" s="648"/>
      <c r="L45" s="649"/>
      <c r="M45" s="14"/>
      <c r="N45" s="428" t="s">
        <v>41</v>
      </c>
      <c r="O45" s="53"/>
      <c r="P45" s="426">
        <v>19</v>
      </c>
      <c r="R45" s="8"/>
    </row>
    <row r="46" spans="2:18" x14ac:dyDescent="0.25">
      <c r="B46" s="10"/>
      <c r="C46" s="17"/>
      <c r="D46" s="17"/>
      <c r="E46" s="11"/>
      <c r="F46" s="11"/>
      <c r="G46" s="11"/>
      <c r="H46" s="11"/>
      <c r="I46" s="11"/>
      <c r="J46" s="11"/>
      <c r="K46" s="11"/>
      <c r="L46" s="11"/>
      <c r="M46" s="11"/>
      <c r="N46" s="11"/>
      <c r="O46" s="11"/>
      <c r="P46" s="11"/>
      <c r="Q46" s="11"/>
      <c r="R46" s="12"/>
    </row>
    <row r="47" spans="2:18" x14ac:dyDescent="0.25">
      <c r="C47" s="1" t="s">
        <v>937</v>
      </c>
    </row>
    <row r="48" spans="2:18" hidden="1" outlineLevel="1" x14ac:dyDescent="0.25">
      <c r="C48" s="18" t="s">
        <v>32</v>
      </c>
      <c r="D48" s="47"/>
      <c r="E48" s="19"/>
      <c r="G48" s="634" t="s">
        <v>33</v>
      </c>
      <c r="H48" s="636"/>
      <c r="J48" s="634" t="s">
        <v>34</v>
      </c>
      <c r="K48" s="635"/>
      <c r="L48" s="636"/>
      <c r="N48" s="634" t="s">
        <v>35</v>
      </c>
      <c r="O48" s="635"/>
      <c r="P48" s="636"/>
      <c r="Q48" s="39"/>
    </row>
    <row r="49" spans="2:20" hidden="1" outlineLevel="1" x14ac:dyDescent="0.25">
      <c r="C49" s="20" t="s">
        <v>10</v>
      </c>
      <c r="D49" s="20"/>
      <c r="E49" s="20"/>
      <c r="F49" s="20"/>
      <c r="G49" s="20" t="s">
        <v>36</v>
      </c>
      <c r="H49" s="20"/>
      <c r="I49" s="20"/>
      <c r="J49" s="21" t="s">
        <v>37</v>
      </c>
      <c r="K49" s="21"/>
      <c r="L49" s="21"/>
      <c r="M49" s="20"/>
      <c r="N49" s="21" t="s">
        <v>38</v>
      </c>
      <c r="O49" s="21"/>
      <c r="P49" s="21"/>
      <c r="Q49" s="20"/>
    </row>
    <row r="50" spans="2:20" hidden="1" outlineLevel="1" x14ac:dyDescent="0.25">
      <c r="C50" s="20" t="s">
        <v>39</v>
      </c>
      <c r="D50" s="20"/>
      <c r="E50" s="20"/>
      <c r="F50" s="20"/>
      <c r="G50" s="20" t="s">
        <v>31</v>
      </c>
      <c r="H50" s="20"/>
      <c r="I50" s="20"/>
      <c r="J50" s="20" t="s">
        <v>40</v>
      </c>
      <c r="K50" s="20"/>
      <c r="L50" s="20"/>
      <c r="M50" s="20"/>
      <c r="N50" s="20" t="s">
        <v>41</v>
      </c>
      <c r="O50" s="20"/>
      <c r="P50" s="20"/>
      <c r="Q50" s="20"/>
      <c r="R50" s="634" t="s">
        <v>548</v>
      </c>
      <c r="S50" s="635"/>
      <c r="T50" s="636"/>
    </row>
    <row r="51" spans="2:20" hidden="1" outlineLevel="1" x14ac:dyDescent="0.25">
      <c r="C51" s="20" t="s">
        <v>42</v>
      </c>
      <c r="D51" s="20"/>
      <c r="E51" s="20"/>
      <c r="F51" s="22"/>
      <c r="G51" s="20" t="s">
        <v>43</v>
      </c>
      <c r="H51" s="20"/>
      <c r="I51" s="22"/>
      <c r="J51" s="20" t="s">
        <v>44</v>
      </c>
      <c r="K51" s="20"/>
      <c r="L51" s="20"/>
      <c r="M51" s="22"/>
      <c r="N51" s="20" t="s">
        <v>29</v>
      </c>
      <c r="O51" s="20"/>
      <c r="P51" s="20"/>
      <c r="Q51" s="20"/>
      <c r="R51" s="52" t="s">
        <v>549</v>
      </c>
      <c r="S51" s="52"/>
      <c r="T51" s="52"/>
    </row>
    <row r="52" spans="2:20" ht="31.5" hidden="1" customHeight="1" outlineLevel="1" x14ac:dyDescent="0.25">
      <c r="C52" s="20" t="s">
        <v>45</v>
      </c>
      <c r="D52" s="20"/>
      <c r="E52" s="20"/>
      <c r="F52" s="22"/>
      <c r="G52" s="20"/>
      <c r="H52" s="20"/>
      <c r="I52" s="22"/>
      <c r="J52" s="23" t="s">
        <v>21</v>
      </c>
      <c r="K52" s="23"/>
      <c r="L52" s="23"/>
      <c r="M52" s="24"/>
      <c r="N52" s="20"/>
      <c r="O52" s="20"/>
      <c r="P52" s="20"/>
      <c r="Q52" s="20"/>
      <c r="R52" s="52" t="s">
        <v>550</v>
      </c>
      <c r="S52" s="52"/>
      <c r="T52" s="52"/>
    </row>
    <row r="53" spans="2:20" hidden="1" outlineLevel="1" x14ac:dyDescent="0.25">
      <c r="C53" s="20" t="s">
        <v>46</v>
      </c>
      <c r="D53" s="20"/>
      <c r="E53" s="20"/>
      <c r="F53" s="22"/>
      <c r="G53" s="20"/>
      <c r="H53" s="20"/>
      <c r="I53" s="22"/>
      <c r="J53" s="20" t="s">
        <v>47</v>
      </c>
      <c r="K53" s="20"/>
      <c r="L53" s="20"/>
      <c r="M53" s="22"/>
      <c r="R53" s="52" t="s">
        <v>551</v>
      </c>
      <c r="S53" s="52"/>
      <c r="T53" s="52"/>
    </row>
    <row r="54" spans="2:20" hidden="1" outlineLevel="1" x14ac:dyDescent="0.25">
      <c r="C54" s="20" t="s">
        <v>48</v>
      </c>
      <c r="D54" s="20"/>
      <c r="E54" s="20"/>
      <c r="F54" s="22"/>
      <c r="G54" s="20"/>
      <c r="H54" s="20"/>
      <c r="I54" s="22"/>
      <c r="J54" s="643"/>
      <c r="K54" s="643"/>
      <c r="L54" s="643"/>
      <c r="M54" s="22"/>
    </row>
    <row r="55" spans="2:20" ht="36" hidden="1" customHeight="1" outlineLevel="1" x14ac:dyDescent="0.25">
      <c r="C55" s="23" t="s">
        <v>599</v>
      </c>
      <c r="D55" s="23"/>
      <c r="E55" s="23"/>
      <c r="F55" s="24"/>
      <c r="G55" s="643"/>
      <c r="H55" s="643"/>
      <c r="I55" s="22"/>
      <c r="J55" s="643"/>
      <c r="K55" s="643"/>
      <c r="L55" s="643"/>
      <c r="M55" s="22"/>
    </row>
    <row r="56" spans="2:20" ht="34.5" hidden="1" customHeight="1" outlineLevel="1" x14ac:dyDescent="0.25">
      <c r="C56" s="23" t="s">
        <v>600</v>
      </c>
      <c r="D56" s="23"/>
      <c r="E56" s="23"/>
      <c r="F56" s="24"/>
      <c r="G56" s="643"/>
      <c r="H56" s="643"/>
      <c r="I56" s="22"/>
      <c r="J56" s="643"/>
      <c r="K56" s="643"/>
      <c r="L56" s="643"/>
      <c r="M56" s="22"/>
    </row>
    <row r="57" spans="2:20" hidden="1" outlineLevel="1" x14ac:dyDescent="0.25">
      <c r="C57" s="656"/>
      <c r="D57" s="656"/>
      <c r="E57" s="656"/>
      <c r="F57" s="3"/>
    </row>
    <row r="58" spans="2:20" ht="16.5" customHeight="1" collapsed="1" thickBot="1" x14ac:dyDescent="0.3"/>
    <row r="59" spans="2:20" ht="14.4" thickTop="1" x14ac:dyDescent="0.25">
      <c r="C59" s="657" t="s">
        <v>280</v>
      </c>
      <c r="D59" s="658"/>
      <c r="E59" s="659"/>
      <c r="F59" s="659"/>
      <c r="G59" s="660"/>
    </row>
    <row r="60" spans="2:20" ht="14.4" thickBot="1" x14ac:dyDescent="0.3">
      <c r="B60" s="13"/>
      <c r="C60" s="661"/>
      <c r="D60" s="662"/>
      <c r="E60" s="662"/>
      <c r="F60" s="662"/>
      <c r="G60" s="663"/>
      <c r="H60" s="6"/>
      <c r="I60" s="6"/>
      <c r="J60" s="6"/>
      <c r="K60" s="6"/>
      <c r="L60" s="6"/>
      <c r="M60" s="6"/>
      <c r="N60" s="6"/>
      <c r="O60" s="6"/>
      <c r="P60" s="6"/>
      <c r="Q60" s="6"/>
      <c r="R60" s="7"/>
    </row>
    <row r="61" spans="2:20" ht="14.4" thickTop="1" x14ac:dyDescent="0.25">
      <c r="B61" s="5"/>
      <c r="E61" s="53"/>
      <c r="R61" s="8"/>
    </row>
    <row r="62" spans="2:20" ht="14.4" x14ac:dyDescent="0.3">
      <c r="B62" s="5"/>
      <c r="C62" s="9" t="s">
        <v>49</v>
      </c>
      <c r="D62" s="25"/>
      <c r="E62" s="428">
        <v>1</v>
      </c>
      <c r="G62" s="426">
        <v>1</v>
      </c>
      <c r="H62" s="9" t="s">
        <v>50</v>
      </c>
      <c r="J62" s="550">
        <f>+E66</f>
        <v>31.2</v>
      </c>
      <c r="L62" s="426">
        <v>4</v>
      </c>
      <c r="N62"/>
      <c r="O62"/>
      <c r="P62"/>
      <c r="Q62"/>
      <c r="R62" s="8"/>
    </row>
    <row r="63" spans="2:20" ht="14.4" x14ac:dyDescent="0.3">
      <c r="B63" s="5"/>
      <c r="E63" s="53"/>
      <c r="H63" s="3"/>
      <c r="J63" s="15"/>
      <c r="N63"/>
      <c r="O63"/>
      <c r="P63"/>
      <c r="Q63"/>
      <c r="R63" s="8"/>
    </row>
    <row r="64" spans="2:20" ht="14.4" x14ac:dyDescent="0.3">
      <c r="B64" s="5"/>
      <c r="C64" s="307" t="s">
        <v>52</v>
      </c>
      <c r="D64" s="25"/>
      <c r="E64" s="428" t="s">
        <v>81</v>
      </c>
      <c r="G64" s="426">
        <v>2</v>
      </c>
      <c r="H64" s="9" t="s">
        <v>54</v>
      </c>
      <c r="J64" s="445" t="s">
        <v>844</v>
      </c>
      <c r="L64" s="426">
        <v>5</v>
      </c>
      <c r="N64"/>
      <c r="O64"/>
      <c r="P64"/>
      <c r="Q64"/>
      <c r="R64" s="8"/>
    </row>
    <row r="65" spans="2:21" ht="14.4" x14ac:dyDescent="0.3">
      <c r="B65" s="5"/>
      <c r="E65" s="53"/>
      <c r="H65" s="3"/>
      <c r="J65" s="15"/>
      <c r="N65"/>
      <c r="O65"/>
      <c r="P65"/>
      <c r="Q65"/>
      <c r="R65" s="8"/>
    </row>
    <row r="66" spans="2:21" ht="14.4" x14ac:dyDescent="0.3">
      <c r="B66" s="5"/>
      <c r="C66" s="9" t="s">
        <v>14</v>
      </c>
      <c r="D66" s="25"/>
      <c r="E66" s="550">
        <f>+E31</f>
        <v>31.2</v>
      </c>
      <c r="G66" s="431" t="s">
        <v>602</v>
      </c>
      <c r="H66" s="9" t="s">
        <v>55</v>
      </c>
      <c r="J66" s="445" t="s">
        <v>844</v>
      </c>
      <c r="L66" s="426">
        <v>6</v>
      </c>
      <c r="N66"/>
      <c r="O66"/>
      <c r="P66"/>
      <c r="Q66"/>
      <c r="R66" s="8"/>
    </row>
    <row r="67" spans="2:21" x14ac:dyDescent="0.25">
      <c r="B67" s="5"/>
      <c r="E67" s="455"/>
      <c r="R67" s="8"/>
    </row>
    <row r="68" spans="2:21" x14ac:dyDescent="0.25">
      <c r="B68" s="5"/>
      <c r="C68" s="9" t="s">
        <v>51</v>
      </c>
      <c r="D68" s="25"/>
      <c r="E68" s="550">
        <v>30.45</v>
      </c>
      <c r="F68" s="15"/>
      <c r="G68" s="432">
        <v>3</v>
      </c>
      <c r="R68" s="8"/>
    </row>
    <row r="69" spans="2:21" x14ac:dyDescent="0.25">
      <c r="B69" s="10"/>
      <c r="C69" s="11"/>
      <c r="D69" s="11"/>
      <c r="E69" s="452"/>
      <c r="F69" s="11"/>
      <c r="G69" s="11"/>
      <c r="H69" s="11"/>
      <c r="I69" s="11"/>
      <c r="J69" s="11"/>
      <c r="K69" s="11"/>
      <c r="L69" s="11"/>
      <c r="M69" s="11"/>
      <c r="N69" s="11"/>
      <c r="O69" s="11"/>
      <c r="P69" s="11"/>
      <c r="Q69" s="11"/>
      <c r="R69" s="12"/>
    </row>
    <row r="72" spans="2:21" ht="12.75" customHeight="1" x14ac:dyDescent="0.25">
      <c r="C72" s="650" t="s">
        <v>579</v>
      </c>
      <c r="D72" s="651"/>
      <c r="E72" s="651"/>
      <c r="F72" s="651"/>
      <c r="G72" s="652"/>
      <c r="H72" s="11"/>
      <c r="I72" s="11"/>
      <c r="J72" s="379" t="s">
        <v>284</v>
      </c>
      <c r="K72" s="380"/>
      <c r="L72" s="380"/>
      <c r="M72" s="380"/>
      <c r="N72" s="381"/>
      <c r="O72" s="425"/>
      <c r="P72" s="26"/>
    </row>
    <row r="73" spans="2:21" ht="9" customHeight="1" x14ac:dyDescent="0.25">
      <c r="B73" s="13"/>
      <c r="C73" s="653"/>
      <c r="D73" s="654"/>
      <c r="E73" s="654"/>
      <c r="F73" s="654"/>
      <c r="G73" s="655"/>
      <c r="H73" s="6"/>
      <c r="J73" s="382"/>
      <c r="K73" s="383"/>
      <c r="L73" s="383"/>
      <c r="M73" s="383"/>
      <c r="N73" s="384"/>
      <c r="O73" s="425"/>
      <c r="P73" s="32"/>
      <c r="Q73" s="6"/>
      <c r="R73" s="7"/>
    </row>
    <row r="74" spans="2:21" x14ac:dyDescent="0.25">
      <c r="B74" s="5"/>
      <c r="C74" s="1" t="s">
        <v>604</v>
      </c>
      <c r="J74" s="1" t="s">
        <v>609</v>
      </c>
      <c r="L74" s="1" t="str">
        <f>+IF(E64="Desiguales","","(igual a Sección 1)")</f>
        <v>(igual a Sección 1)</v>
      </c>
      <c r="R74" s="8"/>
      <c r="U74" s="35" t="s">
        <v>56</v>
      </c>
    </row>
    <row r="75" spans="2:21" x14ac:dyDescent="0.25">
      <c r="B75" s="5"/>
      <c r="C75" s="1" t="s">
        <v>603</v>
      </c>
      <c r="E75" s="53"/>
      <c r="F75" s="53"/>
      <c r="G75" s="53"/>
      <c r="N75" s="53"/>
      <c r="O75" s="53"/>
      <c r="P75" s="53"/>
      <c r="R75" s="8"/>
      <c r="U75" s="334" t="s">
        <v>563</v>
      </c>
    </row>
    <row r="76" spans="2:21" x14ac:dyDescent="0.25">
      <c r="B76" s="5"/>
      <c r="C76" s="307" t="s">
        <v>272</v>
      </c>
      <c r="D76" s="25"/>
      <c r="E76" s="428" t="s">
        <v>56</v>
      </c>
      <c r="F76" s="457"/>
      <c r="G76" s="426">
        <v>1</v>
      </c>
      <c r="J76" s="385" t="s">
        <v>272</v>
      </c>
      <c r="K76" s="386"/>
      <c r="L76" s="387"/>
      <c r="M76" s="14"/>
      <c r="N76" s="428"/>
      <c r="O76" s="457"/>
      <c r="P76" s="426">
        <v>1</v>
      </c>
      <c r="R76" s="427"/>
      <c r="U76" s="334" t="s">
        <v>564</v>
      </c>
    </row>
    <row r="77" spans="2:21" x14ac:dyDescent="0.25">
      <c r="B77" s="5"/>
      <c r="E77" s="53"/>
      <c r="F77" s="53"/>
      <c r="G77" s="53"/>
      <c r="N77" s="53"/>
      <c r="O77" s="53"/>
      <c r="P77" s="53"/>
      <c r="R77" s="8"/>
      <c r="U77" s="334" t="s">
        <v>565</v>
      </c>
    </row>
    <row r="78" spans="2:21" x14ac:dyDescent="0.25">
      <c r="B78" s="5"/>
      <c r="C78" s="307" t="s">
        <v>273</v>
      </c>
      <c r="D78" s="25"/>
      <c r="E78" s="451" t="s">
        <v>564</v>
      </c>
      <c r="F78" s="53"/>
      <c r="G78" s="426">
        <v>2</v>
      </c>
      <c r="J78" s="385" t="s">
        <v>274</v>
      </c>
      <c r="K78" s="386"/>
      <c r="L78" s="387"/>
      <c r="M78" s="14"/>
      <c r="N78" s="451"/>
      <c r="O78" s="53"/>
      <c r="P78" s="426">
        <v>2</v>
      </c>
      <c r="R78" s="427"/>
      <c r="U78" s="335" t="s">
        <v>566</v>
      </c>
    </row>
    <row r="79" spans="2:21" x14ac:dyDescent="0.25">
      <c r="B79" s="5"/>
      <c r="E79" s="53"/>
      <c r="F79" s="53"/>
      <c r="G79" s="53"/>
      <c r="N79" s="53"/>
      <c r="O79" s="53"/>
      <c r="P79" s="53"/>
      <c r="R79" s="8"/>
      <c r="U79" s="334" t="s">
        <v>567</v>
      </c>
    </row>
    <row r="80" spans="2:21" x14ac:dyDescent="0.25">
      <c r="B80" s="5"/>
      <c r="C80" s="336" t="str">
        <f>+IF(E76="ALCANTARILLA","Ojos/Vanos:","Caract. Secundaria:")</f>
        <v>Caract. Secundaria:</v>
      </c>
      <c r="D80" s="25"/>
      <c r="E80" s="664"/>
      <c r="F80" s="665"/>
      <c r="G80" s="666"/>
      <c r="H80" s="426">
        <v>3</v>
      </c>
      <c r="J80" s="388" t="s">
        <v>613</v>
      </c>
      <c r="K80" s="389"/>
      <c r="L80" s="390"/>
      <c r="M80" s="14"/>
      <c r="N80" s="664"/>
      <c r="O80" s="665"/>
      <c r="P80" s="666"/>
      <c r="Q80" s="426"/>
      <c r="R80" s="427">
        <v>3</v>
      </c>
      <c r="U80" s="334" t="s">
        <v>568</v>
      </c>
    </row>
    <row r="81" spans="2:21" ht="14.4" x14ac:dyDescent="0.25">
      <c r="B81" s="5"/>
      <c r="C81" s="1" t="s">
        <v>605</v>
      </c>
      <c r="E81" s="53"/>
      <c r="F81" s="53"/>
      <c r="G81" s="53"/>
      <c r="H81" s="337"/>
      <c r="I81" s="337"/>
      <c r="N81" s="53"/>
      <c r="O81" s="53"/>
      <c r="P81" s="53"/>
      <c r="R81" s="8"/>
      <c r="U81" s="334" t="s">
        <v>569</v>
      </c>
    </row>
    <row r="82" spans="2:21" ht="14.4" x14ac:dyDescent="0.25">
      <c r="B82" s="5"/>
      <c r="C82" s="307" t="s">
        <v>58</v>
      </c>
      <c r="D82" s="25"/>
      <c r="E82" s="428" t="s">
        <v>112</v>
      </c>
      <c r="F82" s="53"/>
      <c r="G82" s="426">
        <v>4</v>
      </c>
      <c r="H82" s="433"/>
      <c r="I82" s="434"/>
      <c r="J82" s="385" t="s">
        <v>58</v>
      </c>
      <c r="K82" s="386"/>
      <c r="L82" s="387"/>
      <c r="M82" s="14"/>
      <c r="N82" s="428"/>
      <c r="O82" s="53"/>
      <c r="P82" s="426">
        <v>4</v>
      </c>
      <c r="R82" s="8"/>
      <c r="U82" s="35" t="s">
        <v>562</v>
      </c>
    </row>
    <row r="83" spans="2:21" ht="14.4" x14ac:dyDescent="0.25">
      <c r="B83" s="5"/>
      <c r="C83" s="1" t="s">
        <v>606</v>
      </c>
      <c r="E83" s="53"/>
      <c r="F83" s="53"/>
      <c r="G83" s="53"/>
      <c r="H83" s="434"/>
      <c r="I83" s="434"/>
      <c r="N83" s="53"/>
      <c r="O83" s="53"/>
      <c r="P83" s="53"/>
      <c r="R83" s="8"/>
      <c r="U83" s="334" t="s">
        <v>570</v>
      </c>
    </row>
    <row r="84" spans="2:21" ht="14.4" x14ac:dyDescent="0.3">
      <c r="B84" s="5"/>
      <c r="C84" s="307" t="s">
        <v>60</v>
      </c>
      <c r="D84" s="25"/>
      <c r="E84" s="456" t="s">
        <v>102</v>
      </c>
      <c r="F84" s="53"/>
      <c r="G84" s="426">
        <v>5</v>
      </c>
      <c r="H84" s="434"/>
      <c r="I84" s="434"/>
      <c r="J84" s="385" t="s">
        <v>60</v>
      </c>
      <c r="K84" s="386"/>
      <c r="L84" s="387"/>
      <c r="M84" s="14"/>
      <c r="N84" s="456"/>
      <c r="O84" s="53"/>
      <c r="P84" s="426">
        <v>5</v>
      </c>
      <c r="R84" s="8"/>
      <c r="U84" s="334" t="s">
        <v>571</v>
      </c>
    </row>
    <row r="85" spans="2:21" ht="14.4" x14ac:dyDescent="0.25">
      <c r="B85" s="5"/>
      <c r="E85" s="53"/>
      <c r="F85" s="53"/>
      <c r="G85" s="53"/>
      <c r="H85" s="434"/>
      <c r="I85" s="434"/>
      <c r="N85" s="53"/>
      <c r="O85" s="53"/>
      <c r="P85" s="53"/>
      <c r="R85" s="8"/>
      <c r="U85" s="334" t="s">
        <v>572</v>
      </c>
    </row>
    <row r="86" spans="2:21" ht="14.4" x14ac:dyDescent="0.25">
      <c r="B86" s="5"/>
      <c r="C86" s="1" t="s">
        <v>607</v>
      </c>
      <c r="E86" s="53"/>
      <c r="F86" s="53"/>
      <c r="G86" s="53"/>
      <c r="H86" s="434"/>
      <c r="I86" s="434"/>
      <c r="J86" s="14"/>
      <c r="K86" s="14"/>
      <c r="L86" s="14"/>
      <c r="M86" s="14"/>
      <c r="N86" s="15"/>
      <c r="O86" s="15"/>
      <c r="R86" s="8"/>
      <c r="U86" s="35" t="s">
        <v>82</v>
      </c>
    </row>
    <row r="87" spans="2:21" ht="14.4" x14ac:dyDescent="0.25">
      <c r="B87" s="5"/>
      <c r="C87" s="25"/>
      <c r="D87" s="25"/>
      <c r="E87" s="455"/>
      <c r="F87" s="53"/>
      <c r="G87" s="53"/>
      <c r="H87" s="337"/>
      <c r="I87" s="337"/>
      <c r="J87" s="337"/>
      <c r="L87" s="14"/>
      <c r="M87" s="14"/>
      <c r="N87" s="14"/>
      <c r="O87" s="14"/>
      <c r="P87" s="15"/>
      <c r="Q87" s="15"/>
      <c r="R87" s="8"/>
      <c r="U87" s="334" t="s">
        <v>573</v>
      </c>
    </row>
    <row r="88" spans="2:21" x14ac:dyDescent="0.25">
      <c r="B88" s="10"/>
      <c r="C88" s="11"/>
      <c r="D88" s="11"/>
      <c r="E88" s="11"/>
      <c r="F88" s="11"/>
      <c r="G88" s="11"/>
      <c r="H88" s="11"/>
      <c r="I88" s="11"/>
      <c r="J88" s="11"/>
      <c r="K88" s="11"/>
      <c r="L88" s="11"/>
      <c r="M88" s="11"/>
      <c r="N88" s="11"/>
      <c r="O88" s="11"/>
      <c r="P88" s="11"/>
      <c r="Q88" s="11"/>
      <c r="R88" s="12"/>
      <c r="U88" s="334" t="s">
        <v>574</v>
      </c>
    </row>
    <row r="89" spans="2:21" x14ac:dyDescent="0.25">
      <c r="U89" s="334" t="s">
        <v>566</v>
      </c>
    </row>
    <row r="90" spans="2:21" x14ac:dyDescent="0.25">
      <c r="U90" s="335" t="s">
        <v>565</v>
      </c>
    </row>
    <row r="91" spans="2:21" ht="12.75" customHeight="1" x14ac:dyDescent="0.25">
      <c r="C91" s="650" t="s">
        <v>608</v>
      </c>
      <c r="D91" s="651"/>
      <c r="E91" s="651"/>
      <c r="F91" s="651"/>
      <c r="G91" s="652"/>
      <c r="H91" s="26"/>
      <c r="K91" s="11"/>
      <c r="L91" s="11"/>
      <c r="M91" s="11"/>
      <c r="N91" s="11"/>
      <c r="O91" s="11"/>
      <c r="P91" s="11"/>
      <c r="Q91" s="11"/>
      <c r="R91" s="11"/>
      <c r="U91" s="334" t="s">
        <v>572</v>
      </c>
    </row>
    <row r="92" spans="2:21" ht="13.5" customHeight="1" x14ac:dyDescent="0.25">
      <c r="B92" s="13"/>
      <c r="C92" s="653"/>
      <c r="D92" s="654"/>
      <c r="E92" s="654"/>
      <c r="F92" s="654"/>
      <c r="G92" s="655"/>
      <c r="H92" s="27"/>
      <c r="I92" s="6"/>
      <c r="J92" s="6"/>
      <c r="R92" s="8"/>
      <c r="U92" s="35" t="s">
        <v>83</v>
      </c>
    </row>
    <row r="93" spans="2:21" x14ac:dyDescent="0.25">
      <c r="B93" s="5"/>
      <c r="C93" s="1" t="s">
        <v>610</v>
      </c>
      <c r="R93" s="8"/>
      <c r="U93" s="334" t="s">
        <v>575</v>
      </c>
    </row>
    <row r="94" spans="2:21" x14ac:dyDescent="0.25">
      <c r="B94" s="5"/>
      <c r="R94" s="8"/>
      <c r="U94" s="334" t="s">
        <v>576</v>
      </c>
    </row>
    <row r="95" spans="2:21" x14ac:dyDescent="0.25">
      <c r="B95" s="5"/>
      <c r="C95" s="1" t="s">
        <v>603</v>
      </c>
      <c r="H95" s="1" t="s">
        <v>605</v>
      </c>
      <c r="R95" s="8"/>
      <c r="U95" s="334" t="s">
        <v>577</v>
      </c>
    </row>
    <row r="96" spans="2:21" x14ac:dyDescent="0.25">
      <c r="B96" s="5"/>
      <c r="C96" s="56" t="s">
        <v>636</v>
      </c>
      <c r="D96" s="420"/>
      <c r="H96" s="56" t="s">
        <v>637</v>
      </c>
      <c r="R96" s="8"/>
      <c r="U96" s="334" t="s">
        <v>578</v>
      </c>
    </row>
    <row r="97" spans="2:22" x14ac:dyDescent="0.25">
      <c r="B97" s="5"/>
      <c r="E97" s="544"/>
      <c r="J97" s="418"/>
      <c r="R97" s="8"/>
      <c r="U97" s="334" t="s">
        <v>572</v>
      </c>
    </row>
    <row r="98" spans="2:22" x14ac:dyDescent="0.25">
      <c r="B98" s="5"/>
      <c r="C98" s="307" t="s">
        <v>64</v>
      </c>
      <c r="D98" s="25"/>
      <c r="E98" s="551" t="s">
        <v>65</v>
      </c>
      <c r="G98" s="426">
        <v>1</v>
      </c>
      <c r="H98" s="307" t="s">
        <v>63</v>
      </c>
      <c r="I98" s="25"/>
      <c r="J98" s="552" t="s">
        <v>121</v>
      </c>
      <c r="L98" s="426">
        <v>5</v>
      </c>
      <c r="R98" s="8"/>
    </row>
    <row r="99" spans="2:22" x14ac:dyDescent="0.25">
      <c r="B99" s="5"/>
      <c r="E99" s="544"/>
      <c r="J99" s="418"/>
      <c r="R99" s="8"/>
    </row>
    <row r="100" spans="2:22" x14ac:dyDescent="0.25">
      <c r="B100" s="5"/>
      <c r="C100" s="9" t="s">
        <v>67</v>
      </c>
      <c r="D100" s="25"/>
      <c r="E100" s="550">
        <v>0.2</v>
      </c>
      <c r="G100" s="426">
        <v>2</v>
      </c>
      <c r="H100" s="9" t="s">
        <v>66</v>
      </c>
      <c r="I100" s="25"/>
      <c r="J100" s="553">
        <v>2</v>
      </c>
      <c r="L100" s="426">
        <v>6</v>
      </c>
      <c r="R100" s="8"/>
      <c r="U100" s="1" t="s">
        <v>494</v>
      </c>
    </row>
    <row r="101" spans="2:22" x14ac:dyDescent="0.25">
      <c r="B101" s="5"/>
      <c r="E101" s="544"/>
      <c r="J101" s="418"/>
      <c r="R101" s="8"/>
      <c r="U101" s="20" t="s">
        <v>277</v>
      </c>
      <c r="V101" s="1" t="s">
        <v>275</v>
      </c>
    </row>
    <row r="102" spans="2:22" ht="18.75" customHeight="1" x14ac:dyDescent="0.25">
      <c r="B102" s="5"/>
      <c r="C102" s="308" t="s">
        <v>69</v>
      </c>
      <c r="D102" s="29"/>
      <c r="E102" s="549" t="s">
        <v>108</v>
      </c>
      <c r="G102" s="426">
        <v>3</v>
      </c>
      <c r="H102" s="308" t="s">
        <v>68</v>
      </c>
      <c r="I102" s="29"/>
      <c r="J102" s="551" t="s">
        <v>65</v>
      </c>
      <c r="L102" s="426">
        <v>7</v>
      </c>
      <c r="Q102" s="29"/>
      <c r="R102" s="31"/>
      <c r="V102" s="1" t="s">
        <v>276</v>
      </c>
    </row>
    <row r="103" spans="2:22" x14ac:dyDescent="0.25">
      <c r="B103" s="5"/>
      <c r="E103" s="544"/>
      <c r="J103" s="418"/>
      <c r="R103" s="31"/>
    </row>
    <row r="104" spans="2:22" ht="19.5" customHeight="1" x14ac:dyDescent="0.25">
      <c r="B104" s="5"/>
      <c r="C104" s="33" t="s">
        <v>553</v>
      </c>
      <c r="E104" s="550">
        <v>0</v>
      </c>
      <c r="G104" s="426">
        <v>4</v>
      </c>
      <c r="H104" s="308" t="s">
        <v>71</v>
      </c>
      <c r="I104" s="30"/>
      <c r="J104" s="549" t="s">
        <v>126</v>
      </c>
      <c r="L104" s="426">
        <v>8</v>
      </c>
      <c r="N104" s="540" t="s">
        <v>612</v>
      </c>
      <c r="P104" s="561">
        <v>4</v>
      </c>
      <c r="Q104" s="29"/>
      <c r="R104" s="427">
        <v>10</v>
      </c>
      <c r="U104" s="1" t="s">
        <v>278</v>
      </c>
      <c r="V104" s="1" t="s">
        <v>279</v>
      </c>
    </row>
    <row r="105" spans="2:22" ht="19.5" customHeight="1" x14ac:dyDescent="0.25">
      <c r="B105" s="5"/>
      <c r="J105" s="544"/>
      <c r="P105" s="29"/>
      <c r="Q105" s="29"/>
      <c r="R105" s="31"/>
    </row>
    <row r="106" spans="2:22" ht="19.5" customHeight="1" x14ac:dyDescent="0.25">
      <c r="B106" s="5"/>
      <c r="C106" s="25"/>
      <c r="D106" s="25"/>
      <c r="E106" s="429"/>
      <c r="G106" s="426"/>
      <c r="H106" s="28" t="s">
        <v>72</v>
      </c>
      <c r="I106" s="30"/>
      <c r="J106" s="561" t="s">
        <v>912</v>
      </c>
      <c r="L106" s="426">
        <v>9</v>
      </c>
      <c r="N106" s="28" t="s">
        <v>73</v>
      </c>
      <c r="P106" s="561">
        <v>0.5</v>
      </c>
      <c r="Q106" s="29"/>
      <c r="R106" s="427">
        <v>11</v>
      </c>
    </row>
    <row r="107" spans="2:22" ht="19.5" customHeight="1" x14ac:dyDescent="0.25">
      <c r="B107" s="5"/>
      <c r="D107" s="421"/>
      <c r="J107" s="29"/>
      <c r="K107" s="29"/>
      <c r="P107" s="29"/>
      <c r="Q107" s="29"/>
      <c r="R107" s="31"/>
    </row>
    <row r="108" spans="2:22" ht="19.5" customHeight="1" x14ac:dyDescent="0.25">
      <c r="B108" s="5"/>
      <c r="C108" s="1" t="s">
        <v>611</v>
      </c>
      <c r="P108" s="29"/>
      <c r="Q108" s="29"/>
      <c r="R108" s="31"/>
    </row>
    <row r="109" spans="2:22" ht="16.5" customHeight="1" x14ac:dyDescent="0.25">
      <c r="B109" s="5"/>
      <c r="P109" s="29"/>
      <c r="Q109" s="29"/>
      <c r="R109" s="31"/>
    </row>
    <row r="110" spans="2:22" ht="16.5" customHeight="1" x14ac:dyDescent="0.25">
      <c r="B110" s="5"/>
      <c r="C110" s="1" t="s">
        <v>614</v>
      </c>
      <c r="E110" s="1" t="str">
        <f>+IF(E64="Desiguales","(acorde Sección 2, repetir C.3 para cada  tramo diferente)","(igual a Sección 3)")</f>
        <v>(igual a Sección 3)</v>
      </c>
      <c r="P110" s="29"/>
      <c r="Q110" s="29"/>
      <c r="R110" s="31"/>
    </row>
    <row r="111" spans="2:22" ht="16.5" customHeight="1" x14ac:dyDescent="0.25">
      <c r="B111" s="10"/>
      <c r="C111" s="11"/>
      <c r="D111" s="11"/>
      <c r="E111" s="11"/>
      <c r="F111" s="11"/>
      <c r="G111" s="11"/>
      <c r="H111" s="11"/>
      <c r="I111" s="11"/>
      <c r="J111" s="11"/>
      <c r="K111" s="11"/>
      <c r="L111" s="11"/>
      <c r="M111" s="11"/>
      <c r="N111" s="11"/>
      <c r="O111" s="11"/>
      <c r="P111" s="11"/>
      <c r="Q111" s="11"/>
      <c r="R111" s="12"/>
    </row>
    <row r="112" spans="2:22" ht="16.5" customHeight="1" x14ac:dyDescent="0.25"/>
    <row r="113" spans="2:18" ht="16.5" customHeight="1" x14ac:dyDescent="0.25"/>
    <row r="114" spans="2:18" ht="16.5" customHeight="1" x14ac:dyDescent="0.25">
      <c r="C114" s="650" t="s">
        <v>283</v>
      </c>
      <c r="D114" s="651"/>
      <c r="E114" s="651"/>
      <c r="F114" s="651"/>
      <c r="G114" s="652"/>
      <c r="H114" s="32"/>
    </row>
    <row r="115" spans="2:18" x14ac:dyDescent="0.25">
      <c r="B115" s="13"/>
      <c r="C115" s="653"/>
      <c r="D115" s="654"/>
      <c r="E115" s="654"/>
      <c r="F115" s="654"/>
      <c r="G115" s="655"/>
      <c r="H115" s="27"/>
      <c r="I115" s="6"/>
      <c r="J115" s="6"/>
      <c r="K115" s="6"/>
      <c r="L115" s="6"/>
      <c r="M115" s="6"/>
      <c r="N115" s="6"/>
      <c r="O115" s="6"/>
      <c r="P115" s="6"/>
      <c r="Q115" s="6"/>
      <c r="R115" s="7"/>
    </row>
    <row r="116" spans="2:18" x14ac:dyDescent="0.25">
      <c r="B116" s="5"/>
      <c r="C116" s="435"/>
      <c r="D116" s="435"/>
      <c r="E116" s="435"/>
      <c r="F116" s="435"/>
      <c r="G116" s="435"/>
      <c r="R116" s="8"/>
    </row>
    <row r="117" spans="2:18" x14ac:dyDescent="0.25">
      <c r="B117" s="5"/>
      <c r="C117" s="1" t="s">
        <v>615</v>
      </c>
      <c r="D117" s="435"/>
      <c r="E117" s="435"/>
      <c r="F117" s="435"/>
      <c r="G117" s="435"/>
      <c r="R117" s="8"/>
    </row>
    <row r="118" spans="2:18" x14ac:dyDescent="0.25">
      <c r="B118" s="5"/>
      <c r="C118" s="1" t="s">
        <v>603</v>
      </c>
      <c r="J118" s="634" t="s">
        <v>74</v>
      </c>
      <c r="K118" s="636"/>
      <c r="L118" s="25"/>
      <c r="M118" s="25"/>
      <c r="N118" s="634" t="s">
        <v>75</v>
      </c>
      <c r="O118" s="636"/>
      <c r="P118" s="25"/>
      <c r="Q118" s="39"/>
      <c r="R118" s="8"/>
    </row>
    <row r="119" spans="2:18" x14ac:dyDescent="0.25">
      <c r="B119" s="5"/>
      <c r="J119" s="39"/>
      <c r="K119" s="39"/>
      <c r="L119" s="39"/>
      <c r="M119" s="25"/>
      <c r="N119" s="39"/>
      <c r="O119" s="39"/>
      <c r="P119" s="39"/>
      <c r="Q119" s="39"/>
      <c r="R119" s="8"/>
    </row>
    <row r="120" spans="2:18" x14ac:dyDescent="0.25">
      <c r="B120" s="5"/>
      <c r="C120" s="667" t="s">
        <v>76</v>
      </c>
      <c r="D120" s="668"/>
      <c r="E120" s="669"/>
      <c r="H120" s="307" t="s">
        <v>63</v>
      </c>
      <c r="J120" s="428" t="s">
        <v>91</v>
      </c>
      <c r="K120" s="305"/>
      <c r="L120" s="426">
        <v>1</v>
      </c>
      <c r="N120" s="428" t="s">
        <v>91</v>
      </c>
      <c r="O120" s="305"/>
      <c r="P120" s="426">
        <v>1</v>
      </c>
      <c r="Q120" s="305"/>
      <c r="R120" s="8"/>
    </row>
    <row r="121" spans="2:18" x14ac:dyDescent="0.25">
      <c r="B121" s="5"/>
      <c r="R121" s="8"/>
    </row>
    <row r="122" spans="2:18" ht="14.4" x14ac:dyDescent="0.3">
      <c r="B122" s="5"/>
      <c r="H122" s="307" t="s">
        <v>64</v>
      </c>
      <c r="J122" s="446" t="s">
        <v>65</v>
      </c>
      <c r="K122" s="305"/>
      <c r="L122" s="426">
        <v>2</v>
      </c>
      <c r="N122" s="446" t="s">
        <v>65</v>
      </c>
      <c r="O122" s="305"/>
      <c r="P122" s="426">
        <v>2</v>
      </c>
      <c r="Q122" s="305"/>
      <c r="R122" s="8"/>
    </row>
    <row r="123" spans="2:18" x14ac:dyDescent="0.25">
      <c r="B123" s="5"/>
      <c r="R123" s="8"/>
    </row>
    <row r="124" spans="2:18" x14ac:dyDescent="0.25">
      <c r="B124" s="5"/>
      <c r="C124" s="667" t="s">
        <v>78</v>
      </c>
      <c r="D124" s="668"/>
      <c r="E124" s="669"/>
      <c r="H124" s="307" t="s">
        <v>63</v>
      </c>
      <c r="J124" s="428" t="s">
        <v>132</v>
      </c>
      <c r="K124" s="305"/>
      <c r="L124" s="426">
        <v>3</v>
      </c>
      <c r="N124" s="428" t="s">
        <v>132</v>
      </c>
      <c r="O124" s="305"/>
      <c r="P124" s="426">
        <v>3</v>
      </c>
      <c r="Q124" s="305"/>
      <c r="R124" s="8"/>
    </row>
    <row r="125" spans="2:18" x14ac:dyDescent="0.25">
      <c r="B125" s="5"/>
      <c r="R125" s="8"/>
    </row>
    <row r="126" spans="2:18" ht="14.4" x14ac:dyDescent="0.3">
      <c r="B126" s="5"/>
      <c r="H126" s="307" t="s">
        <v>64</v>
      </c>
      <c r="J126" s="446" t="s">
        <v>65</v>
      </c>
      <c r="K126" s="305"/>
      <c r="L126" s="426">
        <v>4</v>
      </c>
      <c r="N126" s="446" t="s">
        <v>65</v>
      </c>
      <c r="O126" s="305"/>
      <c r="P126" s="426">
        <v>4</v>
      </c>
      <c r="Q126" s="305"/>
      <c r="R126" s="8"/>
    </row>
    <row r="127" spans="2:18" ht="14.4" x14ac:dyDescent="0.3">
      <c r="B127" s="5"/>
      <c r="H127" s="25"/>
      <c r="J127" s="436"/>
      <c r="K127" s="305"/>
      <c r="L127" s="426"/>
      <c r="N127" s="436"/>
      <c r="O127" s="305"/>
      <c r="P127" s="426"/>
      <c r="Q127" s="305"/>
      <c r="R127" s="8"/>
    </row>
    <row r="128" spans="2:18" ht="14.4" x14ac:dyDescent="0.3">
      <c r="B128" s="5"/>
      <c r="C128" s="1" t="s">
        <v>616</v>
      </c>
      <c r="H128" s="25"/>
      <c r="J128" s="436"/>
      <c r="K128" s="305"/>
      <c r="L128" s="426"/>
      <c r="N128" s="436"/>
      <c r="O128" s="305"/>
      <c r="P128" s="426"/>
      <c r="Q128" s="305"/>
      <c r="R128" s="8"/>
    </row>
    <row r="129" spans="2:18" x14ac:dyDescent="0.25">
      <c r="B129" s="10"/>
      <c r="C129" s="11"/>
      <c r="D129" s="11"/>
      <c r="E129" s="11"/>
      <c r="F129" s="11"/>
      <c r="G129" s="11"/>
      <c r="H129" s="11"/>
      <c r="I129" s="11"/>
      <c r="J129" s="11"/>
      <c r="K129" s="11"/>
      <c r="L129" s="11"/>
      <c r="M129" s="11"/>
      <c r="N129" s="11"/>
      <c r="O129" s="11"/>
      <c r="P129" s="11"/>
      <c r="Q129" s="11"/>
      <c r="R129" s="12"/>
    </row>
    <row r="130" spans="2:18" x14ac:dyDescent="0.25">
      <c r="C130" s="1" t="str">
        <f>+C47</f>
        <v>Evaluación : Ing. Martín Pichón</v>
      </c>
    </row>
    <row r="131" spans="2:18" hidden="1" outlineLevel="1" x14ac:dyDescent="0.25">
      <c r="C131" s="34" t="s">
        <v>79</v>
      </c>
      <c r="D131" s="264"/>
      <c r="E131" s="634" t="s">
        <v>80</v>
      </c>
      <c r="F131" s="635"/>
      <c r="G131" s="635"/>
      <c r="H131" s="635"/>
      <c r="I131" s="635"/>
      <c r="J131" s="635"/>
      <c r="K131" s="635"/>
      <c r="L131" s="635"/>
      <c r="M131" s="635"/>
      <c r="N131" s="635"/>
      <c r="O131" s="635"/>
      <c r="P131" s="635"/>
      <c r="Q131" s="635"/>
      <c r="R131" s="636"/>
    </row>
    <row r="132" spans="2:18" hidden="1" outlineLevel="1" x14ac:dyDescent="0.25"/>
    <row r="133" spans="2:18" hidden="1" outlineLevel="1" x14ac:dyDescent="0.25">
      <c r="C133" s="20" t="s">
        <v>81</v>
      </c>
      <c r="D133" s="20"/>
      <c r="E133" s="35" t="s">
        <v>56</v>
      </c>
      <c r="F133" s="35"/>
      <c r="G133" s="35"/>
      <c r="H133" s="35" t="s">
        <v>562</v>
      </c>
      <c r="I133" s="35"/>
      <c r="J133" s="35"/>
      <c r="K133" s="35"/>
      <c r="L133" s="35" t="s">
        <v>82</v>
      </c>
      <c r="M133" s="35"/>
      <c r="N133" s="35"/>
      <c r="O133" s="35"/>
      <c r="P133" s="35" t="s">
        <v>83</v>
      </c>
      <c r="Q133" s="35"/>
      <c r="R133" s="36"/>
    </row>
    <row r="134" spans="2:18" hidden="1" outlineLevel="1" x14ac:dyDescent="0.25">
      <c r="C134" s="20" t="s">
        <v>53</v>
      </c>
      <c r="D134" s="20"/>
      <c r="E134" s="20" t="s">
        <v>62</v>
      </c>
      <c r="F134" s="20"/>
      <c r="G134" s="20"/>
      <c r="H134" s="20" t="s">
        <v>84</v>
      </c>
      <c r="I134" s="20"/>
      <c r="J134" s="20"/>
      <c r="K134" s="20"/>
      <c r="L134" s="20" t="s">
        <v>85</v>
      </c>
      <c r="M134" s="20"/>
      <c r="N134" s="20"/>
      <c r="O134" s="20"/>
      <c r="P134" s="20" t="s">
        <v>86</v>
      </c>
      <c r="Q134" s="20"/>
      <c r="R134" s="37"/>
    </row>
    <row r="135" spans="2:18" hidden="1" outlineLevel="1" x14ac:dyDescent="0.25">
      <c r="C135" s="20"/>
      <c r="D135" s="20"/>
      <c r="E135" s="20" t="s">
        <v>87</v>
      </c>
      <c r="F135" s="20"/>
      <c r="G135" s="20"/>
      <c r="H135" s="20" t="s">
        <v>88</v>
      </c>
      <c r="I135" s="20"/>
      <c r="J135" s="20"/>
      <c r="K135" s="20"/>
      <c r="L135" s="20" t="s">
        <v>89</v>
      </c>
      <c r="M135" s="20"/>
      <c r="N135" s="20"/>
      <c r="O135" s="20"/>
      <c r="P135" s="20" t="s">
        <v>90</v>
      </c>
      <c r="Q135" s="20"/>
      <c r="R135" s="37"/>
    </row>
    <row r="136" spans="2:18" hidden="1" outlineLevel="1" x14ac:dyDescent="0.25">
      <c r="C136" s="35" t="s">
        <v>56</v>
      </c>
      <c r="D136" s="35"/>
      <c r="E136" s="20" t="s">
        <v>91</v>
      </c>
      <c r="F136" s="20"/>
      <c r="G136" s="20"/>
      <c r="H136" s="20" t="s">
        <v>92</v>
      </c>
      <c r="I136" s="20"/>
      <c r="J136" s="20"/>
      <c r="K136" s="20"/>
      <c r="L136" s="20" t="s">
        <v>93</v>
      </c>
      <c r="M136" s="20"/>
      <c r="N136" s="20"/>
      <c r="O136" s="20"/>
      <c r="P136" s="20" t="s">
        <v>94</v>
      </c>
      <c r="Q136" s="20"/>
      <c r="R136" s="37"/>
    </row>
    <row r="137" spans="2:18" hidden="1" outlineLevel="1" x14ac:dyDescent="0.25">
      <c r="C137" s="35" t="s">
        <v>562</v>
      </c>
      <c r="D137" s="35"/>
      <c r="E137" s="23" t="s">
        <v>93</v>
      </c>
      <c r="F137" s="23"/>
      <c r="G137" s="23"/>
      <c r="H137" s="23"/>
      <c r="I137" s="23"/>
      <c r="J137" s="23"/>
      <c r="K137" s="23"/>
      <c r="L137" s="23" t="s">
        <v>91</v>
      </c>
      <c r="M137" s="23"/>
      <c r="N137" s="23"/>
      <c r="O137" s="23"/>
      <c r="P137" s="20" t="s">
        <v>95</v>
      </c>
      <c r="Q137" s="20"/>
      <c r="R137" s="38"/>
    </row>
    <row r="138" spans="2:18" hidden="1" outlineLevel="1" x14ac:dyDescent="0.25">
      <c r="C138" s="35" t="s">
        <v>82</v>
      </c>
      <c r="D138" s="35"/>
      <c r="E138" s="20" t="s">
        <v>96</v>
      </c>
      <c r="F138" s="20"/>
      <c r="G138" s="20"/>
      <c r="H138" s="20"/>
      <c r="I138" s="20"/>
      <c r="J138" s="20"/>
      <c r="K138" s="20"/>
      <c r="L138" s="20" t="s">
        <v>92</v>
      </c>
      <c r="M138" s="20"/>
      <c r="N138" s="20"/>
      <c r="O138" s="20"/>
      <c r="P138" s="20" t="s">
        <v>92</v>
      </c>
      <c r="Q138" s="20"/>
      <c r="R138" s="37"/>
    </row>
    <row r="139" spans="2:18" hidden="1" outlineLevel="1" x14ac:dyDescent="0.25">
      <c r="C139" s="35" t="s">
        <v>83</v>
      </c>
      <c r="D139" s="35"/>
      <c r="E139" s="20" t="s">
        <v>97</v>
      </c>
      <c r="F139" s="20"/>
      <c r="G139" s="20"/>
      <c r="H139" s="20"/>
      <c r="I139" s="20"/>
      <c r="J139" s="20"/>
      <c r="K139" s="20"/>
      <c r="L139" s="20"/>
      <c r="M139" s="20"/>
      <c r="N139" s="20"/>
      <c r="O139" s="20"/>
      <c r="P139" s="20"/>
      <c r="Q139" s="20"/>
      <c r="R139" s="37"/>
    </row>
    <row r="140" spans="2:18" hidden="1" outlineLevel="1" x14ac:dyDescent="0.25">
      <c r="C140" s="20"/>
      <c r="D140" s="20"/>
      <c r="E140" s="20" t="s">
        <v>281</v>
      </c>
      <c r="F140" s="20"/>
      <c r="G140" s="20"/>
      <c r="H140" s="20"/>
      <c r="I140" s="20"/>
      <c r="J140" s="20"/>
      <c r="K140" s="20"/>
      <c r="L140" s="20"/>
      <c r="M140" s="20"/>
      <c r="N140" s="20"/>
      <c r="O140" s="20"/>
      <c r="P140" s="20"/>
      <c r="Q140" s="20"/>
      <c r="R140" s="37"/>
    </row>
    <row r="141" spans="2:18" hidden="1" outlineLevel="1" x14ac:dyDescent="0.25"/>
    <row r="142" spans="2:18" hidden="1" outlineLevel="1" x14ac:dyDescent="0.25"/>
    <row r="143" spans="2:18" hidden="1" outlineLevel="1" x14ac:dyDescent="0.25">
      <c r="C143" s="34" t="s">
        <v>98</v>
      </c>
      <c r="D143" s="39"/>
      <c r="F143" s="634" t="s">
        <v>99</v>
      </c>
      <c r="G143" s="635"/>
      <c r="H143" s="636"/>
      <c r="J143" s="34" t="s">
        <v>100</v>
      </c>
      <c r="K143" s="39"/>
      <c r="M143" s="634" t="s">
        <v>101</v>
      </c>
      <c r="N143" s="635"/>
      <c r="O143" s="635"/>
      <c r="P143" s="636"/>
      <c r="Q143" s="39"/>
    </row>
    <row r="144" spans="2:18" hidden="1" outlineLevel="1" x14ac:dyDescent="0.25">
      <c r="C144" s="20" t="s">
        <v>59</v>
      </c>
      <c r="D144" s="20"/>
      <c r="E144" s="20"/>
      <c r="F144" s="20"/>
      <c r="G144" s="20" t="s">
        <v>102</v>
      </c>
      <c r="H144" s="20"/>
      <c r="I144" s="20"/>
      <c r="J144" s="20" t="s">
        <v>65</v>
      </c>
      <c r="K144" s="20"/>
      <c r="L144" s="20"/>
      <c r="M144" s="20"/>
      <c r="N144" s="20" t="s">
        <v>70</v>
      </c>
      <c r="O144" s="20"/>
      <c r="P144" s="37"/>
      <c r="Q144" s="37"/>
      <c r="R144" s="37"/>
    </row>
    <row r="145" spans="3:18" hidden="1" outlineLevel="1" x14ac:dyDescent="0.25">
      <c r="C145" s="20" t="s">
        <v>103</v>
      </c>
      <c r="D145" s="20"/>
      <c r="E145" s="20"/>
      <c r="F145" s="20"/>
      <c r="G145" s="20" t="s">
        <v>61</v>
      </c>
      <c r="H145" s="20"/>
      <c r="I145" s="20"/>
      <c r="J145" s="20" t="s">
        <v>61</v>
      </c>
      <c r="K145" s="20"/>
      <c r="L145" s="20"/>
      <c r="M145" s="20"/>
      <c r="N145" s="20" t="s">
        <v>104</v>
      </c>
      <c r="O145" s="20"/>
      <c r="P145" s="37"/>
      <c r="Q145" s="37"/>
      <c r="R145" s="37"/>
    </row>
    <row r="146" spans="3:18" hidden="1" outlineLevel="1" x14ac:dyDescent="0.25">
      <c r="C146" s="20" t="s">
        <v>105</v>
      </c>
      <c r="D146" s="20"/>
      <c r="E146" s="20"/>
      <c r="F146" s="20"/>
      <c r="G146" s="20" t="s">
        <v>106</v>
      </c>
      <c r="H146" s="20"/>
      <c r="I146" s="20"/>
      <c r="J146" s="20" t="s">
        <v>107</v>
      </c>
      <c r="K146" s="20"/>
      <c r="L146" s="20"/>
      <c r="M146" s="20"/>
      <c r="N146" s="20" t="s">
        <v>108</v>
      </c>
      <c r="O146" s="20"/>
      <c r="P146" s="37"/>
      <c r="Q146" s="37"/>
      <c r="R146" s="37"/>
    </row>
    <row r="147" spans="3:18" hidden="1" outlineLevel="1" x14ac:dyDescent="0.25">
      <c r="C147" s="20" t="s">
        <v>109</v>
      </c>
      <c r="D147" s="20"/>
      <c r="E147" s="20"/>
      <c r="F147" s="20"/>
      <c r="G147" s="20" t="s">
        <v>110</v>
      </c>
      <c r="H147" s="20"/>
      <c r="I147" s="20"/>
      <c r="J147" s="20" t="s">
        <v>111</v>
      </c>
      <c r="K147" s="20"/>
      <c r="L147" s="20"/>
      <c r="M147" s="20"/>
      <c r="N147" s="20" t="s">
        <v>111</v>
      </c>
      <c r="O147" s="20"/>
      <c r="P147" s="37"/>
      <c r="Q147" s="37"/>
      <c r="R147" s="37"/>
    </row>
    <row r="148" spans="3:18" hidden="1" outlineLevel="1" x14ac:dyDescent="0.25">
      <c r="C148" s="20" t="s">
        <v>112</v>
      </c>
      <c r="D148" s="20"/>
      <c r="E148" s="20"/>
      <c r="F148" s="20"/>
      <c r="G148" s="20" t="s">
        <v>113</v>
      </c>
      <c r="H148" s="20"/>
      <c r="I148" s="20"/>
      <c r="J148" s="20" t="s">
        <v>92</v>
      </c>
      <c r="K148" s="20"/>
      <c r="L148" s="20"/>
      <c r="M148" s="20"/>
      <c r="N148" s="20" t="s">
        <v>114</v>
      </c>
      <c r="O148" s="20"/>
      <c r="P148" s="37"/>
      <c r="Q148" s="37"/>
      <c r="R148" s="37"/>
    </row>
    <row r="149" spans="3:18" hidden="1" outlineLevel="1" x14ac:dyDescent="0.25">
      <c r="C149" s="20" t="s">
        <v>115</v>
      </c>
      <c r="D149" s="20"/>
      <c r="E149" s="20"/>
      <c r="F149" s="20"/>
      <c r="G149" s="20" t="s">
        <v>111</v>
      </c>
      <c r="H149" s="20"/>
      <c r="I149" s="20"/>
      <c r="J149" s="20"/>
      <c r="K149" s="20"/>
      <c r="L149" s="20"/>
      <c r="M149" s="20"/>
      <c r="N149" s="20"/>
      <c r="O149" s="20"/>
      <c r="P149" s="37"/>
      <c r="Q149" s="37"/>
      <c r="R149" s="37"/>
    </row>
    <row r="150" spans="3:18" hidden="1" outlineLevel="1" x14ac:dyDescent="0.25">
      <c r="C150" s="20" t="s">
        <v>92</v>
      </c>
      <c r="D150" s="20"/>
      <c r="E150" s="20"/>
      <c r="F150" s="20"/>
      <c r="G150" s="20" t="s">
        <v>92</v>
      </c>
      <c r="H150" s="20"/>
      <c r="I150" s="20"/>
      <c r="J150" s="20"/>
      <c r="K150" s="20"/>
      <c r="L150" s="20"/>
      <c r="M150" s="20"/>
      <c r="N150" s="20"/>
      <c r="O150" s="20"/>
      <c r="P150" s="37"/>
      <c r="Q150" s="37"/>
      <c r="R150" s="37"/>
    </row>
    <row r="151" spans="3:18" hidden="1" outlineLevel="1" x14ac:dyDescent="0.25">
      <c r="C151" s="37"/>
      <c r="D151" s="37"/>
      <c r="E151" s="37"/>
      <c r="F151" s="37"/>
      <c r="G151" s="37"/>
      <c r="H151" s="37"/>
      <c r="I151" s="37"/>
      <c r="J151" s="37"/>
      <c r="K151" s="37"/>
      <c r="L151" s="37"/>
      <c r="M151" s="37"/>
      <c r="N151" s="37"/>
      <c r="O151" s="37"/>
      <c r="P151" s="37"/>
      <c r="Q151" s="37"/>
      <c r="R151" s="37"/>
    </row>
    <row r="152" spans="3:18" hidden="1" outlineLevel="1" x14ac:dyDescent="0.25">
      <c r="E152" s="34" t="s">
        <v>116</v>
      </c>
      <c r="H152" s="34" t="s">
        <v>117</v>
      </c>
      <c r="L152" s="34" t="s">
        <v>118</v>
      </c>
    </row>
    <row r="153" spans="3:18" hidden="1" outlineLevel="1" x14ac:dyDescent="0.25">
      <c r="E153" s="20" t="s">
        <v>119</v>
      </c>
      <c r="F153" s="20"/>
      <c r="G153" s="20"/>
      <c r="H153" s="20" t="s">
        <v>65</v>
      </c>
      <c r="I153" s="20"/>
      <c r="J153" s="20"/>
      <c r="K153" s="20"/>
      <c r="L153" s="20" t="s">
        <v>120</v>
      </c>
    </row>
    <row r="154" spans="3:18" hidden="1" outlineLevel="1" x14ac:dyDescent="0.25">
      <c r="E154" s="20" t="s">
        <v>121</v>
      </c>
      <c r="F154" s="20"/>
      <c r="G154" s="20"/>
      <c r="H154" s="20" t="s">
        <v>61</v>
      </c>
      <c r="I154" s="20"/>
      <c r="J154" s="20"/>
      <c r="K154" s="20"/>
      <c r="L154" s="20" t="s">
        <v>122</v>
      </c>
    </row>
    <row r="155" spans="3:18" hidden="1" outlineLevel="1" x14ac:dyDescent="0.25">
      <c r="E155" s="20" t="s">
        <v>123</v>
      </c>
      <c r="F155" s="20"/>
      <c r="G155" s="20"/>
      <c r="H155" s="20" t="s">
        <v>124</v>
      </c>
      <c r="I155" s="20"/>
      <c r="J155" s="20"/>
      <c r="K155" s="20"/>
      <c r="L155" s="20" t="s">
        <v>125</v>
      </c>
    </row>
    <row r="156" spans="3:18" hidden="1" outlineLevel="1" x14ac:dyDescent="0.25">
      <c r="E156" s="20" t="s">
        <v>92</v>
      </c>
      <c r="F156" s="20"/>
      <c r="G156" s="20"/>
      <c r="H156" s="20" t="s">
        <v>111</v>
      </c>
      <c r="I156" s="20"/>
      <c r="J156" s="20"/>
      <c r="K156" s="20"/>
      <c r="L156" s="20" t="s">
        <v>126</v>
      </c>
    </row>
    <row r="157" spans="3:18" hidden="1" outlineLevel="1" x14ac:dyDescent="0.25">
      <c r="E157" s="20"/>
      <c r="F157" s="20"/>
      <c r="G157" s="20"/>
      <c r="H157" s="20" t="s">
        <v>92</v>
      </c>
      <c r="I157" s="20"/>
      <c r="J157" s="20"/>
      <c r="K157" s="20"/>
      <c r="L157" s="20"/>
    </row>
    <row r="158" spans="3:18" hidden="1" outlineLevel="1" x14ac:dyDescent="0.25"/>
    <row r="159" spans="3:18" hidden="1" outlineLevel="1" x14ac:dyDescent="0.25"/>
    <row r="160" spans="3:18" hidden="1" outlineLevel="1" x14ac:dyDescent="0.25">
      <c r="C160" s="34" t="s">
        <v>127</v>
      </c>
      <c r="D160" s="39"/>
      <c r="F160" s="634" t="s">
        <v>128</v>
      </c>
      <c r="G160" s="635"/>
      <c r="H160" s="636"/>
      <c r="J160" s="634" t="s">
        <v>129</v>
      </c>
      <c r="K160" s="635"/>
      <c r="L160" s="636"/>
      <c r="N160" s="634" t="s">
        <v>130</v>
      </c>
      <c r="O160" s="635"/>
      <c r="P160" s="636"/>
      <c r="Q160" s="39"/>
    </row>
    <row r="161" spans="1:18" hidden="1" outlineLevel="1" x14ac:dyDescent="0.25">
      <c r="C161" s="20" t="s">
        <v>77</v>
      </c>
      <c r="D161" s="20"/>
      <c r="E161" s="20"/>
      <c r="F161" s="20"/>
      <c r="G161" s="20" t="s">
        <v>131</v>
      </c>
      <c r="H161" s="20"/>
      <c r="I161" s="20"/>
      <c r="J161" s="20" t="s">
        <v>132</v>
      </c>
      <c r="K161" s="20"/>
      <c r="L161" s="20"/>
      <c r="M161" s="20"/>
      <c r="N161" s="20" t="s">
        <v>131</v>
      </c>
      <c r="O161" s="20"/>
      <c r="P161" s="20"/>
      <c r="Q161" s="20"/>
    </row>
    <row r="162" spans="1:18" hidden="1" outlineLevel="1" x14ac:dyDescent="0.25">
      <c r="C162" s="20" t="s">
        <v>133</v>
      </c>
      <c r="D162" s="20"/>
      <c r="E162" s="20"/>
      <c r="F162" s="20"/>
      <c r="G162" s="20" t="s">
        <v>65</v>
      </c>
      <c r="H162" s="20"/>
      <c r="I162" s="20"/>
      <c r="J162" s="20" t="s">
        <v>134</v>
      </c>
      <c r="K162" s="20"/>
      <c r="L162" s="20"/>
      <c r="M162" s="20"/>
      <c r="N162" s="20" t="s">
        <v>65</v>
      </c>
      <c r="O162" s="20"/>
      <c r="P162" s="20"/>
      <c r="Q162" s="20"/>
    </row>
    <row r="163" spans="1:18" hidden="1" outlineLevel="1" x14ac:dyDescent="0.25">
      <c r="C163" s="20" t="s">
        <v>91</v>
      </c>
      <c r="D163" s="20"/>
      <c r="E163" s="20"/>
      <c r="F163" s="20"/>
      <c r="G163" s="20" t="s">
        <v>135</v>
      </c>
      <c r="H163" s="20"/>
      <c r="I163" s="20"/>
      <c r="J163" s="20" t="s">
        <v>136</v>
      </c>
      <c r="K163" s="20"/>
      <c r="L163" s="20"/>
      <c r="M163" s="20"/>
      <c r="N163" s="20" t="s">
        <v>137</v>
      </c>
      <c r="O163" s="20"/>
      <c r="P163" s="20"/>
      <c r="Q163" s="20"/>
    </row>
    <row r="164" spans="1:18" hidden="1" outlineLevel="1" x14ac:dyDescent="0.25">
      <c r="C164" s="20" t="s">
        <v>57</v>
      </c>
      <c r="D164" s="20"/>
      <c r="E164" s="20"/>
      <c r="F164" s="20"/>
      <c r="G164" s="20" t="s">
        <v>111</v>
      </c>
      <c r="H164" s="20"/>
      <c r="I164" s="20"/>
      <c r="J164" s="20" t="s">
        <v>92</v>
      </c>
      <c r="K164" s="20"/>
      <c r="L164" s="20"/>
      <c r="M164" s="20"/>
      <c r="N164" s="20" t="s">
        <v>111</v>
      </c>
      <c r="O164" s="20"/>
      <c r="P164" s="20"/>
      <c r="Q164" s="20"/>
    </row>
    <row r="165" spans="1:18" hidden="1" outlineLevel="1" x14ac:dyDescent="0.25">
      <c r="C165" s="20" t="s">
        <v>92</v>
      </c>
      <c r="D165" s="20"/>
      <c r="E165" s="20"/>
      <c r="F165" s="20"/>
      <c r="G165" s="20"/>
      <c r="H165" s="20"/>
      <c r="I165" s="20"/>
      <c r="J165" s="20"/>
      <c r="K165" s="20"/>
      <c r="L165" s="20"/>
      <c r="M165" s="20"/>
      <c r="N165" s="20" t="s">
        <v>92</v>
      </c>
      <c r="O165" s="20"/>
      <c r="P165" s="20"/>
      <c r="Q165" s="20"/>
    </row>
    <row r="166" spans="1:18" hidden="1" outlineLevel="1" x14ac:dyDescent="0.25">
      <c r="C166" s="1" t="s">
        <v>552</v>
      </c>
    </row>
    <row r="167" spans="1:18" collapsed="1" x14ac:dyDescent="0.25"/>
    <row r="168" spans="1:18" x14ac:dyDescent="0.25">
      <c r="C168" s="670" t="s">
        <v>138</v>
      </c>
      <c r="D168" s="671"/>
      <c r="E168" s="671"/>
      <c r="F168" s="671"/>
      <c r="G168" s="672"/>
      <c r="H168" s="26"/>
      <c r="I168" s="11"/>
      <c r="J168" s="11"/>
      <c r="K168" s="11"/>
      <c r="L168" s="11"/>
      <c r="M168" s="11"/>
      <c r="N168" s="11"/>
      <c r="O168" s="11"/>
      <c r="P168" s="11"/>
      <c r="Q168" s="11"/>
      <c r="R168" s="11"/>
    </row>
    <row r="169" spans="1:18" x14ac:dyDescent="0.25">
      <c r="A169" s="8"/>
      <c r="B169" s="40"/>
      <c r="C169" s="673"/>
      <c r="D169" s="674"/>
      <c r="E169" s="674"/>
      <c r="F169" s="674"/>
      <c r="G169" s="675"/>
      <c r="H169" s="32"/>
      <c r="R169" s="7"/>
    </row>
    <row r="170" spans="1:18" x14ac:dyDescent="0.25">
      <c r="A170" s="8"/>
      <c r="R170" s="8"/>
    </row>
    <row r="171" spans="1:18" x14ac:dyDescent="0.25">
      <c r="A171" s="8"/>
      <c r="C171" s="1" t="s">
        <v>605</v>
      </c>
      <c r="R171" s="8"/>
    </row>
    <row r="172" spans="1:18" x14ac:dyDescent="0.25">
      <c r="A172" s="8"/>
      <c r="R172" s="8"/>
    </row>
    <row r="173" spans="1:18" x14ac:dyDescent="0.25">
      <c r="A173" s="8"/>
      <c r="C173" s="55" t="s">
        <v>76</v>
      </c>
      <c r="D173" s="417"/>
      <c r="E173" s="1" t="s">
        <v>639</v>
      </c>
      <c r="G173" s="34" t="s">
        <v>139</v>
      </c>
      <c r="J173" s="34" t="s">
        <v>140</v>
      </c>
      <c r="K173" s="39"/>
      <c r="N173" s="34" t="s">
        <v>821</v>
      </c>
      <c r="O173" s="39"/>
      <c r="R173" s="8"/>
    </row>
    <row r="174" spans="1:18" ht="10.5" customHeight="1" x14ac:dyDescent="0.25">
      <c r="A174" s="8"/>
      <c r="R174" s="8"/>
    </row>
    <row r="175" spans="1:18" x14ac:dyDescent="0.25">
      <c r="B175" s="42"/>
      <c r="C175" s="309" t="s">
        <v>63</v>
      </c>
      <c r="D175" s="39"/>
      <c r="G175" s="33"/>
      <c r="H175" s="426">
        <v>5</v>
      </c>
      <c r="J175" s="33"/>
      <c r="L175" s="426">
        <v>5</v>
      </c>
      <c r="N175" s="33"/>
      <c r="P175" s="426">
        <v>5</v>
      </c>
      <c r="R175" s="8"/>
    </row>
    <row r="176" spans="1:18" ht="9" customHeight="1" x14ac:dyDescent="0.25">
      <c r="A176" s="8"/>
      <c r="R176" s="8"/>
    </row>
    <row r="177" spans="1:18" x14ac:dyDescent="0.25">
      <c r="A177" s="8"/>
      <c r="C177" s="309" t="s">
        <v>64</v>
      </c>
      <c r="D177" s="39"/>
      <c r="G177" s="33"/>
      <c r="H177" s="426">
        <v>6</v>
      </c>
      <c r="J177" s="33"/>
      <c r="L177" s="426">
        <v>6</v>
      </c>
      <c r="N177" s="33"/>
      <c r="P177" s="426">
        <v>6</v>
      </c>
      <c r="R177" s="8"/>
    </row>
    <row r="178" spans="1:18" x14ac:dyDescent="0.25">
      <c r="B178" s="5"/>
      <c r="R178" s="8"/>
    </row>
    <row r="179" spans="1:18" x14ac:dyDescent="0.25">
      <c r="A179" s="8"/>
      <c r="C179" s="55" t="s">
        <v>143</v>
      </c>
      <c r="D179" s="417"/>
      <c r="E179" s="1" t="s">
        <v>639</v>
      </c>
      <c r="R179" s="8"/>
    </row>
    <row r="180" spans="1:18" ht="9" customHeight="1" x14ac:dyDescent="0.25">
      <c r="A180" s="8"/>
      <c r="R180" s="8"/>
    </row>
    <row r="181" spans="1:18" x14ac:dyDescent="0.25">
      <c r="A181" s="8"/>
      <c r="C181" s="309" t="s">
        <v>63</v>
      </c>
      <c r="D181" s="39"/>
      <c r="G181" s="33" t="s">
        <v>92</v>
      </c>
      <c r="H181" s="426">
        <v>7</v>
      </c>
      <c r="J181" s="33" t="s">
        <v>92</v>
      </c>
      <c r="L181" s="426">
        <v>7</v>
      </c>
      <c r="N181" s="33" t="s">
        <v>92</v>
      </c>
      <c r="P181" s="426">
        <v>7</v>
      </c>
      <c r="R181" s="8"/>
    </row>
    <row r="182" spans="1:18" ht="7.5" customHeight="1" x14ac:dyDescent="0.25">
      <c r="A182" s="8"/>
      <c r="R182" s="8"/>
    </row>
    <row r="183" spans="1:18" x14ac:dyDescent="0.25">
      <c r="A183" s="8"/>
      <c r="C183" s="309" t="s">
        <v>64</v>
      </c>
      <c r="D183" s="39"/>
      <c r="G183" s="33"/>
      <c r="H183" s="426">
        <v>8</v>
      </c>
      <c r="J183" s="33"/>
      <c r="L183" s="426">
        <v>8</v>
      </c>
      <c r="N183" s="33"/>
      <c r="P183" s="426">
        <v>8</v>
      </c>
      <c r="R183" s="8"/>
    </row>
    <row r="184" spans="1:18" x14ac:dyDescent="0.25">
      <c r="A184" s="8"/>
      <c r="R184" s="8"/>
    </row>
    <row r="185" spans="1:18" x14ac:dyDescent="0.25">
      <c r="A185" s="8"/>
      <c r="C185" s="1" t="s">
        <v>606</v>
      </c>
      <c r="R185" s="8"/>
    </row>
    <row r="186" spans="1:18" x14ac:dyDescent="0.25">
      <c r="A186" s="8"/>
      <c r="R186" s="8"/>
    </row>
    <row r="187" spans="1:18" ht="33" customHeight="1" x14ac:dyDescent="0.25">
      <c r="A187" s="8"/>
      <c r="C187" s="667" t="s">
        <v>144</v>
      </c>
      <c r="D187" s="668"/>
      <c r="E187" s="669"/>
      <c r="R187" s="8"/>
    </row>
    <row r="188" spans="1:18" x14ac:dyDescent="0.25">
      <c r="A188" s="8"/>
      <c r="R188" s="8"/>
    </row>
    <row r="189" spans="1:18" x14ac:dyDescent="0.25">
      <c r="A189" s="8"/>
      <c r="C189" s="55" t="s">
        <v>76</v>
      </c>
      <c r="D189" s="417"/>
      <c r="E189" s="1" t="s">
        <v>639</v>
      </c>
      <c r="G189" s="34" t="s">
        <v>145</v>
      </c>
      <c r="L189" s="34" t="s">
        <v>146</v>
      </c>
      <c r="R189" s="8"/>
    </row>
    <row r="190" spans="1:18" ht="9.75" customHeight="1" x14ac:dyDescent="0.25">
      <c r="A190" s="8"/>
      <c r="R190" s="8"/>
    </row>
    <row r="191" spans="1:18" x14ac:dyDescent="0.25">
      <c r="A191" s="8"/>
      <c r="C191" s="309" t="s">
        <v>63</v>
      </c>
      <c r="D191" s="39"/>
      <c r="G191" s="33"/>
      <c r="H191" s="426">
        <v>9</v>
      </c>
      <c r="L191" s="33"/>
      <c r="N191" s="426">
        <v>9</v>
      </c>
      <c r="R191" s="8"/>
    </row>
    <row r="192" spans="1:18" ht="10.5" customHeight="1" x14ac:dyDescent="0.25">
      <c r="A192" s="8"/>
      <c r="R192" s="8"/>
    </row>
    <row r="193" spans="1:19" x14ac:dyDescent="0.25">
      <c r="A193" s="8"/>
      <c r="C193" s="309" t="s">
        <v>64</v>
      </c>
      <c r="D193" s="39"/>
      <c r="G193" s="33"/>
      <c r="H193" s="426">
        <v>10</v>
      </c>
      <c r="L193" s="33"/>
      <c r="N193" s="426">
        <v>10</v>
      </c>
      <c r="R193" s="8"/>
    </row>
    <row r="194" spans="1:19" x14ac:dyDescent="0.25">
      <c r="A194" s="8"/>
      <c r="R194" s="8"/>
    </row>
    <row r="195" spans="1:19" x14ac:dyDescent="0.25">
      <c r="A195" s="8"/>
      <c r="C195" s="55" t="s">
        <v>143</v>
      </c>
      <c r="D195" s="417"/>
      <c r="E195" s="1" t="s">
        <v>639</v>
      </c>
      <c r="R195" s="8"/>
    </row>
    <row r="196" spans="1:19" x14ac:dyDescent="0.25">
      <c r="A196" s="8"/>
      <c r="R196" s="8"/>
    </row>
    <row r="197" spans="1:19" x14ac:dyDescent="0.25">
      <c r="A197" s="8"/>
      <c r="C197" s="309" t="s">
        <v>63</v>
      </c>
      <c r="D197" s="39"/>
      <c r="G197" s="33"/>
      <c r="H197" s="426">
        <v>11</v>
      </c>
      <c r="L197" s="33"/>
      <c r="N197" s="426">
        <v>11</v>
      </c>
      <c r="R197" s="8"/>
    </row>
    <row r="198" spans="1:19" x14ac:dyDescent="0.25">
      <c r="A198" s="8"/>
      <c r="R198" s="8"/>
    </row>
    <row r="199" spans="1:19" x14ac:dyDescent="0.25">
      <c r="A199" s="8"/>
      <c r="C199" s="309" t="s">
        <v>64</v>
      </c>
      <c r="D199" s="39"/>
      <c r="G199" s="33"/>
      <c r="H199" s="426">
        <v>12</v>
      </c>
      <c r="L199" s="33"/>
      <c r="N199" s="426">
        <v>12</v>
      </c>
      <c r="R199" s="8"/>
    </row>
    <row r="200" spans="1:19" x14ac:dyDescent="0.25">
      <c r="A200" s="8"/>
      <c r="B200" s="11"/>
      <c r="C200" s="11"/>
      <c r="D200" s="11"/>
      <c r="E200" s="11"/>
      <c r="F200" s="11"/>
      <c r="G200" s="11"/>
      <c r="H200" s="11"/>
      <c r="I200" s="11"/>
      <c r="J200" s="11"/>
      <c r="K200" s="11"/>
      <c r="L200" s="11"/>
      <c r="M200" s="11"/>
      <c r="N200" s="11"/>
      <c r="O200" s="11"/>
      <c r="P200" s="11"/>
      <c r="Q200" s="11"/>
      <c r="R200" s="11"/>
      <c r="S200" s="5"/>
    </row>
    <row r="201" spans="1:19" x14ac:dyDescent="0.25">
      <c r="C201" s="1" t="str">
        <f>+C47</f>
        <v>Evaluación : Ing. Martín Pichón</v>
      </c>
    </row>
    <row r="202" spans="1:19" hidden="1" outlineLevel="1" x14ac:dyDescent="0.25">
      <c r="G202" s="634" t="s">
        <v>147</v>
      </c>
      <c r="H202" s="635"/>
      <c r="I202" s="635"/>
      <c r="J202" s="635"/>
      <c r="K202" s="635"/>
      <c r="L202" s="636"/>
      <c r="R202" s="37"/>
    </row>
    <row r="203" spans="1:19" hidden="1" outlineLevel="1" x14ac:dyDescent="0.25"/>
    <row r="204" spans="1:19" hidden="1" outlineLevel="1" x14ac:dyDescent="0.25">
      <c r="C204" s="34" t="s">
        <v>127</v>
      </c>
      <c r="D204" s="39"/>
      <c r="F204" s="634" t="s">
        <v>148</v>
      </c>
      <c r="G204" s="635"/>
      <c r="H204" s="636"/>
      <c r="L204" s="18" t="s">
        <v>149</v>
      </c>
      <c r="M204" s="19"/>
      <c r="P204" s="676" t="s">
        <v>130</v>
      </c>
      <c r="Q204" s="677"/>
      <c r="R204" s="677"/>
      <c r="S204" s="32"/>
    </row>
    <row r="205" spans="1:19" hidden="1" outlineLevel="1" x14ac:dyDescent="0.25">
      <c r="C205" s="20" t="s">
        <v>150</v>
      </c>
      <c r="D205" s="20"/>
      <c r="E205" s="20"/>
      <c r="F205" s="20"/>
      <c r="G205" s="20" t="s">
        <v>131</v>
      </c>
      <c r="H205" s="20"/>
      <c r="I205" s="20"/>
      <c r="J205" s="20"/>
      <c r="K205" s="20"/>
      <c r="L205" s="20" t="s">
        <v>132</v>
      </c>
      <c r="M205" s="20"/>
      <c r="N205" s="20"/>
      <c r="O205" s="20"/>
      <c r="P205" s="21" t="s">
        <v>131</v>
      </c>
      <c r="Q205" s="21"/>
      <c r="R205" s="21"/>
    </row>
    <row r="206" spans="1:19" hidden="1" outlineLevel="1" x14ac:dyDescent="0.25">
      <c r="C206" s="20" t="s">
        <v>142</v>
      </c>
      <c r="D206" s="20"/>
      <c r="E206" s="20"/>
      <c r="F206" s="20"/>
      <c r="G206" s="20" t="s">
        <v>65</v>
      </c>
      <c r="H206" s="20"/>
      <c r="I206" s="20"/>
      <c r="J206" s="20"/>
      <c r="K206" s="20"/>
      <c r="L206" s="20" t="s">
        <v>134</v>
      </c>
      <c r="M206" s="20"/>
      <c r="N206" s="20"/>
      <c r="O206" s="20"/>
      <c r="P206" s="20" t="s">
        <v>65</v>
      </c>
      <c r="Q206" s="20"/>
      <c r="R206" s="20"/>
    </row>
    <row r="207" spans="1:19" hidden="1" outlineLevel="1" x14ac:dyDescent="0.25">
      <c r="C207" s="20" t="s">
        <v>91</v>
      </c>
      <c r="D207" s="20"/>
      <c r="E207" s="20"/>
      <c r="F207" s="20"/>
      <c r="G207" s="20" t="s">
        <v>137</v>
      </c>
      <c r="H207" s="20"/>
      <c r="I207" s="20"/>
      <c r="J207" s="20"/>
      <c r="K207" s="20"/>
      <c r="L207" s="20" t="s">
        <v>136</v>
      </c>
      <c r="M207" s="20"/>
      <c r="N207" s="20"/>
      <c r="O207" s="20"/>
      <c r="P207" s="20" t="s">
        <v>137</v>
      </c>
      <c r="Q207" s="20"/>
      <c r="R207" s="20"/>
    </row>
    <row r="208" spans="1:19" hidden="1" outlineLevel="1" x14ac:dyDescent="0.25">
      <c r="C208" s="20" t="s">
        <v>92</v>
      </c>
      <c r="D208" s="20"/>
      <c r="E208" s="20"/>
      <c r="F208" s="20"/>
      <c r="G208" s="20" t="s">
        <v>111</v>
      </c>
      <c r="H208" s="20"/>
      <c r="I208" s="20"/>
      <c r="J208" s="20"/>
      <c r="K208" s="20"/>
      <c r="L208" s="20" t="s">
        <v>92</v>
      </c>
      <c r="M208" s="20"/>
      <c r="N208" s="20"/>
      <c r="O208" s="20"/>
      <c r="P208" s="20" t="s">
        <v>111</v>
      </c>
      <c r="Q208" s="20"/>
      <c r="R208" s="20"/>
    </row>
    <row r="209" spans="2:18" hidden="1" outlineLevel="1" x14ac:dyDescent="0.25">
      <c r="C209" s="20"/>
      <c r="D209" s="20"/>
      <c r="E209" s="20"/>
      <c r="F209" s="20"/>
      <c r="G209" s="20" t="s">
        <v>92</v>
      </c>
      <c r="H209" s="20"/>
      <c r="I209" s="20"/>
      <c r="J209" s="20"/>
      <c r="K209" s="20"/>
      <c r="L209" s="20"/>
      <c r="M209" s="20"/>
      <c r="N209" s="20"/>
      <c r="O209" s="20"/>
      <c r="P209" s="20"/>
      <c r="Q209" s="20"/>
      <c r="R209" s="20"/>
    </row>
    <row r="210" spans="2:18" hidden="1" outlineLevel="1" x14ac:dyDescent="0.25"/>
    <row r="211" spans="2:18" hidden="1" outlineLevel="1" x14ac:dyDescent="0.25"/>
    <row r="212" spans="2:18" hidden="1" outlineLevel="1" x14ac:dyDescent="0.25">
      <c r="G212" s="634" t="s">
        <v>151</v>
      </c>
      <c r="H212" s="635"/>
      <c r="I212" s="635"/>
      <c r="J212" s="635"/>
      <c r="K212" s="635"/>
      <c r="L212" s="636"/>
    </row>
    <row r="213" spans="2:18" hidden="1" outlineLevel="1" x14ac:dyDescent="0.25"/>
    <row r="214" spans="2:18" hidden="1" outlineLevel="1" x14ac:dyDescent="0.25">
      <c r="C214" s="34" t="s">
        <v>127</v>
      </c>
      <c r="D214" s="39"/>
      <c r="F214" s="634" t="s">
        <v>148</v>
      </c>
      <c r="G214" s="635"/>
      <c r="H214" s="636"/>
      <c r="L214" s="18" t="s">
        <v>149</v>
      </c>
      <c r="M214" s="19"/>
      <c r="P214" s="678" t="s">
        <v>130</v>
      </c>
      <c r="Q214" s="678"/>
      <c r="R214" s="678"/>
    </row>
    <row r="215" spans="2:18" hidden="1" outlineLevel="1" x14ac:dyDescent="0.25">
      <c r="C215" s="20" t="s">
        <v>152</v>
      </c>
      <c r="D215" s="20"/>
      <c r="E215" s="20"/>
      <c r="F215" s="20"/>
      <c r="G215" s="20" t="s">
        <v>131</v>
      </c>
      <c r="H215" s="20"/>
      <c r="I215" s="20"/>
      <c r="J215" s="20"/>
      <c r="K215" s="20"/>
      <c r="L215" s="20" t="s">
        <v>132</v>
      </c>
      <c r="M215" s="20"/>
      <c r="N215" s="20"/>
      <c r="O215" s="20"/>
      <c r="P215" s="21" t="s">
        <v>131</v>
      </c>
      <c r="Q215" s="21"/>
      <c r="R215" s="21"/>
    </row>
    <row r="216" spans="2:18" hidden="1" outlineLevel="1" x14ac:dyDescent="0.25">
      <c r="C216" s="20" t="s">
        <v>153</v>
      </c>
      <c r="D216" s="20"/>
      <c r="E216" s="20"/>
      <c r="F216" s="20"/>
      <c r="G216" s="20" t="s">
        <v>65</v>
      </c>
      <c r="H216" s="20"/>
      <c r="I216" s="20"/>
      <c r="J216" s="20"/>
      <c r="K216" s="20"/>
      <c r="L216" s="20" t="s">
        <v>92</v>
      </c>
      <c r="M216" s="20"/>
      <c r="N216" s="20"/>
      <c r="O216" s="20"/>
      <c r="P216" s="20" t="s">
        <v>65</v>
      </c>
      <c r="Q216" s="20"/>
      <c r="R216" s="20"/>
    </row>
    <row r="217" spans="2:18" hidden="1" outlineLevel="1" x14ac:dyDescent="0.25">
      <c r="C217" s="20" t="s">
        <v>92</v>
      </c>
      <c r="D217" s="20"/>
      <c r="E217" s="20"/>
      <c r="F217" s="20"/>
      <c r="G217" s="20"/>
      <c r="H217" s="20"/>
      <c r="I217" s="20"/>
      <c r="J217" s="20"/>
      <c r="K217" s="20"/>
      <c r="L217" s="20"/>
      <c r="M217" s="20"/>
      <c r="N217" s="20"/>
      <c r="O217" s="20"/>
      <c r="P217" s="20"/>
      <c r="Q217" s="20"/>
      <c r="R217" s="20"/>
    </row>
    <row r="218" spans="2:18" hidden="1" outlineLevel="1" x14ac:dyDescent="0.25">
      <c r="C218" s="37"/>
      <c r="D218" s="37"/>
      <c r="E218" s="37"/>
      <c r="F218" s="37"/>
      <c r="G218" s="37"/>
      <c r="H218" s="37"/>
      <c r="I218" s="37"/>
      <c r="J218" s="37"/>
      <c r="K218" s="37"/>
      <c r="M218" s="37"/>
      <c r="N218" s="37"/>
      <c r="O218" s="37"/>
      <c r="P218" s="37"/>
      <c r="Q218" s="37"/>
      <c r="R218" s="37"/>
    </row>
    <row r="219" spans="2:18" hidden="1" outlineLevel="1" x14ac:dyDescent="0.25">
      <c r="C219" s="37"/>
      <c r="D219" s="37"/>
      <c r="E219" s="37"/>
      <c r="F219" s="37"/>
      <c r="G219" s="37"/>
      <c r="H219" s="37"/>
      <c r="I219" s="37"/>
      <c r="J219" s="37"/>
      <c r="K219" s="37"/>
      <c r="M219" s="37"/>
      <c r="N219" s="37"/>
      <c r="O219" s="37"/>
      <c r="P219" s="37"/>
      <c r="Q219" s="37"/>
      <c r="R219" s="37"/>
    </row>
    <row r="220" spans="2:18" collapsed="1" x14ac:dyDescent="0.25">
      <c r="C220" s="37"/>
      <c r="D220" s="37"/>
      <c r="E220" s="37"/>
      <c r="F220" s="37"/>
      <c r="G220" s="37"/>
      <c r="H220" s="37"/>
      <c r="I220" s="37"/>
      <c r="J220" s="37"/>
      <c r="K220" s="37"/>
      <c r="M220" s="37"/>
      <c r="N220" s="37"/>
      <c r="O220" s="37"/>
      <c r="P220" s="37"/>
      <c r="Q220" s="37"/>
      <c r="R220" s="37"/>
    </row>
    <row r="221" spans="2:18" x14ac:dyDescent="0.25">
      <c r="C221" s="650" t="s">
        <v>282</v>
      </c>
      <c r="D221" s="651"/>
      <c r="E221" s="651"/>
      <c r="F221" s="651"/>
      <c r="G221" s="652"/>
      <c r="H221" s="32"/>
      <c r="I221" s="37"/>
      <c r="J221" s="37"/>
      <c r="K221" s="37"/>
      <c r="M221" s="37"/>
      <c r="N221" s="37"/>
      <c r="O221" s="37"/>
      <c r="P221" s="37"/>
      <c r="Q221" s="37"/>
      <c r="R221" s="37"/>
    </row>
    <row r="222" spans="2:18" x14ac:dyDescent="0.25">
      <c r="B222" s="40"/>
      <c r="C222" s="653"/>
      <c r="D222" s="654"/>
      <c r="E222" s="654"/>
      <c r="F222" s="654"/>
      <c r="G222" s="655"/>
      <c r="H222" s="27"/>
      <c r="I222" s="43"/>
      <c r="J222" s="6"/>
      <c r="K222" s="6"/>
      <c r="L222" s="6"/>
      <c r="M222" s="43"/>
      <c r="N222" s="43"/>
      <c r="O222" s="43"/>
      <c r="P222" s="43"/>
      <c r="Q222" s="43"/>
      <c r="R222" s="44"/>
    </row>
    <row r="223" spans="2:18" x14ac:dyDescent="0.25">
      <c r="B223" s="5"/>
      <c r="C223" s="435"/>
      <c r="D223" s="435"/>
      <c r="E223" s="435"/>
      <c r="F223" s="435"/>
      <c r="G223" s="435"/>
      <c r="I223" s="37"/>
      <c r="M223" s="37"/>
      <c r="N223" s="37"/>
      <c r="O223" s="37"/>
      <c r="P223" s="37"/>
      <c r="Q223" s="37"/>
      <c r="R223" s="45"/>
    </row>
    <row r="224" spans="2:18" x14ac:dyDescent="0.25">
      <c r="B224" s="5"/>
      <c r="C224" s="1" t="s">
        <v>617</v>
      </c>
      <c r="D224" s="435"/>
      <c r="E224" s="435"/>
      <c r="F224" s="435"/>
      <c r="G224" s="435"/>
      <c r="I224" s="37"/>
      <c r="M224" s="37"/>
      <c r="N224" s="37"/>
      <c r="O224" s="37"/>
      <c r="P224" s="37"/>
      <c r="Q224" s="37"/>
      <c r="R224" s="45"/>
    </row>
    <row r="225" spans="2:18" x14ac:dyDescent="0.25">
      <c r="B225" s="5"/>
      <c r="C225" s="1" t="s">
        <v>603</v>
      </c>
      <c r="D225" s="435"/>
      <c r="E225" s="435"/>
      <c r="F225" s="435"/>
      <c r="G225" s="435"/>
      <c r="I225" s="37"/>
      <c r="J225" s="1" t="s">
        <v>605</v>
      </c>
      <c r="M225" s="37"/>
      <c r="N225" s="37"/>
      <c r="O225" s="37"/>
      <c r="P225" s="37"/>
      <c r="Q225" s="37"/>
      <c r="R225" s="45"/>
    </row>
    <row r="226" spans="2:18" x14ac:dyDescent="0.25">
      <c r="B226" s="5"/>
      <c r="C226" s="435"/>
      <c r="D226" s="435"/>
      <c r="E226" s="435"/>
      <c r="F226" s="435"/>
      <c r="G226" s="435"/>
      <c r="I226" s="37"/>
      <c r="M226" s="37"/>
      <c r="N226" s="37"/>
      <c r="O226" s="37"/>
      <c r="P226" s="37"/>
      <c r="Q226" s="37"/>
      <c r="R226" s="45"/>
    </row>
    <row r="227" spans="2:18" x14ac:dyDescent="0.25">
      <c r="B227" s="5"/>
      <c r="C227" s="56" t="s">
        <v>155</v>
      </c>
      <c r="D227" s="420"/>
      <c r="F227" s="25"/>
      <c r="H227" s="37"/>
      <c r="I227" s="37"/>
      <c r="J227" s="679" t="s">
        <v>154</v>
      </c>
      <c r="K227" s="679"/>
      <c r="L227" s="679"/>
      <c r="M227" s="37"/>
      <c r="N227" s="54"/>
      <c r="O227" s="37"/>
      <c r="P227" s="37"/>
      <c r="Q227" s="37"/>
      <c r="R227" s="45"/>
    </row>
    <row r="228" spans="2:18" ht="7.5" customHeight="1" x14ac:dyDescent="0.25">
      <c r="B228" s="5"/>
      <c r="C228" s="37"/>
      <c r="D228" s="37"/>
      <c r="E228" s="53"/>
      <c r="F228" s="54"/>
      <c r="G228" s="54"/>
      <c r="H228" s="37"/>
      <c r="I228" s="37"/>
      <c r="M228" s="37"/>
      <c r="N228" s="54"/>
      <c r="O228" s="37"/>
      <c r="P228" s="37"/>
      <c r="Q228" s="37"/>
      <c r="R228" s="45"/>
    </row>
    <row r="229" spans="2:18" x14ac:dyDescent="0.25">
      <c r="B229" s="5"/>
      <c r="C229" s="307" t="s">
        <v>156</v>
      </c>
      <c r="D229" s="37"/>
      <c r="E229" s="459" t="s">
        <v>185</v>
      </c>
      <c r="F229" s="14"/>
      <c r="G229" s="426">
        <v>1</v>
      </c>
      <c r="I229" s="37"/>
      <c r="J229" s="18" t="s">
        <v>19</v>
      </c>
      <c r="K229" s="47"/>
      <c r="L229" s="48"/>
      <c r="M229" s="37"/>
      <c r="N229" s="454">
        <v>0.6</v>
      </c>
      <c r="O229" s="37"/>
      <c r="P229" s="46" t="s">
        <v>624</v>
      </c>
      <c r="Q229" s="46"/>
      <c r="R229" s="45"/>
    </row>
    <row r="230" spans="2:18" ht="8.25" customHeight="1" x14ac:dyDescent="0.25">
      <c r="B230" s="5"/>
      <c r="C230" s="37"/>
      <c r="D230" s="37"/>
      <c r="E230" s="458"/>
      <c r="F230" s="54"/>
      <c r="G230" s="54"/>
      <c r="I230" s="37"/>
      <c r="J230" s="37"/>
      <c r="K230" s="37"/>
      <c r="M230" s="37"/>
      <c r="N230" s="458"/>
      <c r="O230" s="37"/>
      <c r="P230" s="46"/>
      <c r="Q230" s="46"/>
      <c r="R230" s="45"/>
    </row>
    <row r="231" spans="2:18" x14ac:dyDescent="0.25">
      <c r="B231" s="5"/>
      <c r="C231" s="307" t="s">
        <v>68</v>
      </c>
      <c r="D231" s="37"/>
      <c r="E231" s="459" t="s">
        <v>137</v>
      </c>
      <c r="F231" s="54"/>
      <c r="G231" s="426">
        <v>2</v>
      </c>
      <c r="I231" s="37"/>
      <c r="J231" s="631" t="s">
        <v>159</v>
      </c>
      <c r="K231" s="632"/>
      <c r="L231" s="633"/>
      <c r="M231" s="37"/>
      <c r="N231" s="454">
        <v>0.15</v>
      </c>
      <c r="O231" s="37"/>
      <c r="P231" s="426">
        <v>4</v>
      </c>
      <c r="Q231" s="46"/>
      <c r="R231" s="45"/>
    </row>
    <row r="232" spans="2:18" ht="6.75" customHeight="1" x14ac:dyDescent="0.25">
      <c r="B232" s="5"/>
      <c r="E232" s="53"/>
      <c r="F232" s="53"/>
      <c r="G232" s="53"/>
      <c r="H232" s="37"/>
      <c r="I232" s="37"/>
      <c r="M232" s="37"/>
      <c r="N232" s="458"/>
      <c r="O232" s="37"/>
      <c r="P232" s="46"/>
      <c r="Q232" s="46"/>
      <c r="R232" s="45"/>
    </row>
    <row r="233" spans="2:18" ht="14.4" x14ac:dyDescent="0.3">
      <c r="B233" s="5"/>
      <c r="C233" s="336" t="str">
        <f>+IF(E229="ALCANTARILLA","Ojos/Vanos:","Caract. Secundaria:")</f>
        <v>Caract. Secundaria:</v>
      </c>
      <c r="E233" s="683" t="s">
        <v>621</v>
      </c>
      <c r="F233" s="684"/>
      <c r="G233" s="685"/>
      <c r="H233" s="426">
        <v>3</v>
      </c>
      <c r="I233" s="37"/>
      <c r="J233" s="631" t="s">
        <v>64</v>
      </c>
      <c r="K233" s="632"/>
      <c r="L233" s="633"/>
      <c r="M233" s="37"/>
      <c r="N233" s="459" t="s">
        <v>158</v>
      </c>
      <c r="O233" s="37"/>
      <c r="P233" s="426">
        <v>5</v>
      </c>
      <c r="Q233" s="46"/>
      <c r="R233" s="45"/>
    </row>
    <row r="234" spans="2:18" x14ac:dyDescent="0.25">
      <c r="B234" s="5"/>
      <c r="C234" s="25"/>
      <c r="E234" s="53"/>
      <c r="F234" s="53"/>
      <c r="G234" s="53"/>
      <c r="H234" s="426"/>
      <c r="I234" s="37"/>
      <c r="J234" s="14"/>
      <c r="K234" s="14"/>
      <c r="L234" s="14"/>
      <c r="M234" s="37"/>
      <c r="N234" s="458"/>
      <c r="O234" s="37"/>
      <c r="P234" s="426"/>
      <c r="Q234" s="46"/>
      <c r="R234" s="45"/>
    </row>
    <row r="235" spans="2:18" x14ac:dyDescent="0.25">
      <c r="B235" s="5"/>
      <c r="C235" s="1" t="s">
        <v>606</v>
      </c>
      <c r="E235" s="53"/>
      <c r="F235" s="53"/>
      <c r="G235" s="53"/>
      <c r="H235" s="426"/>
      <c r="I235" s="37"/>
      <c r="J235" s="14"/>
      <c r="K235" s="14"/>
      <c r="L235" s="14"/>
      <c r="M235" s="37"/>
      <c r="N235" s="458"/>
      <c r="O235" s="37"/>
      <c r="P235" s="426"/>
      <c r="Q235" s="46"/>
      <c r="R235" s="45"/>
    </row>
    <row r="236" spans="2:18" x14ac:dyDescent="0.25">
      <c r="B236" s="5"/>
      <c r="C236" s="37"/>
      <c r="D236" s="37"/>
      <c r="E236" s="54"/>
      <c r="F236" s="54"/>
      <c r="G236" s="54"/>
      <c r="H236" s="37"/>
      <c r="I236" s="37"/>
      <c r="J236" s="37"/>
      <c r="K236" s="37"/>
      <c r="M236" s="37"/>
      <c r="N236" s="54"/>
      <c r="Q236" s="46"/>
      <c r="R236" s="45"/>
    </row>
    <row r="237" spans="2:18" ht="14.4" x14ac:dyDescent="0.3">
      <c r="B237" s="5"/>
      <c r="C237" s="56" t="s">
        <v>160</v>
      </c>
      <c r="D237" s="420"/>
      <c r="E237" s="37"/>
      <c r="F237" s="37"/>
      <c r="G237" s="37"/>
      <c r="H237" s="34" t="s">
        <v>161</v>
      </c>
      <c r="I237" s="37"/>
      <c r="J237" s="34" t="s">
        <v>162</v>
      </c>
      <c r="K237" s="37"/>
      <c r="L237"/>
      <c r="M237"/>
      <c r="N237"/>
      <c r="O237"/>
      <c r="P237"/>
      <c r="Q237" s="39"/>
      <c r="R237" s="45"/>
    </row>
    <row r="238" spans="2:18" ht="14.4" x14ac:dyDescent="0.3">
      <c r="B238" s="5"/>
      <c r="C238" s="37"/>
      <c r="D238" s="37"/>
      <c r="E238" s="37"/>
      <c r="F238" s="37"/>
      <c r="G238" s="37"/>
      <c r="H238" s="37"/>
      <c r="I238" s="37"/>
      <c r="K238" s="37"/>
      <c r="L238"/>
      <c r="M238"/>
      <c r="N238"/>
      <c r="O238"/>
      <c r="P238"/>
      <c r="Q238" s="37"/>
      <c r="R238" s="45"/>
    </row>
    <row r="239" spans="2:18" ht="14.4" x14ac:dyDescent="0.3">
      <c r="B239" s="5"/>
      <c r="C239" s="37"/>
      <c r="D239" s="37"/>
      <c r="E239" s="680" t="s">
        <v>156</v>
      </c>
      <c r="F239" s="681"/>
      <c r="G239" s="426">
        <v>6</v>
      </c>
      <c r="H239" s="49"/>
      <c r="I239" s="37"/>
      <c r="J239" s="49"/>
      <c r="K239" s="37"/>
      <c r="L239"/>
      <c r="M239"/>
      <c r="N239"/>
      <c r="O239"/>
      <c r="P239"/>
      <c r="Q239" s="46"/>
      <c r="R239" s="45"/>
    </row>
    <row r="240" spans="2:18" ht="8.25" customHeight="1" x14ac:dyDescent="0.3">
      <c r="B240" s="5"/>
      <c r="C240" s="37"/>
      <c r="D240" s="37"/>
      <c r="E240" s="37"/>
      <c r="F240" s="37"/>
      <c r="G240" s="37"/>
      <c r="H240" s="46"/>
      <c r="I240" s="37"/>
      <c r="J240" s="46"/>
      <c r="K240" s="37"/>
      <c r="L240"/>
      <c r="M240"/>
      <c r="N240"/>
      <c r="O240"/>
      <c r="P240"/>
      <c r="Q240" s="46"/>
      <c r="R240" s="45"/>
    </row>
    <row r="241" spans="2:18" ht="14.4" x14ac:dyDescent="0.3">
      <c r="B241" s="5"/>
      <c r="C241" s="37"/>
      <c r="D241" s="37"/>
      <c r="E241" s="680" t="s">
        <v>64</v>
      </c>
      <c r="F241" s="681"/>
      <c r="G241" s="426">
        <v>7</v>
      </c>
      <c r="H241" s="49"/>
      <c r="I241" s="37"/>
      <c r="J241" s="49"/>
      <c r="K241" s="37"/>
      <c r="L241"/>
      <c r="M241"/>
      <c r="N241"/>
      <c r="O241"/>
      <c r="P241"/>
      <c r="Q241" s="46"/>
      <c r="R241" s="45"/>
    </row>
    <row r="242" spans="2:18" ht="10.5" customHeight="1" x14ac:dyDescent="0.3">
      <c r="B242" s="5"/>
      <c r="C242" s="37"/>
      <c r="D242" s="37"/>
      <c r="E242" s="37"/>
      <c r="F242" s="37"/>
      <c r="G242" s="37"/>
      <c r="H242" s="46"/>
      <c r="I242" s="37"/>
      <c r="J242" s="46"/>
      <c r="K242" s="37"/>
      <c r="L242"/>
      <c r="M242"/>
      <c r="N242"/>
      <c r="O242"/>
      <c r="P242"/>
      <c r="Q242" s="46"/>
      <c r="R242" s="45"/>
    </row>
    <row r="243" spans="2:18" ht="14.4" x14ac:dyDescent="0.3">
      <c r="B243" s="5"/>
      <c r="C243" s="37"/>
      <c r="D243" s="37"/>
      <c r="E243" s="634" t="s">
        <v>165</v>
      </c>
      <c r="F243" s="681"/>
      <c r="G243" s="426">
        <v>8</v>
      </c>
      <c r="H243" s="49"/>
      <c r="I243" s="37"/>
      <c r="J243" s="49"/>
      <c r="K243" s="37"/>
      <c r="L243"/>
      <c r="M243"/>
      <c r="N243"/>
      <c r="O243"/>
      <c r="P243"/>
      <c r="Q243" s="46"/>
      <c r="R243" s="45"/>
    </row>
    <row r="244" spans="2:18" ht="7.5" customHeight="1" x14ac:dyDescent="0.3">
      <c r="B244" s="5"/>
      <c r="C244" s="37"/>
      <c r="D244" s="37"/>
      <c r="E244" s="37"/>
      <c r="F244" s="37"/>
      <c r="G244" s="37"/>
      <c r="H244" s="46"/>
      <c r="I244" s="37"/>
      <c r="J244" s="46"/>
      <c r="K244" s="37"/>
      <c r="L244"/>
      <c r="M244"/>
      <c r="N244"/>
      <c r="O244"/>
      <c r="P244"/>
      <c r="Q244" s="46"/>
      <c r="R244" s="45"/>
    </row>
    <row r="245" spans="2:18" ht="14.4" x14ac:dyDescent="0.3">
      <c r="B245" s="5"/>
      <c r="C245" s="37"/>
      <c r="D245" s="37"/>
      <c r="E245" s="634" t="s">
        <v>166</v>
      </c>
      <c r="F245" s="681"/>
      <c r="G245" s="426">
        <v>9</v>
      </c>
      <c r="H245" s="49"/>
      <c r="I245" s="37"/>
      <c r="J245" s="49"/>
      <c r="K245" s="37"/>
      <c r="L245"/>
      <c r="M245"/>
      <c r="N245"/>
      <c r="O245"/>
      <c r="P245"/>
      <c r="Q245" s="46"/>
      <c r="R245" s="45"/>
    </row>
    <row r="246" spans="2:18" ht="9" customHeight="1" x14ac:dyDescent="0.25">
      <c r="B246" s="5"/>
      <c r="C246" s="37"/>
      <c r="D246" s="37"/>
      <c r="E246" s="37"/>
      <c r="F246" s="37"/>
      <c r="G246" s="37"/>
      <c r="H246" s="46"/>
      <c r="I246" s="37"/>
      <c r="J246" s="37"/>
      <c r="K246" s="37"/>
      <c r="L246" s="46"/>
      <c r="M246" s="37"/>
      <c r="N246" s="37"/>
      <c r="O246" s="37"/>
      <c r="Q246" s="46"/>
      <c r="R246" s="45"/>
    </row>
    <row r="247" spans="2:18" ht="16.5" customHeight="1" x14ac:dyDescent="0.25">
      <c r="B247" s="5"/>
      <c r="C247" s="1" t="s">
        <v>625</v>
      </c>
      <c r="D247" s="37"/>
      <c r="E247" s="46" t="s">
        <v>640</v>
      </c>
      <c r="F247" s="37"/>
      <c r="G247" s="37"/>
      <c r="H247" s="46"/>
      <c r="I247" s="37"/>
      <c r="J247" s="37"/>
      <c r="K247" s="37"/>
      <c r="L247" s="46"/>
      <c r="M247" s="37"/>
      <c r="N247" s="37"/>
      <c r="O247" s="37"/>
      <c r="Q247" s="46"/>
      <c r="R247" s="45"/>
    </row>
    <row r="248" spans="2:18" ht="9" customHeight="1" x14ac:dyDescent="0.3">
      <c r="B248" s="5"/>
      <c r="C248" s="37"/>
      <c r="D248" s="37"/>
      <c r="E248" s="37"/>
      <c r="F248" s="37"/>
      <c r="G248" s="37"/>
      <c r="H248" s="46"/>
      <c r="I248" s="37"/>
      <c r="J248" s="37"/>
      <c r="K248" s="37"/>
      <c r="L248"/>
      <c r="M248"/>
      <c r="N248"/>
      <c r="O248" s="37"/>
      <c r="Q248" s="46"/>
      <c r="R248" s="45"/>
    </row>
    <row r="249" spans="2:18" ht="14.4" x14ac:dyDescent="0.3">
      <c r="B249" s="5"/>
      <c r="C249" s="679" t="s">
        <v>167</v>
      </c>
      <c r="D249" s="437"/>
      <c r="E249" s="680" t="s">
        <v>63</v>
      </c>
      <c r="F249" s="682" t="s">
        <v>68</v>
      </c>
      <c r="G249" s="426">
        <v>10</v>
      </c>
      <c r="H249" s="49" t="s">
        <v>930</v>
      </c>
      <c r="J249" s="49" t="s">
        <v>930</v>
      </c>
      <c r="L249"/>
      <c r="M249"/>
      <c r="N249"/>
      <c r="Q249" s="46"/>
      <c r="R249" s="45"/>
    </row>
    <row r="250" spans="2:18" ht="9" customHeight="1" x14ac:dyDescent="0.3">
      <c r="B250" s="5"/>
      <c r="C250" s="679"/>
      <c r="D250" s="420"/>
      <c r="E250" s="37"/>
      <c r="F250" s="37"/>
      <c r="G250" s="37"/>
      <c r="H250" s="46"/>
      <c r="L250"/>
      <c r="M250"/>
      <c r="N250"/>
      <c r="R250" s="45"/>
    </row>
    <row r="251" spans="2:18" ht="14.4" x14ac:dyDescent="0.3">
      <c r="B251" s="5"/>
      <c r="C251" s="679"/>
      <c r="D251" s="437"/>
      <c r="E251" s="680" t="s">
        <v>68</v>
      </c>
      <c r="F251" s="682" t="s">
        <v>68</v>
      </c>
      <c r="G251" s="426">
        <v>11</v>
      </c>
      <c r="H251" s="49"/>
      <c r="J251" s="49"/>
      <c r="L251"/>
      <c r="M251"/>
      <c r="N251"/>
      <c r="Q251" s="46"/>
      <c r="R251" s="45"/>
    </row>
    <row r="252" spans="2:18" ht="9" customHeight="1" x14ac:dyDescent="0.25">
      <c r="B252" s="5"/>
      <c r="C252" s="420"/>
      <c r="D252" s="420"/>
      <c r="E252" s="39"/>
      <c r="F252" s="39"/>
      <c r="G252" s="37"/>
      <c r="H252" s="46"/>
      <c r="J252" s="46"/>
      <c r="L252" s="46"/>
      <c r="Q252" s="46"/>
      <c r="R252" s="45"/>
    </row>
    <row r="253" spans="2:18" x14ac:dyDescent="0.25">
      <c r="B253" s="5"/>
      <c r="C253" s="1" t="s">
        <v>626</v>
      </c>
      <c r="D253" s="420"/>
      <c r="E253" s="39"/>
      <c r="F253" s="39"/>
      <c r="G253" s="37"/>
      <c r="H253" s="46"/>
      <c r="J253" s="46"/>
      <c r="L253" s="46"/>
      <c r="Q253" s="46"/>
      <c r="R253" s="45"/>
    </row>
    <row r="254" spans="2:18" ht="9" customHeight="1" x14ac:dyDescent="0.25">
      <c r="B254" s="5"/>
      <c r="C254" s="420"/>
      <c r="D254" s="420"/>
      <c r="E254" s="39"/>
      <c r="F254" s="39"/>
      <c r="G254" s="37"/>
      <c r="H254" s="46"/>
      <c r="R254" s="45"/>
    </row>
    <row r="255" spans="2:18" x14ac:dyDescent="0.25">
      <c r="B255" s="5"/>
      <c r="C255" s="679" t="s">
        <v>169</v>
      </c>
      <c r="D255" s="437"/>
      <c r="E255" s="680" t="s">
        <v>63</v>
      </c>
      <c r="F255" s="682" t="s">
        <v>68</v>
      </c>
      <c r="G255" s="426">
        <v>12</v>
      </c>
      <c r="H255" s="49" t="s">
        <v>170</v>
      </c>
      <c r="R255" s="45"/>
    </row>
    <row r="256" spans="2:18" ht="9" customHeight="1" x14ac:dyDescent="0.25">
      <c r="B256" s="5"/>
      <c r="C256" s="679"/>
      <c r="D256" s="420"/>
      <c r="E256" s="37"/>
      <c r="F256" s="37"/>
      <c r="G256" s="37"/>
      <c r="H256" s="46"/>
      <c r="R256" s="45"/>
    </row>
    <row r="257" spans="2:18" x14ac:dyDescent="0.25">
      <c r="B257" s="5"/>
      <c r="C257" s="679"/>
      <c r="D257" s="437"/>
      <c r="E257" s="680" t="s">
        <v>68</v>
      </c>
      <c r="F257" s="682" t="s">
        <v>68</v>
      </c>
      <c r="G257" s="426">
        <v>13</v>
      </c>
      <c r="H257" s="49" t="s">
        <v>171</v>
      </c>
      <c r="M257" s="39"/>
      <c r="N257" s="39"/>
      <c r="O257" s="37"/>
      <c r="P257" s="46"/>
      <c r="Q257" s="46"/>
      <c r="R257" s="45"/>
    </row>
    <row r="258" spans="2:18" x14ac:dyDescent="0.25">
      <c r="B258" s="5"/>
      <c r="C258" s="37"/>
      <c r="D258" s="37"/>
      <c r="E258" s="39"/>
      <c r="F258" s="39"/>
      <c r="G258" s="37"/>
      <c r="H258" s="46"/>
      <c r="M258" s="39"/>
      <c r="N258" s="39"/>
      <c r="O258" s="37"/>
      <c r="P258" s="46"/>
      <c r="Q258" s="46"/>
      <c r="R258" s="45"/>
    </row>
    <row r="259" spans="2:18" x14ac:dyDescent="0.25">
      <c r="B259" s="10"/>
      <c r="C259" s="50"/>
      <c r="D259" s="50"/>
      <c r="E259" s="50"/>
      <c r="F259" s="50"/>
      <c r="G259" s="50"/>
      <c r="H259" s="50"/>
      <c r="I259" s="50"/>
      <c r="J259" s="50"/>
      <c r="K259" s="50"/>
      <c r="L259" s="11"/>
      <c r="M259" s="50"/>
      <c r="N259" s="50"/>
      <c r="O259" s="50"/>
      <c r="P259" s="50"/>
      <c r="Q259" s="50"/>
      <c r="R259" s="51"/>
    </row>
    <row r="260" spans="2:18" x14ac:dyDescent="0.25">
      <c r="C260" s="37"/>
      <c r="D260" s="37"/>
      <c r="E260" s="37"/>
      <c r="F260" s="37"/>
      <c r="G260" s="37"/>
      <c r="H260" s="37"/>
      <c r="I260" s="37"/>
      <c r="J260" s="37"/>
      <c r="K260" s="37"/>
      <c r="M260" s="37"/>
      <c r="N260" s="37"/>
      <c r="O260" s="37"/>
      <c r="P260" s="37"/>
      <c r="Q260" s="37"/>
      <c r="R260" s="37"/>
    </row>
    <row r="261" spans="2:18" x14ac:dyDescent="0.25">
      <c r="C261" s="37"/>
      <c r="D261" s="37"/>
      <c r="E261" s="37"/>
      <c r="F261" s="37"/>
      <c r="G261" s="37"/>
      <c r="H261" s="37"/>
      <c r="I261" s="37"/>
      <c r="J261" s="37"/>
      <c r="K261" s="37"/>
      <c r="M261" s="37"/>
      <c r="N261" s="37"/>
      <c r="O261" s="37"/>
      <c r="P261" s="37"/>
      <c r="Q261" s="37"/>
      <c r="R261" s="37"/>
    </row>
    <row r="262" spans="2:18" x14ac:dyDescent="0.25">
      <c r="C262" s="650" t="s">
        <v>285</v>
      </c>
      <c r="D262" s="651"/>
      <c r="E262" s="651"/>
      <c r="F262" s="651"/>
      <c r="G262" s="652"/>
      <c r="H262" s="37"/>
      <c r="I262" s="37"/>
      <c r="J262" s="37"/>
      <c r="K262" s="37"/>
      <c r="M262" s="37"/>
      <c r="N262" s="37"/>
      <c r="O262" s="37"/>
      <c r="P262" s="37"/>
      <c r="Q262" s="37"/>
      <c r="R262" s="37"/>
    </row>
    <row r="263" spans="2:18" x14ac:dyDescent="0.25">
      <c r="B263" s="13"/>
      <c r="C263" s="653"/>
      <c r="D263" s="654"/>
      <c r="E263" s="654"/>
      <c r="F263" s="654"/>
      <c r="G263" s="655"/>
      <c r="H263" s="43"/>
      <c r="I263" s="43"/>
      <c r="J263" s="43"/>
      <c r="K263" s="43"/>
      <c r="L263" s="6"/>
      <c r="M263" s="43"/>
      <c r="N263" s="43"/>
      <c r="O263" s="43"/>
      <c r="P263" s="43"/>
      <c r="Q263" s="43"/>
      <c r="R263" s="44"/>
    </row>
    <row r="264" spans="2:18" x14ac:dyDescent="0.25">
      <c r="B264" s="5"/>
      <c r="C264" s="37"/>
      <c r="D264" s="37"/>
      <c r="E264" s="37"/>
      <c r="F264" s="37"/>
      <c r="G264" s="54"/>
      <c r="H264" s="54"/>
      <c r="I264" s="37"/>
      <c r="J264" s="37"/>
      <c r="K264" s="37"/>
      <c r="M264" s="37"/>
      <c r="N264" s="54"/>
      <c r="O264" s="54"/>
      <c r="P264" s="54"/>
      <c r="Q264" s="37"/>
      <c r="R264" s="45"/>
    </row>
    <row r="265" spans="2:18" x14ac:dyDescent="0.25">
      <c r="B265" s="5"/>
      <c r="C265" s="1" t="s">
        <v>627</v>
      </c>
      <c r="D265" s="37"/>
      <c r="E265" s="37"/>
      <c r="F265" s="37"/>
      <c r="G265" s="54"/>
      <c r="H265" s="54"/>
      <c r="I265" s="37"/>
      <c r="J265" s="37"/>
      <c r="K265" s="37"/>
      <c r="M265" s="37"/>
      <c r="N265" s="54"/>
      <c r="O265" s="54"/>
      <c r="P265" s="54"/>
      <c r="Q265" s="37"/>
      <c r="R265" s="45"/>
    </row>
    <row r="266" spans="2:18" x14ac:dyDescent="0.25">
      <c r="B266" s="5"/>
      <c r="C266" s="37"/>
      <c r="D266" s="37"/>
      <c r="E266" s="37"/>
      <c r="F266" s="37"/>
      <c r="G266" s="631" t="s">
        <v>172</v>
      </c>
      <c r="H266" s="633"/>
      <c r="I266" s="37"/>
      <c r="J266" s="37"/>
      <c r="K266" s="37"/>
      <c r="N266" s="631" t="s">
        <v>173</v>
      </c>
      <c r="O266" s="632"/>
      <c r="P266" s="633"/>
      <c r="Q266" s="39"/>
      <c r="R266" s="45"/>
    </row>
    <row r="267" spans="2:18" ht="5.25" customHeight="1" x14ac:dyDescent="0.25">
      <c r="B267" s="5"/>
      <c r="C267" s="37"/>
      <c r="D267" s="37"/>
      <c r="E267" s="37"/>
      <c r="F267" s="37"/>
      <c r="G267" s="14"/>
      <c r="H267" s="14"/>
      <c r="I267" s="37"/>
      <c r="J267" s="37"/>
      <c r="K267" s="37"/>
      <c r="M267" s="37"/>
      <c r="N267" s="54"/>
      <c r="O267" s="54"/>
      <c r="P267" s="54"/>
      <c r="Q267" s="37"/>
      <c r="R267" s="45"/>
    </row>
    <row r="268" spans="2:18" x14ac:dyDescent="0.25">
      <c r="B268" s="5"/>
      <c r="C268" s="634" t="s">
        <v>174</v>
      </c>
      <c r="D268" s="635"/>
      <c r="E268" s="636" t="s">
        <v>68</v>
      </c>
      <c r="F268" s="37"/>
      <c r="G268" s="454"/>
      <c r="H268" s="426">
        <v>1</v>
      </c>
      <c r="I268" s="37"/>
      <c r="J268" s="37"/>
      <c r="K268" s="37"/>
      <c r="M268" s="37"/>
      <c r="N268" s="454"/>
      <c r="O268" s="54"/>
      <c r="P268" s="426">
        <v>2</v>
      </c>
      <c r="Q268" s="46"/>
      <c r="R268" s="45"/>
    </row>
    <row r="269" spans="2:18" x14ac:dyDescent="0.25">
      <c r="B269" s="5"/>
      <c r="C269" s="37"/>
      <c r="D269" s="37"/>
      <c r="E269" s="37"/>
      <c r="F269" s="37"/>
      <c r="G269" s="460"/>
      <c r="H269" s="54"/>
      <c r="I269" s="37"/>
      <c r="J269" s="37"/>
      <c r="K269" s="37"/>
      <c r="M269" s="37"/>
      <c r="N269" s="460"/>
      <c r="O269" s="54"/>
      <c r="P269" s="54"/>
      <c r="Q269" s="37"/>
      <c r="R269" s="45"/>
    </row>
    <row r="270" spans="2:18" x14ac:dyDescent="0.25">
      <c r="B270" s="5"/>
      <c r="C270" s="680" t="s">
        <v>628</v>
      </c>
      <c r="D270" s="686"/>
      <c r="E270" s="682" t="s">
        <v>68</v>
      </c>
      <c r="F270" s="37"/>
      <c r="G270" s="461" t="s">
        <v>495</v>
      </c>
      <c r="H270" s="454" t="s">
        <v>913</v>
      </c>
      <c r="I270" s="46"/>
      <c r="J270" s="426">
        <v>3</v>
      </c>
      <c r="K270" s="37"/>
      <c r="M270" s="37"/>
      <c r="N270" s="462" t="s">
        <v>495</v>
      </c>
      <c r="O270" s="464"/>
      <c r="P270" s="454" t="s">
        <v>914</v>
      </c>
      <c r="Q270" s="3"/>
      <c r="R270" s="427">
        <v>4</v>
      </c>
    </row>
    <row r="271" spans="2:18" x14ac:dyDescent="0.25">
      <c r="B271" s="5"/>
      <c r="C271" s="37"/>
      <c r="D271" s="37"/>
      <c r="E271" s="37"/>
      <c r="F271" s="37"/>
      <c r="G271" s="460"/>
      <c r="H271" s="54"/>
      <c r="I271" s="37"/>
      <c r="J271" s="37"/>
      <c r="K271" s="37"/>
      <c r="M271" s="37"/>
      <c r="N271" s="460"/>
      <c r="O271" s="54"/>
      <c r="P271" s="54"/>
      <c r="Q271" s="37"/>
      <c r="R271" s="45"/>
    </row>
    <row r="272" spans="2:18" x14ac:dyDescent="0.25">
      <c r="B272" s="5"/>
      <c r="C272" s="634" t="s">
        <v>17</v>
      </c>
      <c r="D272" s="635"/>
      <c r="E272" s="636" t="s">
        <v>68</v>
      </c>
      <c r="F272" s="37"/>
      <c r="G272" s="454">
        <v>3.6</v>
      </c>
      <c r="H272" s="426">
        <v>5</v>
      </c>
      <c r="I272" s="37"/>
      <c r="J272" s="37"/>
      <c r="K272" s="37"/>
      <c r="M272" s="37"/>
      <c r="N272" s="454">
        <v>3.7</v>
      </c>
      <c r="O272" s="54"/>
      <c r="P272" s="426">
        <v>6</v>
      </c>
      <c r="Q272" s="46"/>
      <c r="R272" s="45"/>
    </row>
    <row r="273" spans="2:21" x14ac:dyDescent="0.25">
      <c r="B273" s="5"/>
      <c r="C273" s="37"/>
      <c r="D273" s="37"/>
      <c r="E273" s="37"/>
      <c r="F273" s="37"/>
      <c r="G273" s="460"/>
      <c r="H273" s="54"/>
      <c r="I273" s="37"/>
      <c r="J273" s="37"/>
      <c r="K273" s="37"/>
      <c r="M273" s="37"/>
      <c r="N273" s="460"/>
      <c r="O273" s="54"/>
      <c r="P273" s="54"/>
      <c r="Q273" s="37"/>
      <c r="R273" s="45"/>
    </row>
    <row r="274" spans="2:21" x14ac:dyDescent="0.25">
      <c r="B274" s="5"/>
      <c r="C274" s="634" t="s">
        <v>176</v>
      </c>
      <c r="D274" s="635"/>
      <c r="E274" s="636" t="s">
        <v>68</v>
      </c>
      <c r="F274" s="37"/>
      <c r="G274" s="454"/>
      <c r="H274" s="426">
        <v>7</v>
      </c>
      <c r="I274" s="37"/>
      <c r="J274" s="37"/>
      <c r="K274" s="37"/>
      <c r="M274" s="37"/>
      <c r="N274" s="454"/>
      <c r="O274" s="54"/>
      <c r="P274" s="426">
        <v>8</v>
      </c>
      <c r="Q274" s="46"/>
      <c r="R274" s="45"/>
    </row>
    <row r="275" spans="2:21" x14ac:dyDescent="0.25">
      <c r="B275" s="5"/>
      <c r="C275" s="37"/>
      <c r="D275" s="37"/>
      <c r="E275" s="37"/>
      <c r="F275" s="37"/>
      <c r="G275" s="460"/>
      <c r="H275" s="54"/>
      <c r="I275" s="37"/>
      <c r="J275" s="37"/>
      <c r="K275" s="37"/>
      <c r="M275" s="37"/>
      <c r="N275" s="460"/>
      <c r="O275" s="54"/>
      <c r="P275" s="54"/>
      <c r="Q275" s="37"/>
      <c r="R275" s="45"/>
    </row>
    <row r="276" spans="2:21" x14ac:dyDescent="0.25">
      <c r="B276" s="5"/>
      <c r="C276" s="680" t="s">
        <v>177</v>
      </c>
      <c r="D276" s="686"/>
      <c r="E276" s="682" t="s">
        <v>68</v>
      </c>
      <c r="F276" s="37"/>
      <c r="G276" s="462" t="s">
        <v>496</v>
      </c>
      <c r="H276" s="426">
        <v>9</v>
      </c>
      <c r="I276" s="37"/>
      <c r="J276" s="37"/>
      <c r="K276" s="37"/>
      <c r="M276" s="37"/>
      <c r="N276" s="462" t="s">
        <v>497</v>
      </c>
      <c r="O276" s="54"/>
      <c r="P276" s="426">
        <v>10</v>
      </c>
      <c r="Q276" s="37"/>
      <c r="R276" s="45"/>
    </row>
    <row r="277" spans="2:21" x14ac:dyDescent="0.25">
      <c r="B277" s="5"/>
      <c r="C277" s="37"/>
      <c r="D277" s="37"/>
      <c r="E277" s="37"/>
      <c r="F277" s="37"/>
      <c r="G277" s="460"/>
      <c r="H277" s="54"/>
      <c r="I277" s="37"/>
      <c r="J277" s="37"/>
      <c r="K277" s="37"/>
      <c r="M277" s="37"/>
      <c r="N277" s="460"/>
      <c r="O277" s="54"/>
      <c r="P277" s="54"/>
      <c r="Q277" s="37"/>
      <c r="R277" s="45"/>
    </row>
    <row r="278" spans="2:21" x14ac:dyDescent="0.25">
      <c r="B278" s="5"/>
      <c r="C278" s="680" t="s">
        <v>178</v>
      </c>
      <c r="D278" s="686"/>
      <c r="E278" s="682" t="s">
        <v>68</v>
      </c>
      <c r="F278" s="37"/>
      <c r="G278" s="462" t="s">
        <v>207</v>
      </c>
      <c r="H278" s="426">
        <v>11</v>
      </c>
      <c r="I278" s="37"/>
      <c r="J278" s="37"/>
      <c r="K278" s="37"/>
      <c r="M278" s="37"/>
      <c r="N278" s="462" t="s">
        <v>207</v>
      </c>
      <c r="O278" s="54"/>
      <c r="P278" s="426">
        <v>12</v>
      </c>
      <c r="Q278" s="37"/>
      <c r="R278" s="45"/>
    </row>
    <row r="279" spans="2:21" x14ac:dyDescent="0.25">
      <c r="B279" s="10"/>
      <c r="C279" s="50"/>
      <c r="D279" s="50"/>
      <c r="E279" s="50"/>
      <c r="F279" s="50"/>
      <c r="G279" s="463"/>
      <c r="H279" s="463"/>
      <c r="I279" s="50"/>
      <c r="J279" s="50"/>
      <c r="K279" s="50"/>
      <c r="L279" s="11"/>
      <c r="M279" s="50"/>
      <c r="N279" s="463"/>
      <c r="O279" s="463"/>
      <c r="P279" s="463"/>
      <c r="Q279" s="50"/>
      <c r="R279" s="51"/>
    </row>
    <row r="280" spans="2:21" x14ac:dyDescent="0.25">
      <c r="C280" s="46" t="str">
        <f>+C47</f>
        <v>Evaluación : Ing. Martín Pichón</v>
      </c>
      <c r="D280" s="37"/>
      <c r="E280" s="37"/>
      <c r="F280" s="37"/>
      <c r="G280" s="37"/>
      <c r="H280" s="37"/>
      <c r="I280" s="37"/>
      <c r="J280" s="37"/>
      <c r="K280" s="37"/>
      <c r="M280" s="37"/>
      <c r="N280" s="54"/>
      <c r="O280" s="54"/>
      <c r="P280" s="54"/>
      <c r="Q280" s="37"/>
      <c r="R280" s="37"/>
    </row>
    <row r="281" spans="2:21" hidden="1" outlineLevel="1" x14ac:dyDescent="0.25">
      <c r="C281" s="34" t="s">
        <v>180</v>
      </c>
      <c r="D281" s="39"/>
      <c r="E281" s="37"/>
      <c r="F281" s="634" t="s">
        <v>181</v>
      </c>
      <c r="G281" s="636"/>
      <c r="I281" s="634" t="s">
        <v>182</v>
      </c>
      <c r="J281" s="636"/>
      <c r="K281" s="39"/>
      <c r="M281" s="37"/>
      <c r="N281" s="34" t="s">
        <v>183</v>
      </c>
      <c r="O281" s="39"/>
      <c r="P281" s="37"/>
      <c r="Q281" s="37"/>
      <c r="R281" s="34" t="s">
        <v>184</v>
      </c>
      <c r="U281" s="34" t="s">
        <v>618</v>
      </c>
    </row>
    <row r="282" spans="2:21" hidden="1" outlineLevel="1" x14ac:dyDescent="0.25">
      <c r="C282" s="20" t="s">
        <v>185</v>
      </c>
      <c r="D282" s="20"/>
      <c r="E282" s="20"/>
      <c r="F282" s="20"/>
      <c r="G282" s="20" t="s">
        <v>158</v>
      </c>
      <c r="H282" s="20"/>
      <c r="I282" s="20"/>
      <c r="J282" s="20" t="s">
        <v>158</v>
      </c>
      <c r="K282" s="20"/>
      <c r="L282" s="20"/>
      <c r="M282" s="20"/>
      <c r="N282" s="20" t="s">
        <v>163</v>
      </c>
      <c r="O282" s="20"/>
      <c r="P282" s="20"/>
      <c r="Q282" s="20"/>
      <c r="R282" s="20" t="s">
        <v>137</v>
      </c>
      <c r="U282" s="20" t="s">
        <v>619</v>
      </c>
    </row>
    <row r="283" spans="2:21" hidden="1" outlineLevel="1" x14ac:dyDescent="0.25">
      <c r="C283" s="20" t="s">
        <v>157</v>
      </c>
      <c r="D283" s="20"/>
      <c r="E283" s="20"/>
      <c r="F283" s="20"/>
      <c r="G283" s="20" t="s">
        <v>137</v>
      </c>
      <c r="H283" s="20"/>
      <c r="I283" s="20"/>
      <c r="J283" s="20" t="s">
        <v>137</v>
      </c>
      <c r="K283" s="20"/>
      <c r="L283" s="20"/>
      <c r="M283" s="20"/>
      <c r="N283" s="20" t="s">
        <v>186</v>
      </c>
      <c r="O283" s="20"/>
      <c r="P283" s="20"/>
      <c r="Q283" s="20"/>
      <c r="R283" s="20" t="s">
        <v>164</v>
      </c>
      <c r="U283" s="20" t="s">
        <v>620</v>
      </c>
    </row>
    <row r="284" spans="2:21" hidden="1" outlineLevel="1" x14ac:dyDescent="0.25">
      <c r="C284" s="20" t="s">
        <v>187</v>
      </c>
      <c r="D284" s="20"/>
      <c r="E284" s="20"/>
      <c r="F284" s="20"/>
      <c r="G284" s="20" t="s">
        <v>111</v>
      </c>
      <c r="H284" s="20"/>
      <c r="I284" s="20"/>
      <c r="J284" s="20" t="s">
        <v>111</v>
      </c>
      <c r="K284" s="20"/>
      <c r="L284" s="20"/>
      <c r="M284" s="20"/>
      <c r="N284" s="20" t="s">
        <v>188</v>
      </c>
      <c r="O284" s="20"/>
      <c r="P284" s="20"/>
      <c r="Q284" s="20"/>
      <c r="R284" s="20" t="s">
        <v>158</v>
      </c>
      <c r="U284" s="20" t="s">
        <v>621</v>
      </c>
    </row>
    <row r="285" spans="2:21" hidden="1" outlineLevel="1" x14ac:dyDescent="0.25">
      <c r="C285" s="20" t="s">
        <v>189</v>
      </c>
      <c r="D285" s="20"/>
      <c r="E285" s="20"/>
      <c r="F285" s="20"/>
      <c r="G285" s="20" t="s">
        <v>190</v>
      </c>
      <c r="H285" s="20"/>
      <c r="I285" s="20"/>
      <c r="J285" s="20"/>
      <c r="K285" s="20"/>
      <c r="L285" s="20"/>
      <c r="M285" s="20"/>
      <c r="N285" s="20" t="s">
        <v>191</v>
      </c>
      <c r="O285" s="20"/>
      <c r="P285" s="20"/>
      <c r="Q285" s="20"/>
      <c r="R285" s="20" t="s">
        <v>192</v>
      </c>
      <c r="U285" s="20" t="s">
        <v>622</v>
      </c>
    </row>
    <row r="286" spans="2:21" hidden="1" outlineLevel="1" x14ac:dyDescent="0.25">
      <c r="C286" s="20"/>
      <c r="D286" s="20"/>
      <c r="E286" s="20"/>
      <c r="F286" s="20"/>
      <c r="G286" s="20"/>
      <c r="H286" s="20"/>
      <c r="I286" s="20"/>
      <c r="J286" s="20"/>
      <c r="K286" s="20"/>
      <c r="L286" s="20"/>
      <c r="M286" s="20"/>
      <c r="N286" s="20" t="s">
        <v>193</v>
      </c>
      <c r="O286" s="20"/>
      <c r="P286" s="20"/>
      <c r="Q286" s="20"/>
      <c r="R286" s="20"/>
      <c r="U286" s="20" t="s">
        <v>623</v>
      </c>
    </row>
    <row r="287" spans="2:21" hidden="1" outlineLevel="1" x14ac:dyDescent="0.25">
      <c r="C287" s="20"/>
      <c r="D287" s="20"/>
      <c r="E287" s="20"/>
      <c r="F287" s="20"/>
      <c r="G287" s="20"/>
      <c r="H287" s="20"/>
      <c r="I287" s="20"/>
      <c r="J287" s="20"/>
      <c r="K287" s="20"/>
      <c r="L287" s="20"/>
      <c r="M287" s="20"/>
      <c r="N287" s="20" t="s">
        <v>189</v>
      </c>
      <c r="O287" s="20"/>
      <c r="P287" s="20"/>
      <c r="Q287" s="20"/>
      <c r="R287" s="20"/>
      <c r="U287" s="20" t="s">
        <v>623</v>
      </c>
    </row>
    <row r="288" spans="2:21" hidden="1" outlineLevel="1" x14ac:dyDescent="0.25"/>
    <row r="289" spans="2:21" hidden="1" outlineLevel="1" x14ac:dyDescent="0.25">
      <c r="C289" s="34" t="s">
        <v>194</v>
      </c>
      <c r="D289" s="39"/>
      <c r="F289" s="634" t="s">
        <v>195</v>
      </c>
      <c r="G289" s="636"/>
      <c r="I289" s="634" t="s">
        <v>196</v>
      </c>
      <c r="J289" s="636"/>
      <c r="K289" s="39"/>
      <c r="M289" s="634" t="s">
        <v>197</v>
      </c>
      <c r="N289" s="636"/>
      <c r="O289" s="39"/>
      <c r="R289" s="634" t="s">
        <v>33</v>
      </c>
      <c r="S289" s="636"/>
    </row>
    <row r="290" spans="2:21" hidden="1" outlineLevel="1" x14ac:dyDescent="0.25">
      <c r="C290" s="20" t="s">
        <v>198</v>
      </c>
      <c r="D290" s="20"/>
      <c r="E290" s="20"/>
      <c r="F290" s="20" t="s">
        <v>124</v>
      </c>
      <c r="G290" s="20"/>
      <c r="H290" s="20"/>
      <c r="I290" s="20" t="s">
        <v>170</v>
      </c>
      <c r="J290" s="20"/>
      <c r="K290" s="20"/>
      <c r="L290" s="20"/>
      <c r="M290" s="20" t="s">
        <v>137</v>
      </c>
      <c r="N290" s="20"/>
      <c r="O290" s="20"/>
      <c r="P290" s="20"/>
      <c r="Q290" s="20"/>
      <c r="R290" s="20" t="s">
        <v>175</v>
      </c>
    </row>
    <row r="291" spans="2:21" hidden="1" outlineLevel="1" x14ac:dyDescent="0.25">
      <c r="C291" s="20" t="s">
        <v>199</v>
      </c>
      <c r="D291" s="20"/>
      <c r="E291" s="20"/>
      <c r="F291" s="20" t="s">
        <v>200</v>
      </c>
      <c r="G291" s="20"/>
      <c r="H291" s="20"/>
      <c r="I291" s="20" t="s">
        <v>201</v>
      </c>
      <c r="J291" s="20"/>
      <c r="K291" s="20"/>
      <c r="L291" s="20"/>
      <c r="M291" s="20" t="s">
        <v>158</v>
      </c>
      <c r="N291" s="20"/>
      <c r="O291" s="20"/>
      <c r="P291" s="20"/>
      <c r="Q291" s="20"/>
      <c r="R291" s="20" t="s">
        <v>202</v>
      </c>
    </row>
    <row r="292" spans="2:21" hidden="1" outlineLevel="1" x14ac:dyDescent="0.25">
      <c r="C292" s="20" t="s">
        <v>168</v>
      </c>
      <c r="D292" s="20"/>
      <c r="E292" s="20"/>
      <c r="F292" s="20" t="s">
        <v>203</v>
      </c>
      <c r="G292" s="20"/>
      <c r="H292" s="20"/>
      <c r="I292" s="20" t="s">
        <v>92</v>
      </c>
      <c r="J292" s="20"/>
      <c r="K292" s="20"/>
      <c r="L292" s="20"/>
      <c r="M292" s="20" t="s">
        <v>171</v>
      </c>
      <c r="N292" s="20"/>
      <c r="O292" s="20"/>
      <c r="P292" s="20"/>
      <c r="Q292" s="20"/>
      <c r="R292" s="20" t="s">
        <v>204</v>
      </c>
    </row>
    <row r="293" spans="2:21" hidden="1" outlineLevel="1" x14ac:dyDescent="0.25">
      <c r="C293" s="20" t="s">
        <v>205</v>
      </c>
      <c r="D293" s="20"/>
      <c r="E293" s="20"/>
      <c r="F293" s="20" t="s">
        <v>92</v>
      </c>
      <c r="G293" s="20"/>
      <c r="H293" s="20"/>
      <c r="I293" s="20" t="s">
        <v>580</v>
      </c>
      <c r="J293" s="20"/>
      <c r="K293" s="20"/>
      <c r="L293" s="20"/>
      <c r="M293" s="20" t="s">
        <v>92</v>
      </c>
      <c r="N293" s="20"/>
      <c r="O293" s="20"/>
      <c r="P293" s="20"/>
      <c r="Q293" s="20"/>
      <c r="R293" s="20" t="s">
        <v>495</v>
      </c>
    </row>
    <row r="294" spans="2:21" hidden="1" outlineLevel="1" x14ac:dyDescent="0.25"/>
    <row r="295" spans="2:21" hidden="1" outlineLevel="1" x14ac:dyDescent="0.25">
      <c r="C295" s="34" t="s">
        <v>206</v>
      </c>
      <c r="D295" s="39"/>
      <c r="G295" s="634" t="s">
        <v>177</v>
      </c>
      <c r="H295" s="636" t="s">
        <v>68</v>
      </c>
    </row>
    <row r="296" spans="2:21" hidden="1" outlineLevel="1" x14ac:dyDescent="0.25">
      <c r="C296" s="20" t="s">
        <v>179</v>
      </c>
      <c r="D296" s="20"/>
      <c r="G296" s="1" t="s">
        <v>496</v>
      </c>
    </row>
    <row r="297" spans="2:21" hidden="1" outlineLevel="1" x14ac:dyDescent="0.25">
      <c r="C297" s="20" t="s">
        <v>207</v>
      </c>
      <c r="D297" s="20"/>
      <c r="G297" s="1" t="s">
        <v>497</v>
      </c>
    </row>
    <row r="298" spans="2:21" hidden="1" outlineLevel="1" x14ac:dyDescent="0.25">
      <c r="C298" s="20" t="s">
        <v>208</v>
      </c>
      <c r="D298" s="20"/>
    </row>
    <row r="299" spans="2:21" hidden="1" outlineLevel="1" x14ac:dyDescent="0.25"/>
    <row r="300" spans="2:21" collapsed="1" x14ac:dyDescent="0.25"/>
    <row r="301" spans="2:21" x14ac:dyDescent="0.25">
      <c r="C301" s="650" t="s">
        <v>292</v>
      </c>
      <c r="D301" s="651"/>
      <c r="E301" s="651"/>
      <c r="F301" s="651"/>
      <c r="G301" s="652"/>
      <c r="H301" s="32"/>
    </row>
    <row r="302" spans="2:21" x14ac:dyDescent="0.25">
      <c r="B302" s="40"/>
      <c r="C302" s="653"/>
      <c r="D302" s="654"/>
      <c r="E302" s="654"/>
      <c r="F302" s="654"/>
      <c r="G302" s="655"/>
      <c r="H302" s="27"/>
      <c r="I302" s="6"/>
      <c r="J302" s="6"/>
      <c r="K302" s="6"/>
      <c r="L302" s="6"/>
      <c r="M302" s="6"/>
      <c r="N302" s="6"/>
      <c r="O302" s="6"/>
      <c r="P302" s="6"/>
      <c r="Q302" s="6"/>
      <c r="R302" s="7"/>
    </row>
    <row r="303" spans="2:21" x14ac:dyDescent="0.25">
      <c r="B303" s="5"/>
      <c r="R303" s="8"/>
      <c r="U303" s="1" t="s">
        <v>496</v>
      </c>
    </row>
    <row r="304" spans="2:21" x14ac:dyDescent="0.25">
      <c r="B304" s="5"/>
      <c r="C304" s="1" t="s">
        <v>629</v>
      </c>
      <c r="R304" s="8"/>
    </row>
    <row r="305" spans="2:21" x14ac:dyDescent="0.25">
      <c r="B305" s="5"/>
      <c r="G305" s="634" t="s">
        <v>172</v>
      </c>
      <c r="H305" s="636"/>
      <c r="L305" s="634" t="s">
        <v>173</v>
      </c>
      <c r="M305" s="635"/>
      <c r="N305" s="636"/>
      <c r="O305" s="39"/>
      <c r="R305" s="8"/>
      <c r="U305" s="1" t="s">
        <v>497</v>
      </c>
    </row>
    <row r="306" spans="2:21" ht="10.5" customHeight="1" x14ac:dyDescent="0.25">
      <c r="B306" s="5"/>
      <c r="G306" s="39"/>
      <c r="H306" s="39"/>
      <c r="L306" s="39"/>
      <c r="M306" s="39"/>
      <c r="N306" s="39"/>
      <c r="O306" s="39"/>
      <c r="R306" s="8"/>
    </row>
    <row r="307" spans="2:21" x14ac:dyDescent="0.25">
      <c r="B307" s="5"/>
      <c r="C307" s="309" t="s">
        <v>209</v>
      </c>
      <c r="D307" s="39"/>
      <c r="G307" s="562" t="s">
        <v>496</v>
      </c>
      <c r="H307" s="1" t="str">
        <f>+IF(G307="Si","Cartel de puente","")</f>
        <v>Cartel de puente</v>
      </c>
      <c r="J307" s="426">
        <v>1</v>
      </c>
      <c r="L307" s="562" t="s">
        <v>497</v>
      </c>
      <c r="N307" s="1" t="str">
        <f>+IF(L307="Si","Cartel de puente","")</f>
        <v/>
      </c>
      <c r="P307" s="426">
        <v>2</v>
      </c>
      <c r="R307" s="8"/>
    </row>
    <row r="308" spans="2:21" ht="9" customHeight="1" x14ac:dyDescent="0.25">
      <c r="B308" s="5"/>
      <c r="G308" s="563"/>
      <c r="L308" s="563"/>
      <c r="R308" s="8"/>
    </row>
    <row r="309" spans="2:21" x14ac:dyDescent="0.25">
      <c r="B309" s="5"/>
      <c r="C309" s="309" t="s">
        <v>211</v>
      </c>
      <c r="D309" s="39"/>
      <c r="G309" s="562" t="s">
        <v>497</v>
      </c>
      <c r="H309" s="438"/>
      <c r="J309" s="426">
        <v>3</v>
      </c>
      <c r="L309" s="562" t="s">
        <v>497</v>
      </c>
      <c r="N309" s="438"/>
      <c r="P309" s="426">
        <v>4</v>
      </c>
      <c r="R309" s="8"/>
    </row>
    <row r="310" spans="2:21" ht="9" customHeight="1" x14ac:dyDescent="0.25">
      <c r="B310" s="5"/>
      <c r="G310" s="563"/>
      <c r="L310" s="563"/>
      <c r="R310" s="8"/>
    </row>
    <row r="311" spans="2:21" x14ac:dyDescent="0.25">
      <c r="B311" s="5"/>
      <c r="C311" s="309" t="s">
        <v>212</v>
      </c>
      <c r="D311" s="39"/>
      <c r="G311" s="562" t="s">
        <v>497</v>
      </c>
      <c r="H311" s="439"/>
      <c r="J311" s="426">
        <v>5</v>
      </c>
      <c r="L311" s="562" t="s">
        <v>497</v>
      </c>
      <c r="N311" s="439"/>
      <c r="P311" s="426">
        <v>6</v>
      </c>
      <c r="R311" s="8"/>
    </row>
    <row r="312" spans="2:21" ht="9" customHeight="1" x14ac:dyDescent="0.25">
      <c r="B312" s="5"/>
      <c r="G312" s="563"/>
      <c r="L312" s="563"/>
      <c r="R312" s="8"/>
    </row>
    <row r="313" spans="2:21" ht="14.4" x14ac:dyDescent="0.3">
      <c r="B313" s="5"/>
      <c r="C313" s="309" t="s">
        <v>213</v>
      </c>
      <c r="D313" s="39"/>
      <c r="G313" s="562" t="s">
        <v>497</v>
      </c>
      <c r="H313" s="440" t="str">
        <f>+IF(G313="Si",MarcasdeCalzada,"")</f>
        <v/>
      </c>
      <c r="J313" s="426">
        <v>7</v>
      </c>
      <c r="L313" s="562" t="s">
        <v>497</v>
      </c>
      <c r="N313" s="440" t="str">
        <f>+IF(L313="Si",MarcasdeCalzada,"")</f>
        <v/>
      </c>
      <c r="P313" s="426">
        <v>8</v>
      </c>
      <c r="R313" s="8"/>
    </row>
    <row r="314" spans="2:21" x14ac:dyDescent="0.25">
      <c r="B314" s="10"/>
      <c r="C314" s="11"/>
      <c r="D314" s="11"/>
      <c r="E314" s="11"/>
      <c r="F314" s="11"/>
      <c r="G314" s="11"/>
      <c r="H314" s="11"/>
      <c r="I314" s="11"/>
      <c r="J314" s="11"/>
      <c r="K314" s="11"/>
      <c r="L314" s="11"/>
      <c r="M314" s="11"/>
      <c r="N314" s="11"/>
      <c r="O314" s="11"/>
      <c r="P314" s="11"/>
      <c r="Q314" s="11"/>
      <c r="R314" s="12"/>
    </row>
    <row r="317" spans="2:21" x14ac:dyDescent="0.25">
      <c r="C317" s="650" t="s">
        <v>293</v>
      </c>
      <c r="D317" s="651"/>
      <c r="E317" s="651"/>
      <c r="F317" s="651"/>
      <c r="G317" s="652"/>
      <c r="H317" s="32"/>
    </row>
    <row r="318" spans="2:21" x14ac:dyDescent="0.25">
      <c r="B318" s="40"/>
      <c r="C318" s="653"/>
      <c r="D318" s="654"/>
      <c r="E318" s="654"/>
      <c r="F318" s="654"/>
      <c r="G318" s="655"/>
      <c r="H318" s="27"/>
      <c r="I318" s="6"/>
      <c r="J318" s="6"/>
      <c r="K318" s="6"/>
      <c r="L318" s="6"/>
      <c r="M318" s="6"/>
      <c r="N318" s="6"/>
      <c r="O318" s="6"/>
      <c r="P318" s="6"/>
      <c r="Q318" s="6"/>
      <c r="R318" s="7"/>
    </row>
    <row r="319" spans="2:21" x14ac:dyDescent="0.25">
      <c r="B319" s="5"/>
      <c r="R319" s="8"/>
    </row>
    <row r="320" spans="2:21" x14ac:dyDescent="0.25">
      <c r="B320" s="5"/>
      <c r="C320" s="1" t="s">
        <v>630</v>
      </c>
      <c r="R320" s="8"/>
    </row>
    <row r="321" spans="2:18" x14ac:dyDescent="0.25">
      <c r="B321" s="5"/>
      <c r="R321" s="8"/>
    </row>
    <row r="322" spans="2:18" x14ac:dyDescent="0.25">
      <c r="B322" s="5"/>
      <c r="C322" s="34" t="s">
        <v>214</v>
      </c>
      <c r="D322" s="39"/>
      <c r="E322" s="564" t="s">
        <v>848</v>
      </c>
      <c r="G322" s="46" t="s">
        <v>631</v>
      </c>
      <c r="H322" s="634" t="s">
        <v>215</v>
      </c>
      <c r="I322" s="635"/>
      <c r="J322" s="636"/>
      <c r="K322" s="39"/>
      <c r="L322" s="564" t="s">
        <v>927</v>
      </c>
      <c r="N322" s="426">
        <v>1</v>
      </c>
      <c r="O322" s="1" t="s">
        <v>499</v>
      </c>
      <c r="R322" s="8"/>
    </row>
    <row r="323" spans="2:18" ht="9" customHeight="1" x14ac:dyDescent="0.25">
      <c r="B323" s="5"/>
      <c r="H323" s="565"/>
      <c r="R323" s="8"/>
    </row>
    <row r="324" spans="2:18" x14ac:dyDescent="0.25">
      <c r="B324" s="5"/>
      <c r="C324" s="34" t="s">
        <v>498</v>
      </c>
      <c r="D324" s="25"/>
      <c r="E324" s="549" t="s">
        <v>641</v>
      </c>
      <c r="F324" s="39"/>
      <c r="G324" s="426">
        <v>2</v>
      </c>
      <c r="H324" s="634" t="s">
        <v>216</v>
      </c>
      <c r="I324" s="635"/>
      <c r="J324" s="636"/>
      <c r="L324" s="33" t="s">
        <v>638</v>
      </c>
      <c r="N324" s="426">
        <v>3</v>
      </c>
      <c r="R324" s="8"/>
    </row>
    <row r="325" spans="2:18" ht="9" customHeight="1" x14ac:dyDescent="0.25">
      <c r="B325" s="5"/>
      <c r="C325" s="39"/>
      <c r="D325" s="39"/>
      <c r="H325" s="39"/>
      <c r="I325" s="39"/>
      <c r="J325" s="39"/>
      <c r="K325" s="39"/>
      <c r="R325" s="8"/>
    </row>
    <row r="326" spans="2:18" x14ac:dyDescent="0.25">
      <c r="B326" s="5"/>
      <c r="C326" s="9" t="s">
        <v>217</v>
      </c>
      <c r="D326" s="25"/>
      <c r="E326" s="33" t="s">
        <v>928</v>
      </c>
      <c r="G326" s="426">
        <v>4</v>
      </c>
      <c r="K326" s="39"/>
      <c r="R326" s="8"/>
    </row>
    <row r="327" spans="2:18" x14ac:dyDescent="0.25">
      <c r="B327" s="10"/>
      <c r="C327" s="11"/>
      <c r="D327" s="11"/>
      <c r="E327" s="11"/>
      <c r="F327" s="11"/>
      <c r="G327" s="11"/>
      <c r="H327" s="11"/>
      <c r="I327" s="11"/>
      <c r="J327" s="11"/>
      <c r="K327" s="11"/>
      <c r="L327" s="11"/>
      <c r="M327" s="11"/>
      <c r="N327" s="11"/>
      <c r="O327" s="11"/>
      <c r="P327" s="11"/>
      <c r="Q327" s="11"/>
      <c r="R327" s="12"/>
    </row>
    <row r="330" spans="2:18" x14ac:dyDescent="0.25">
      <c r="C330" s="650" t="s">
        <v>294</v>
      </c>
      <c r="D330" s="651"/>
      <c r="E330" s="651"/>
      <c r="F330" s="651"/>
      <c r="G330" s="652"/>
      <c r="H330" s="32"/>
    </row>
    <row r="331" spans="2:18" x14ac:dyDescent="0.25">
      <c r="B331" s="40"/>
      <c r="C331" s="653"/>
      <c r="D331" s="654"/>
      <c r="E331" s="654"/>
      <c r="F331" s="654"/>
      <c r="G331" s="655"/>
      <c r="H331" s="27"/>
      <c r="I331" s="6"/>
      <c r="J331" s="6"/>
      <c r="K331" s="6"/>
      <c r="L331" s="6"/>
      <c r="M331" s="6"/>
      <c r="N331" s="6"/>
      <c r="O331" s="6"/>
      <c r="P331" s="6"/>
      <c r="Q331" s="6"/>
      <c r="R331" s="7"/>
    </row>
    <row r="332" spans="2:18" x14ac:dyDescent="0.25">
      <c r="B332" s="5"/>
      <c r="R332" s="8"/>
    </row>
    <row r="333" spans="2:18" x14ac:dyDescent="0.25">
      <c r="B333" s="5"/>
      <c r="C333" s="1" t="s">
        <v>632</v>
      </c>
      <c r="R333" s="8"/>
    </row>
    <row r="334" spans="2:18" x14ac:dyDescent="0.25">
      <c r="B334" s="5"/>
      <c r="R334" s="8"/>
    </row>
    <row r="335" spans="2:18" ht="14.4" x14ac:dyDescent="0.3">
      <c r="B335" s="5"/>
      <c r="C335" s="34" t="s">
        <v>218</v>
      </c>
      <c r="D335" s="39"/>
      <c r="E335" s="687"/>
      <c r="F335" s="688"/>
      <c r="G335" s="689"/>
      <c r="H335" s="426">
        <v>1</v>
      </c>
      <c r="J335" s="690"/>
      <c r="K335" s="691"/>
      <c r="L335" s="692"/>
      <c r="N335" s="426">
        <v>2</v>
      </c>
      <c r="R335" s="8"/>
    </row>
    <row r="336" spans="2:18" x14ac:dyDescent="0.25">
      <c r="B336" s="5"/>
      <c r="J336" s="53"/>
      <c r="K336" s="53"/>
      <c r="L336" s="53"/>
      <c r="R336" s="8"/>
    </row>
    <row r="337" spans="2:18" x14ac:dyDescent="0.25">
      <c r="B337" s="5"/>
      <c r="C337" s="41" t="s">
        <v>219</v>
      </c>
      <c r="D337" s="417"/>
      <c r="E337" s="1" t="s">
        <v>640</v>
      </c>
      <c r="J337" s="465" t="s">
        <v>220</v>
      </c>
      <c r="K337" s="53"/>
      <c r="L337" s="53" t="s">
        <v>640</v>
      </c>
      <c r="O337" s="417"/>
      <c r="R337" s="8"/>
    </row>
    <row r="338" spans="2:18" ht="9" customHeight="1" x14ac:dyDescent="0.25">
      <c r="B338" s="5"/>
      <c r="J338" s="53"/>
      <c r="K338" s="53"/>
      <c r="L338" s="53"/>
      <c r="R338" s="8"/>
    </row>
    <row r="339" spans="2:18" ht="16.5" customHeight="1" x14ac:dyDescent="0.25">
      <c r="B339" s="5"/>
      <c r="C339" s="442" t="s">
        <v>221</v>
      </c>
      <c r="D339" s="441"/>
      <c r="E339" s="447"/>
      <c r="G339" s="426">
        <v>3</v>
      </c>
      <c r="J339" s="644" t="s">
        <v>222</v>
      </c>
      <c r="K339" s="645"/>
      <c r="L339" s="646"/>
      <c r="N339" s="619" t="s">
        <v>496</v>
      </c>
      <c r="O339" s="620"/>
      <c r="P339" s="621"/>
      <c r="R339" s="427">
        <v>9</v>
      </c>
    </row>
    <row r="340" spans="2:18" ht="9" customHeight="1" x14ac:dyDescent="0.25">
      <c r="B340" s="5"/>
      <c r="J340" s="53"/>
      <c r="K340" s="53"/>
      <c r="L340" s="53"/>
      <c r="N340" s="419"/>
      <c r="R340" s="8"/>
    </row>
    <row r="341" spans="2:18" ht="14.4" x14ac:dyDescent="0.3">
      <c r="B341" s="5"/>
      <c r="C341" s="430" t="s">
        <v>223</v>
      </c>
      <c r="E341" s="448"/>
      <c r="G341" s="426">
        <v>4</v>
      </c>
      <c r="J341" s="466" t="s">
        <v>14</v>
      </c>
      <c r="K341" s="14"/>
      <c r="L341" s="454"/>
      <c r="N341" s="426">
        <v>10</v>
      </c>
      <c r="R341" s="8"/>
    </row>
    <row r="342" spans="2:18" ht="9" customHeight="1" x14ac:dyDescent="0.25">
      <c r="B342" s="5"/>
      <c r="J342" s="53"/>
      <c r="K342" s="53"/>
      <c r="L342" s="53"/>
      <c r="R342" s="8"/>
    </row>
    <row r="343" spans="2:18" ht="14.4" x14ac:dyDescent="0.3">
      <c r="B343" s="5"/>
      <c r="C343" s="430" t="s">
        <v>633</v>
      </c>
      <c r="E343" s="445"/>
      <c r="G343" s="426">
        <v>5</v>
      </c>
      <c r="J343" s="467" t="s">
        <v>224</v>
      </c>
      <c r="K343" s="14"/>
      <c r="L343" s="456"/>
      <c r="N343" s="426">
        <v>11</v>
      </c>
      <c r="R343" s="8"/>
    </row>
    <row r="344" spans="2:18" ht="9" customHeight="1" x14ac:dyDescent="0.25">
      <c r="B344" s="5"/>
      <c r="J344" s="53"/>
      <c r="K344" s="53"/>
      <c r="L344" s="53"/>
      <c r="R344" s="8"/>
    </row>
    <row r="345" spans="2:18" x14ac:dyDescent="0.25">
      <c r="B345" s="5"/>
      <c r="C345" s="443" t="s">
        <v>225</v>
      </c>
      <c r="E345" s="33"/>
      <c r="G345" s="426">
        <v>6</v>
      </c>
      <c r="J345" s="466" t="s">
        <v>63</v>
      </c>
      <c r="K345" s="53"/>
      <c r="L345" s="428"/>
      <c r="N345" s="426">
        <v>12</v>
      </c>
      <c r="R345" s="8"/>
    </row>
    <row r="346" spans="2:18" ht="9" customHeight="1" x14ac:dyDescent="0.25">
      <c r="B346" s="5"/>
      <c r="R346" s="8"/>
    </row>
    <row r="347" spans="2:18" x14ac:dyDescent="0.25">
      <c r="B347" s="5"/>
      <c r="C347" s="443" t="s">
        <v>226</v>
      </c>
      <c r="E347" s="33"/>
      <c r="G347" s="426">
        <v>7</v>
      </c>
      <c r="R347" s="8"/>
    </row>
    <row r="348" spans="2:18" ht="9" customHeight="1" x14ac:dyDescent="0.25">
      <c r="B348" s="5"/>
      <c r="G348" s="426"/>
      <c r="H348" s="39"/>
      <c r="I348" s="39"/>
      <c r="J348" s="39"/>
      <c r="K348" s="39"/>
      <c r="N348" s="39"/>
      <c r="R348" s="8"/>
    </row>
    <row r="349" spans="2:18" x14ac:dyDescent="0.25">
      <c r="B349" s="5"/>
      <c r="C349" s="443" t="s">
        <v>227</v>
      </c>
      <c r="D349" s="25"/>
      <c r="E349" s="33"/>
      <c r="F349" s="39"/>
      <c r="G349" s="426">
        <v>8</v>
      </c>
      <c r="H349" s="39"/>
      <c r="I349" s="39"/>
      <c r="J349" s="39"/>
      <c r="K349" s="39"/>
      <c r="N349" s="39"/>
      <c r="O349" s="39"/>
      <c r="P349" s="39"/>
      <c r="R349" s="8"/>
    </row>
    <row r="350" spans="2:18" x14ac:dyDescent="0.25">
      <c r="B350" s="10"/>
      <c r="C350" s="11"/>
      <c r="D350" s="11"/>
      <c r="E350" s="11"/>
      <c r="F350" s="11"/>
      <c r="G350" s="11"/>
      <c r="H350" s="11"/>
      <c r="I350" s="11"/>
      <c r="J350" s="11"/>
      <c r="K350" s="11"/>
      <c r="L350" s="11"/>
      <c r="M350" s="11"/>
      <c r="N350" s="11"/>
      <c r="O350" s="11"/>
      <c r="P350" s="11"/>
      <c r="Q350" s="11"/>
      <c r="R350" s="12"/>
    </row>
    <row r="353" spans="2:18" ht="16.5" customHeight="1" x14ac:dyDescent="0.25">
      <c r="C353" s="650" t="s">
        <v>491</v>
      </c>
      <c r="D353" s="651"/>
      <c r="E353" s="651"/>
      <c r="F353" s="651"/>
      <c r="G353" s="652"/>
      <c r="H353" s="32"/>
    </row>
    <row r="354" spans="2:18" x14ac:dyDescent="0.25">
      <c r="B354" s="40"/>
      <c r="C354" s="653"/>
      <c r="D354" s="654"/>
      <c r="E354" s="654"/>
      <c r="F354" s="654"/>
      <c r="G354" s="655"/>
      <c r="H354" s="27"/>
      <c r="I354" s="6"/>
      <c r="J354" s="6"/>
      <c r="K354" s="6"/>
      <c r="L354" s="6"/>
      <c r="M354" s="6"/>
      <c r="N354" s="6"/>
      <c r="O354" s="6"/>
      <c r="P354" s="6"/>
      <c r="Q354" s="6"/>
      <c r="R354" s="7"/>
    </row>
    <row r="355" spans="2:18" x14ac:dyDescent="0.25">
      <c r="B355" s="5"/>
      <c r="R355" s="8"/>
    </row>
    <row r="356" spans="2:18" x14ac:dyDescent="0.25">
      <c r="B356" s="5"/>
      <c r="C356" s="1" t="s">
        <v>634</v>
      </c>
      <c r="R356" s="8"/>
    </row>
    <row r="357" spans="2:18" x14ac:dyDescent="0.25">
      <c r="B357" s="5"/>
      <c r="H357" s="680" t="s">
        <v>228</v>
      </c>
      <c r="I357" s="686"/>
      <c r="J357" s="682"/>
      <c r="K357" s="39"/>
      <c r="L357" s="33" t="s">
        <v>207</v>
      </c>
      <c r="N357" s="426">
        <v>1</v>
      </c>
      <c r="R357" s="8"/>
    </row>
    <row r="358" spans="2:18" x14ac:dyDescent="0.25">
      <c r="B358" s="10"/>
      <c r="C358" s="11"/>
      <c r="D358" s="11"/>
      <c r="E358" s="11"/>
      <c r="F358" s="11"/>
      <c r="G358" s="11"/>
      <c r="H358" s="11"/>
      <c r="I358" s="11"/>
      <c r="J358" s="11"/>
      <c r="K358" s="11"/>
      <c r="L358" s="11"/>
      <c r="M358" s="11"/>
      <c r="N358" s="11"/>
      <c r="O358" s="11"/>
      <c r="P358" s="11"/>
      <c r="Q358" s="11"/>
      <c r="R358" s="12"/>
    </row>
    <row r="359" spans="2:18" ht="14.4" thickBot="1" x14ac:dyDescent="0.3">
      <c r="C359" s="1" t="str">
        <f>+C47</f>
        <v>Evaluación : Ing. Martín Pichón</v>
      </c>
    </row>
    <row r="360" spans="2:18" hidden="1" outlineLevel="2" x14ac:dyDescent="0.25">
      <c r="C360" s="34" t="s">
        <v>209</v>
      </c>
      <c r="D360" s="39"/>
      <c r="G360" s="52" t="s">
        <v>210</v>
      </c>
      <c r="H360" s="20"/>
    </row>
    <row r="361" spans="2:18" hidden="1" outlineLevel="2" x14ac:dyDescent="0.25">
      <c r="G361" s="20"/>
      <c r="H361" s="20"/>
    </row>
    <row r="362" spans="2:18" hidden="1" outlineLevel="2" x14ac:dyDescent="0.25">
      <c r="C362" s="34" t="s">
        <v>211</v>
      </c>
      <c r="D362" s="39"/>
      <c r="F362" s="53"/>
      <c r="G362" s="52" t="s">
        <v>229</v>
      </c>
      <c r="H362" s="20"/>
    </row>
    <row r="363" spans="2:18" hidden="1" outlineLevel="2" x14ac:dyDescent="0.25">
      <c r="F363" s="53"/>
      <c r="G363" s="52" t="s">
        <v>230</v>
      </c>
      <c r="H363" s="20"/>
      <c r="N363" s="34" t="s">
        <v>222</v>
      </c>
    </row>
    <row r="364" spans="2:18" hidden="1" outlineLevel="2" x14ac:dyDescent="0.25">
      <c r="F364" s="53"/>
      <c r="G364" s="52" t="s">
        <v>231</v>
      </c>
      <c r="H364" s="20"/>
      <c r="N364" s="1" t="s">
        <v>496</v>
      </c>
    </row>
    <row r="365" spans="2:18" hidden="1" outlineLevel="2" x14ac:dyDescent="0.25">
      <c r="G365" s="52"/>
      <c r="H365" s="20"/>
      <c r="N365" s="1" t="s">
        <v>497</v>
      </c>
    </row>
    <row r="366" spans="2:18" hidden="1" outlineLevel="2" x14ac:dyDescent="0.25">
      <c r="G366" s="20"/>
      <c r="H366" s="20"/>
      <c r="N366" s="1" t="s">
        <v>581</v>
      </c>
    </row>
    <row r="367" spans="2:18" hidden="1" outlineLevel="2" x14ac:dyDescent="0.25">
      <c r="C367" s="34" t="s">
        <v>212</v>
      </c>
      <c r="D367" s="39"/>
      <c r="G367" s="52" t="s">
        <v>232</v>
      </c>
      <c r="H367" s="20"/>
    </row>
    <row r="368" spans="2:18" hidden="1" outlineLevel="2" x14ac:dyDescent="0.25">
      <c r="G368" s="52" t="s">
        <v>233</v>
      </c>
      <c r="H368" s="20"/>
    </row>
    <row r="369" spans="3:17" hidden="1" outlineLevel="2" x14ac:dyDescent="0.25">
      <c r="G369" s="52" t="s">
        <v>234</v>
      </c>
      <c r="H369" s="20"/>
    </row>
    <row r="370" spans="3:17" hidden="1" outlineLevel="2" x14ac:dyDescent="0.25">
      <c r="G370" s="52"/>
      <c r="H370" s="20"/>
    </row>
    <row r="371" spans="3:17" hidden="1" outlineLevel="2" x14ac:dyDescent="0.25">
      <c r="G371" s="20"/>
      <c r="H371" s="20"/>
    </row>
    <row r="372" spans="3:17" hidden="1" outlineLevel="2" x14ac:dyDescent="0.25">
      <c r="C372" s="34" t="s">
        <v>213</v>
      </c>
      <c r="D372" s="39"/>
      <c r="G372" s="52" t="s">
        <v>235</v>
      </c>
      <c r="H372" s="20"/>
    </row>
    <row r="373" spans="3:17" hidden="1" outlineLevel="2" x14ac:dyDescent="0.25"/>
    <row r="374" spans="3:17" hidden="1" outlineLevel="2" x14ac:dyDescent="0.25">
      <c r="G374" s="634" t="s">
        <v>236</v>
      </c>
      <c r="H374" s="636"/>
      <c r="J374" s="634" t="s">
        <v>237</v>
      </c>
      <c r="K374" s="635"/>
      <c r="L374" s="636"/>
      <c r="N374" s="634" t="s">
        <v>238</v>
      </c>
      <c r="O374" s="635"/>
      <c r="P374" s="636"/>
      <c r="Q374" s="39"/>
    </row>
    <row r="375" spans="3:17" hidden="1" outlineLevel="2" x14ac:dyDescent="0.25">
      <c r="G375" s="52" t="s">
        <v>239</v>
      </c>
      <c r="H375" s="20"/>
      <c r="I375" s="20"/>
      <c r="J375" s="52" t="s">
        <v>179</v>
      </c>
      <c r="K375" s="52"/>
      <c r="L375" s="20"/>
      <c r="M375" s="20"/>
      <c r="N375" s="52" t="s">
        <v>240</v>
      </c>
      <c r="O375" s="54"/>
    </row>
    <row r="376" spans="3:17" hidden="1" outlineLevel="2" x14ac:dyDescent="0.25">
      <c r="G376" s="52" t="s">
        <v>241</v>
      </c>
      <c r="H376" s="20"/>
      <c r="I376" s="20"/>
      <c r="J376" s="52" t="s">
        <v>207</v>
      </c>
      <c r="K376" s="52"/>
      <c r="L376" s="20"/>
      <c r="M376" s="20"/>
      <c r="N376" s="52" t="s">
        <v>242</v>
      </c>
      <c r="O376" s="54"/>
    </row>
    <row r="377" spans="3:17" hidden="1" outlineLevel="2" x14ac:dyDescent="0.25">
      <c r="G377" s="20"/>
      <c r="H377" s="20"/>
      <c r="I377" s="20"/>
      <c r="J377" s="52" t="s">
        <v>208</v>
      </c>
      <c r="K377" s="52"/>
      <c r="L377" s="20"/>
      <c r="M377" s="20"/>
      <c r="N377" s="52" t="s">
        <v>243</v>
      </c>
      <c r="O377" s="54"/>
    </row>
    <row r="378" spans="3:17" hidden="1" outlineLevel="2" x14ac:dyDescent="0.25">
      <c r="G378" s="20"/>
      <c r="H378" s="20"/>
      <c r="I378" s="20"/>
      <c r="J378" s="52" t="s">
        <v>500</v>
      </c>
      <c r="K378" s="52"/>
      <c r="L378" s="20"/>
      <c r="M378" s="20"/>
      <c r="N378" s="52" t="s">
        <v>244</v>
      </c>
      <c r="O378" s="54"/>
    </row>
    <row r="379" spans="3:17" hidden="1" outlineLevel="2" x14ac:dyDescent="0.25">
      <c r="G379" s="20"/>
      <c r="H379" s="20"/>
      <c r="I379" s="20"/>
      <c r="J379" s="20"/>
      <c r="K379" s="20"/>
      <c r="L379" s="20"/>
      <c r="M379" s="20"/>
      <c r="N379" s="52" t="s">
        <v>245</v>
      </c>
      <c r="O379" s="54"/>
    </row>
    <row r="380" spans="3:17" hidden="1" outlineLevel="2" x14ac:dyDescent="0.25">
      <c r="G380" s="20"/>
      <c r="H380" s="20"/>
      <c r="I380" s="20"/>
      <c r="J380" s="20"/>
      <c r="K380" s="20"/>
      <c r="L380" s="20"/>
      <c r="M380" s="20"/>
      <c r="N380" s="52" t="s">
        <v>92</v>
      </c>
      <c r="O380" s="54"/>
    </row>
    <row r="381" spans="3:17" ht="14.4" hidden="1" outlineLevel="2" thickBot="1" x14ac:dyDescent="0.3">
      <c r="G381" s="20"/>
      <c r="H381" s="20"/>
      <c r="I381" s="20"/>
      <c r="J381" s="20"/>
      <c r="K381" s="20"/>
      <c r="L381" s="20"/>
      <c r="M381" s="20"/>
      <c r="N381" s="52"/>
      <c r="O381" s="54"/>
    </row>
    <row r="382" spans="3:17" ht="36.75" customHeight="1" collapsed="1" thickTop="1" thickBot="1" x14ac:dyDescent="0.3">
      <c r="C382" s="57" t="s">
        <v>286</v>
      </c>
      <c r="D382" s="58"/>
      <c r="E382" s="58"/>
      <c r="F382" s="58"/>
      <c r="G382" s="59"/>
      <c r="H382" s="60"/>
      <c r="I382" s="20"/>
      <c r="J382" s="20"/>
      <c r="K382" s="20"/>
      <c r="L382" s="20"/>
      <c r="M382" s="20"/>
      <c r="N382" s="52"/>
      <c r="O382" s="54"/>
    </row>
    <row r="383" spans="3:17" ht="14.4" thickTop="1" x14ac:dyDescent="0.25"/>
    <row r="384" spans="3:17" ht="16.5" customHeight="1" x14ac:dyDescent="0.25">
      <c r="C384" s="650" t="s">
        <v>287</v>
      </c>
      <c r="D384" s="651"/>
      <c r="E384" s="651"/>
      <c r="F384" s="651"/>
      <c r="G384" s="652"/>
    </row>
    <row r="385" spans="2:18" x14ac:dyDescent="0.25">
      <c r="B385" s="13"/>
      <c r="C385" s="653"/>
      <c r="D385" s="654"/>
      <c r="E385" s="654"/>
      <c r="F385" s="654"/>
      <c r="G385" s="655"/>
      <c r="H385" s="6"/>
      <c r="I385" s="6"/>
      <c r="J385" s="6"/>
      <c r="K385" s="6"/>
      <c r="L385" s="6"/>
      <c r="M385" s="6"/>
      <c r="N385" s="6"/>
      <c r="O385" s="6"/>
      <c r="P385" s="6"/>
      <c r="Q385" s="6"/>
      <c r="R385" s="7"/>
    </row>
    <row r="386" spans="2:18" x14ac:dyDescent="0.25">
      <c r="B386" s="5"/>
      <c r="R386" s="8"/>
    </row>
    <row r="387" spans="2:18" x14ac:dyDescent="0.25">
      <c r="B387" s="5"/>
      <c r="C387" s="1" t="s">
        <v>604</v>
      </c>
      <c r="R387" s="8"/>
    </row>
    <row r="388" spans="2:18" x14ac:dyDescent="0.25">
      <c r="B388" s="5"/>
      <c r="E388" s="9" t="s">
        <v>246</v>
      </c>
      <c r="G388" s="9" t="s">
        <v>247</v>
      </c>
      <c r="J388" s="34" t="s">
        <v>139</v>
      </c>
      <c r="K388" s="3"/>
      <c r="L388" s="34" t="s">
        <v>140</v>
      </c>
      <c r="N388" s="34" t="s">
        <v>141</v>
      </c>
      <c r="Q388" s="39"/>
      <c r="R388" s="8"/>
    </row>
    <row r="389" spans="2:18" ht="9.75" customHeight="1" x14ac:dyDescent="0.25">
      <c r="B389" s="5"/>
      <c r="E389" s="25"/>
      <c r="F389" s="25"/>
      <c r="G389" s="25"/>
      <c r="I389" s="25"/>
      <c r="J389" s="39"/>
      <c r="K389" s="3"/>
      <c r="L389" s="39"/>
      <c r="N389" s="39"/>
      <c r="Q389" s="39"/>
      <c r="R389" s="8"/>
    </row>
    <row r="390" spans="2:18" ht="16.5" customHeight="1" x14ac:dyDescent="0.25">
      <c r="B390" s="5"/>
      <c r="E390" s="444">
        <v>1</v>
      </c>
      <c r="F390" s="25"/>
      <c r="G390" s="444">
        <v>2</v>
      </c>
      <c r="I390" s="25"/>
      <c r="J390" s="444">
        <v>3</v>
      </c>
      <c r="K390" s="3"/>
      <c r="L390" s="444">
        <v>4</v>
      </c>
      <c r="N390" s="444">
        <v>5</v>
      </c>
      <c r="Q390" s="39"/>
      <c r="R390" s="8"/>
    </row>
    <row r="391" spans="2:18" ht="9.75" customHeight="1" x14ac:dyDescent="0.25">
      <c r="B391" s="5"/>
      <c r="E391" s="25"/>
      <c r="F391" s="25"/>
      <c r="G391" s="25"/>
      <c r="I391" s="25"/>
      <c r="J391" s="39"/>
      <c r="K391" s="3"/>
      <c r="L391" s="39"/>
      <c r="N391" s="39"/>
      <c r="Q391" s="39"/>
      <c r="R391" s="8"/>
    </row>
    <row r="392" spans="2:18" x14ac:dyDescent="0.25">
      <c r="B392" s="5"/>
      <c r="C392" s="309" t="s">
        <v>68</v>
      </c>
      <c r="D392" s="39"/>
      <c r="E392" s="33" t="s">
        <v>242</v>
      </c>
      <c r="G392" s="33" t="s">
        <v>242</v>
      </c>
      <c r="J392" s="33"/>
      <c r="L392" s="33"/>
      <c r="N392" s="33"/>
      <c r="R392" s="8"/>
    </row>
    <row r="393" spans="2:18" x14ac:dyDescent="0.25">
      <c r="B393" s="5"/>
      <c r="R393" s="8"/>
    </row>
    <row r="394" spans="2:18" x14ac:dyDescent="0.25">
      <c r="B394" s="5"/>
      <c r="C394" s="34" t="s">
        <v>248</v>
      </c>
      <c r="D394" s="39"/>
      <c r="R394" s="8"/>
    </row>
    <row r="395" spans="2:18" x14ac:dyDescent="0.25">
      <c r="B395" s="10"/>
      <c r="C395" s="11"/>
      <c r="D395" s="11"/>
      <c r="E395" s="11"/>
      <c r="F395" s="11"/>
      <c r="G395" s="11"/>
      <c r="H395" s="11"/>
      <c r="I395" s="11"/>
      <c r="J395" s="11"/>
      <c r="K395" s="11"/>
      <c r="L395" s="11"/>
      <c r="M395" s="11"/>
      <c r="N395" s="11"/>
      <c r="O395" s="11"/>
      <c r="P395" s="11"/>
      <c r="Q395" s="11"/>
      <c r="R395" s="12"/>
    </row>
    <row r="398" spans="2:18" ht="16.5" customHeight="1" x14ac:dyDescent="0.25">
      <c r="C398" s="650" t="s">
        <v>288</v>
      </c>
      <c r="D398" s="651"/>
      <c r="E398" s="651"/>
      <c r="F398" s="651"/>
      <c r="G398" s="652"/>
    </row>
    <row r="399" spans="2:18" x14ac:dyDescent="0.25">
      <c r="B399" s="13"/>
      <c r="C399" s="653"/>
      <c r="D399" s="654"/>
      <c r="E399" s="654"/>
      <c r="F399" s="654"/>
      <c r="G399" s="655"/>
      <c r="H399" s="6"/>
      <c r="I399" s="6"/>
      <c r="J399" s="6"/>
      <c r="K399" s="6"/>
      <c r="L399" s="6"/>
      <c r="M399" s="6"/>
      <c r="N399" s="6"/>
      <c r="O399" s="6"/>
      <c r="P399" s="6"/>
      <c r="Q399" s="6"/>
      <c r="R399" s="7"/>
    </row>
    <row r="400" spans="2:18" x14ac:dyDescent="0.25">
      <c r="B400" s="5"/>
      <c r="R400" s="8"/>
    </row>
    <row r="401" spans="2:18" x14ac:dyDescent="0.25">
      <c r="B401" s="5"/>
      <c r="C401" s="1" t="s">
        <v>609</v>
      </c>
      <c r="R401" s="8"/>
    </row>
    <row r="402" spans="2:18" x14ac:dyDescent="0.25">
      <c r="B402" s="5"/>
      <c r="E402" s="53"/>
      <c r="R402" s="8"/>
    </row>
    <row r="403" spans="2:18" x14ac:dyDescent="0.25">
      <c r="B403" s="5"/>
      <c r="C403" s="34" t="s">
        <v>249</v>
      </c>
      <c r="D403" s="39"/>
      <c r="E403" s="607">
        <v>1840.13</v>
      </c>
      <c r="G403" s="426">
        <v>1</v>
      </c>
      <c r="J403" s="634" t="s">
        <v>250</v>
      </c>
      <c r="K403" s="635"/>
      <c r="L403" s="636"/>
      <c r="N403" s="449" t="s">
        <v>934</v>
      </c>
      <c r="O403" s="301"/>
      <c r="P403" s="265"/>
      <c r="R403" s="427">
        <v>2</v>
      </c>
    </row>
    <row r="404" spans="2:18" x14ac:dyDescent="0.25">
      <c r="B404" s="5"/>
      <c r="E404" s="608"/>
      <c r="G404" s="53"/>
      <c r="N404" s="53"/>
      <c r="R404" s="8"/>
    </row>
    <row r="405" spans="2:18" x14ac:dyDescent="0.25">
      <c r="B405" s="5"/>
      <c r="C405" s="34" t="s">
        <v>251</v>
      </c>
      <c r="D405" s="39"/>
      <c r="E405" s="607">
        <v>1837.63</v>
      </c>
      <c r="F405" s="1" t="str">
        <f>+IF(E405&gt;0,"m"," ")</f>
        <v>m</v>
      </c>
      <c r="G405" s="426">
        <v>3</v>
      </c>
      <c r="J405" s="634" t="s">
        <v>252</v>
      </c>
      <c r="K405" s="635"/>
      <c r="L405" s="636"/>
      <c r="N405" s="428" t="s">
        <v>935</v>
      </c>
      <c r="P405" s="426">
        <v>4</v>
      </c>
      <c r="R405" s="8"/>
    </row>
    <row r="406" spans="2:18" x14ac:dyDescent="0.25">
      <c r="B406" s="5"/>
      <c r="E406" s="608"/>
      <c r="G406" s="53"/>
      <c r="N406" s="53"/>
      <c r="R406" s="8"/>
    </row>
    <row r="407" spans="2:18" x14ac:dyDescent="0.25">
      <c r="B407" s="5"/>
      <c r="C407" s="34" t="s">
        <v>253</v>
      </c>
      <c r="D407" s="39"/>
      <c r="E407" s="607">
        <v>1840.69</v>
      </c>
      <c r="G407" s="426">
        <v>5</v>
      </c>
      <c r="J407" s="634" t="s">
        <v>254</v>
      </c>
      <c r="K407" s="635"/>
      <c r="L407" s="636"/>
      <c r="N407" s="468" t="s">
        <v>936</v>
      </c>
      <c r="P407" s="426">
        <v>6</v>
      </c>
      <c r="R407" s="8"/>
    </row>
    <row r="408" spans="2:18" x14ac:dyDescent="0.25">
      <c r="B408" s="5"/>
      <c r="E408" s="455"/>
      <c r="N408" s="53"/>
      <c r="R408" s="8"/>
    </row>
    <row r="409" spans="2:18" x14ac:dyDescent="0.25">
      <c r="B409" s="5"/>
      <c r="C409" s="1" t="s">
        <v>635</v>
      </c>
      <c r="E409" s="455"/>
      <c r="N409" s="53"/>
      <c r="R409" s="8"/>
    </row>
    <row r="410" spans="2:18" x14ac:dyDescent="0.25">
      <c r="B410" s="5"/>
      <c r="E410" s="455"/>
      <c r="N410" s="53"/>
      <c r="R410" s="8"/>
    </row>
    <row r="411" spans="2:18" ht="14.4" x14ac:dyDescent="0.3">
      <c r="B411" s="5"/>
      <c r="C411" s="250" t="s">
        <v>255</v>
      </c>
      <c r="D411" s="422"/>
      <c r="E411" s="607">
        <f>+E43</f>
        <v>5.63</v>
      </c>
      <c r="G411" s="426">
        <v>7</v>
      </c>
      <c r="J411" s="634" t="s">
        <v>291</v>
      </c>
      <c r="K411" s="635"/>
      <c r="L411" s="636"/>
      <c r="N411" s="469">
        <f>+N31</f>
        <v>45715</v>
      </c>
      <c r="P411" s="426">
        <v>8</v>
      </c>
      <c r="R411" s="8"/>
    </row>
    <row r="412" spans="2:18" x14ac:dyDescent="0.25">
      <c r="B412" s="5"/>
      <c r="E412" s="608"/>
      <c r="N412" s="53"/>
      <c r="R412" s="8"/>
    </row>
    <row r="413" spans="2:18" ht="14.4" x14ac:dyDescent="0.3">
      <c r="B413" s="5"/>
      <c r="C413" s="249" t="s">
        <v>256</v>
      </c>
      <c r="D413" s="266"/>
      <c r="E413" s="607"/>
      <c r="F413" s="1" t="str">
        <f>+IF(E413&gt;0,"m"," ")</f>
        <v xml:space="preserve"> </v>
      </c>
      <c r="G413" s="426">
        <v>9</v>
      </c>
      <c r="N413" s="53"/>
      <c r="R413" s="8"/>
    </row>
    <row r="414" spans="2:18" ht="14.4" x14ac:dyDescent="0.3">
      <c r="B414" s="5"/>
      <c r="C414" s="266"/>
      <c r="D414" s="266"/>
      <c r="E414" s="608"/>
      <c r="J414" s="39"/>
      <c r="K414" s="39"/>
      <c r="L414" s="39"/>
      <c r="R414" s="8"/>
    </row>
    <row r="415" spans="2:18" ht="14.4" x14ac:dyDescent="0.3">
      <c r="B415" s="5"/>
      <c r="C415" s="249" t="s">
        <v>257</v>
      </c>
      <c r="D415" s="266"/>
      <c r="E415" s="607">
        <v>1.5</v>
      </c>
      <c r="F415" s="1" t="str">
        <f>+IF(E415&gt;0,"m"," ")</f>
        <v>m</v>
      </c>
      <c r="G415" s="426">
        <v>10</v>
      </c>
      <c r="K415" s="39"/>
      <c r="L415" s="39"/>
      <c r="R415" s="8"/>
    </row>
    <row r="416" spans="2:18" ht="14.4" x14ac:dyDescent="0.3">
      <c r="B416" s="5"/>
      <c r="C416" s="266"/>
      <c r="D416" s="266"/>
      <c r="J416" s="39"/>
      <c r="K416" s="39"/>
      <c r="L416" s="39"/>
      <c r="R416" s="8"/>
    </row>
    <row r="417" spans="2:18" x14ac:dyDescent="0.25">
      <c r="B417" s="10"/>
      <c r="C417" s="11"/>
      <c r="D417" s="11"/>
      <c r="E417" s="11"/>
      <c r="F417" s="11"/>
      <c r="G417" s="11"/>
      <c r="H417" s="11"/>
      <c r="I417" s="11"/>
      <c r="J417" s="11"/>
      <c r="K417" s="11"/>
      <c r="L417" s="11"/>
      <c r="M417" s="11"/>
      <c r="N417" s="11"/>
      <c r="O417" s="11"/>
      <c r="P417" s="11"/>
      <c r="Q417" s="11"/>
      <c r="R417" s="12"/>
    </row>
    <row r="419" spans="2:18" ht="16.5" customHeight="1" x14ac:dyDescent="0.25">
      <c r="C419" s="650" t="s">
        <v>289</v>
      </c>
      <c r="D419" s="651"/>
      <c r="E419" s="651"/>
      <c r="F419" s="651"/>
      <c r="G419" s="652"/>
    </row>
    <row r="420" spans="2:18" x14ac:dyDescent="0.25">
      <c r="B420" s="13"/>
      <c r="C420" s="653"/>
      <c r="D420" s="654"/>
      <c r="E420" s="654"/>
      <c r="F420" s="654"/>
      <c r="G420" s="655"/>
      <c r="H420" s="6"/>
      <c r="I420" s="6"/>
      <c r="J420" s="6"/>
      <c r="K420" s="6"/>
      <c r="L420" s="6"/>
      <c r="M420" s="6"/>
      <c r="N420" s="6"/>
      <c r="O420" s="6"/>
      <c r="P420" s="6"/>
      <c r="Q420" s="6"/>
      <c r="R420" s="7"/>
    </row>
    <row r="421" spans="2:18" x14ac:dyDescent="0.25">
      <c r="B421" s="5"/>
      <c r="C421" s="435"/>
      <c r="D421" s="435"/>
      <c r="E421" s="435"/>
      <c r="F421" s="435"/>
      <c r="G421" s="435"/>
      <c r="R421" s="8"/>
    </row>
    <row r="422" spans="2:18" x14ac:dyDescent="0.25">
      <c r="B422" s="5"/>
      <c r="C422" s="1" t="s">
        <v>610</v>
      </c>
      <c r="D422" s="435"/>
      <c r="E422" s="435"/>
      <c r="F422" s="435"/>
      <c r="G422" s="435"/>
      <c r="R422" s="8"/>
    </row>
    <row r="423" spans="2:18" x14ac:dyDescent="0.25">
      <c r="B423" s="5"/>
      <c r="R423" s="8"/>
    </row>
    <row r="424" spans="2:18" x14ac:dyDescent="0.25">
      <c r="B424" s="5"/>
      <c r="C424" s="309" t="s">
        <v>258</v>
      </c>
      <c r="D424" s="39"/>
      <c r="E424" s="33" t="s">
        <v>496</v>
      </c>
      <c r="G424" s="426">
        <v>1</v>
      </c>
      <c r="H424" s="631" t="s">
        <v>259</v>
      </c>
      <c r="I424" s="632"/>
      <c r="J424" s="633"/>
      <c r="K424" s="39"/>
      <c r="L424" s="445"/>
      <c r="N424" s="426">
        <v>2</v>
      </c>
      <c r="R424" s="8"/>
    </row>
    <row r="425" spans="2:18" x14ac:dyDescent="0.25">
      <c r="B425" s="5"/>
      <c r="G425" s="53"/>
      <c r="R425" s="8"/>
    </row>
    <row r="426" spans="2:18" x14ac:dyDescent="0.25">
      <c r="B426" s="5"/>
      <c r="C426" s="309" t="s">
        <v>260</v>
      </c>
      <c r="D426" s="39"/>
      <c r="E426" s="33" t="s">
        <v>496</v>
      </c>
      <c r="G426" s="426">
        <v>3</v>
      </c>
      <c r="H426" s="631" t="s">
        <v>261</v>
      </c>
      <c r="I426" s="632"/>
      <c r="J426" s="633"/>
      <c r="K426" s="39"/>
      <c r="L426" s="445"/>
      <c r="N426" s="426">
        <v>4</v>
      </c>
      <c r="R426" s="8"/>
    </row>
    <row r="427" spans="2:18" x14ac:dyDescent="0.25">
      <c r="B427" s="5"/>
      <c r="G427" s="53"/>
      <c r="R427" s="8"/>
    </row>
    <row r="428" spans="2:18" x14ac:dyDescent="0.25">
      <c r="B428" s="5"/>
      <c r="C428" s="309" t="s">
        <v>262</v>
      </c>
      <c r="D428" s="39"/>
      <c r="E428" s="33" t="s">
        <v>497</v>
      </c>
      <c r="G428" s="426">
        <v>5</v>
      </c>
      <c r="H428" s="631" t="s">
        <v>263</v>
      </c>
      <c r="I428" s="632"/>
      <c r="J428" s="633"/>
      <c r="K428" s="39"/>
      <c r="L428" s="445"/>
      <c r="N428" s="426">
        <v>6</v>
      </c>
      <c r="R428" s="8"/>
    </row>
    <row r="429" spans="2:18" x14ac:dyDescent="0.25">
      <c r="B429" s="5"/>
      <c r="R429" s="8"/>
    </row>
    <row r="430" spans="2:18" x14ac:dyDescent="0.25">
      <c r="B430" s="5"/>
      <c r="C430" s="309" t="s">
        <v>264</v>
      </c>
      <c r="D430" s="39"/>
      <c r="E430" s="33" t="s">
        <v>497</v>
      </c>
      <c r="G430" s="426">
        <v>7</v>
      </c>
      <c r="H430" s="631" t="s">
        <v>265</v>
      </c>
      <c r="I430" s="632"/>
      <c r="J430" s="633"/>
      <c r="K430" s="39"/>
      <c r="L430" s="445"/>
      <c r="N430" s="426">
        <v>8</v>
      </c>
      <c r="R430" s="8"/>
    </row>
    <row r="431" spans="2:18" x14ac:dyDescent="0.25">
      <c r="B431" s="10"/>
      <c r="C431" s="11"/>
      <c r="D431" s="11"/>
      <c r="E431" s="11"/>
      <c r="F431" s="11"/>
      <c r="G431" s="11"/>
      <c r="H431" s="11"/>
      <c r="I431" s="11"/>
      <c r="J431" s="11"/>
      <c r="K431" s="11"/>
      <c r="L431" s="11"/>
      <c r="M431" s="11"/>
      <c r="N431" s="11"/>
      <c r="O431" s="11"/>
      <c r="P431" s="11"/>
      <c r="Q431" s="11"/>
      <c r="R431" s="12"/>
    </row>
    <row r="432" spans="2:18" hidden="1" outlineLevel="1" x14ac:dyDescent="0.25"/>
    <row r="433" spans="2:18" hidden="1" outlineLevel="1" x14ac:dyDescent="0.25">
      <c r="H433" s="634" t="s">
        <v>266</v>
      </c>
      <c r="I433" s="635"/>
      <c r="J433" s="635"/>
      <c r="K433" s="636"/>
    </row>
    <row r="434" spans="2:18" hidden="1" outlineLevel="1" x14ac:dyDescent="0.25">
      <c r="C434" s="1" t="s">
        <v>496</v>
      </c>
      <c r="H434" s="52" t="s">
        <v>240</v>
      </c>
    </row>
    <row r="435" spans="2:18" hidden="1" outlineLevel="1" x14ac:dyDescent="0.25">
      <c r="C435" s="1" t="s">
        <v>497</v>
      </c>
      <c r="H435" s="52" t="s">
        <v>242</v>
      </c>
    </row>
    <row r="436" spans="2:18" hidden="1" outlineLevel="1" x14ac:dyDescent="0.25">
      <c r="H436" s="52" t="s">
        <v>243</v>
      </c>
    </row>
    <row r="437" spans="2:18" hidden="1" outlineLevel="1" x14ac:dyDescent="0.25">
      <c r="H437" s="52" t="s">
        <v>244</v>
      </c>
    </row>
    <row r="438" spans="2:18" hidden="1" outlineLevel="1" x14ac:dyDescent="0.25">
      <c r="H438" s="52" t="s">
        <v>245</v>
      </c>
    </row>
    <row r="439" spans="2:18" hidden="1" outlineLevel="1" x14ac:dyDescent="0.25">
      <c r="H439" s="52" t="s">
        <v>501</v>
      </c>
    </row>
    <row r="440" spans="2:18" hidden="1" outlineLevel="1" x14ac:dyDescent="0.25">
      <c r="H440" s="52" t="s">
        <v>92</v>
      </c>
    </row>
    <row r="441" spans="2:18" hidden="1" outlineLevel="1" x14ac:dyDescent="0.25"/>
    <row r="442" spans="2:18" ht="16.5" hidden="1" customHeight="1" collapsed="1" x14ac:dyDescent="0.25">
      <c r="C442" s="650" t="s">
        <v>290</v>
      </c>
      <c r="D442" s="651"/>
      <c r="E442" s="651"/>
      <c r="F442" s="651"/>
      <c r="G442" s="652"/>
    </row>
    <row r="443" spans="2:18" hidden="1" x14ac:dyDescent="0.25">
      <c r="B443" s="13"/>
      <c r="C443" s="653"/>
      <c r="D443" s="654"/>
      <c r="E443" s="654"/>
      <c r="F443" s="654"/>
      <c r="G443" s="655"/>
      <c r="H443" s="6"/>
      <c r="I443" s="6"/>
      <c r="J443" s="6"/>
      <c r="K443" s="6"/>
      <c r="L443" s="6"/>
      <c r="M443" s="6"/>
      <c r="N443" s="6"/>
      <c r="O443" s="6"/>
      <c r="P443" s="6"/>
      <c r="Q443" s="6"/>
      <c r="R443" s="7"/>
    </row>
    <row r="444" spans="2:18" hidden="1" x14ac:dyDescent="0.25">
      <c r="B444" s="5"/>
      <c r="R444" s="8"/>
    </row>
    <row r="445" spans="2:18" hidden="1" x14ac:dyDescent="0.25">
      <c r="B445" s="5"/>
      <c r="C445" s="1" t="s">
        <v>614</v>
      </c>
      <c r="R445" s="8"/>
    </row>
    <row r="446" spans="2:18" hidden="1" x14ac:dyDescent="0.25">
      <c r="B446" s="5"/>
      <c r="R446" s="8"/>
    </row>
    <row r="447" spans="2:18" hidden="1" x14ac:dyDescent="0.25">
      <c r="B447" s="5"/>
      <c r="C447" s="264" t="s">
        <v>267</v>
      </c>
      <c r="D447" s="423"/>
      <c r="E447" s="302">
        <v>15</v>
      </c>
      <c r="G447" s="426">
        <v>1</v>
      </c>
      <c r="R447" s="8"/>
    </row>
    <row r="448" spans="2:18" hidden="1" x14ac:dyDescent="0.25">
      <c r="B448" s="5"/>
      <c r="R448" s="8"/>
    </row>
    <row r="449" spans="2:24" hidden="1" x14ac:dyDescent="0.25">
      <c r="B449" s="5"/>
      <c r="C449" s="264" t="s">
        <v>546</v>
      </c>
      <c r="D449" s="423"/>
      <c r="E449" s="303"/>
      <c r="F449" s="301"/>
      <c r="G449" s="301"/>
      <c r="H449" s="301"/>
      <c r="I449" s="301"/>
      <c r="J449" s="301"/>
      <c r="K449" s="301"/>
      <c r="L449" s="265"/>
      <c r="N449" s="426">
        <v>2</v>
      </c>
      <c r="R449" s="8"/>
    </row>
    <row r="450" spans="2:24" hidden="1" x14ac:dyDescent="0.25">
      <c r="B450" s="5"/>
      <c r="R450" s="8"/>
    </row>
    <row r="451" spans="2:24" ht="30.75" hidden="1" customHeight="1" x14ac:dyDescent="0.25">
      <c r="B451" s="5"/>
      <c r="R451" s="8"/>
    </row>
    <row r="452" spans="2:24" ht="48" hidden="1" customHeight="1" x14ac:dyDescent="0.25">
      <c r="B452" s="5"/>
      <c r="R452" s="8"/>
    </row>
    <row r="453" spans="2:24" ht="48" hidden="1" customHeight="1" x14ac:dyDescent="0.25">
      <c r="B453" s="5"/>
      <c r="R453" s="8"/>
    </row>
    <row r="454" spans="2:24" ht="48" hidden="1" customHeight="1" x14ac:dyDescent="0.25">
      <c r="B454" s="5"/>
      <c r="R454" s="8"/>
      <c r="V454" s="1" t="s">
        <v>502</v>
      </c>
      <c r="W454" s="1" t="s">
        <v>503</v>
      </c>
      <c r="X454" s="1" t="s">
        <v>504</v>
      </c>
    </row>
    <row r="455" spans="2:24" ht="48" hidden="1" customHeight="1" x14ac:dyDescent="0.25">
      <c r="B455" s="5"/>
      <c r="R455" s="8"/>
      <c r="U455" s="1">
        <v>0</v>
      </c>
      <c r="V455" s="1">
        <v>2.484</v>
      </c>
      <c r="W455" s="1">
        <f>+(V455+X455)/2</f>
        <v>2.4139999999999997</v>
      </c>
      <c r="X455" s="1">
        <v>2.3439999999999999</v>
      </c>
    </row>
    <row r="456" spans="2:24" ht="48" hidden="1" customHeight="1" x14ac:dyDescent="0.25">
      <c r="B456" s="5"/>
      <c r="R456" s="8"/>
      <c r="U456" s="1">
        <v>2.88</v>
      </c>
      <c r="V456" s="1">
        <v>2.2749999999999999</v>
      </c>
      <c r="W456" s="1">
        <f>+(V456+X456)/2</f>
        <v>2.3620000000000001</v>
      </c>
      <c r="X456" s="1">
        <v>2.4489999999999998</v>
      </c>
    </row>
    <row r="457" spans="2:24" ht="30.75" hidden="1" customHeight="1" x14ac:dyDescent="0.25">
      <c r="B457" s="5"/>
      <c r="R457" s="8"/>
      <c r="U457" s="1">
        <v>5.75</v>
      </c>
      <c r="V457" s="1">
        <v>1.6359999999999999</v>
      </c>
      <c r="W457" s="1">
        <f>+(V457+X457)/2</f>
        <v>1.9255</v>
      </c>
      <c r="X457" s="1">
        <v>2.2149999999999999</v>
      </c>
    </row>
    <row r="458" spans="2:24" hidden="1" x14ac:dyDescent="0.25">
      <c r="B458" s="5"/>
      <c r="R458" s="8"/>
    </row>
    <row r="459" spans="2:24" hidden="1" x14ac:dyDescent="0.25">
      <c r="B459" s="5"/>
      <c r="C459" s="18" t="s">
        <v>268</v>
      </c>
      <c r="D459" s="47"/>
      <c r="E459" s="19"/>
      <c r="G459" s="34" t="s">
        <v>862</v>
      </c>
      <c r="I459" s="25"/>
      <c r="J459" s="34" t="s">
        <v>861</v>
      </c>
      <c r="N459" s="34" t="s">
        <v>863</v>
      </c>
      <c r="R459" s="8"/>
      <c r="U459" s="34" t="s">
        <v>849</v>
      </c>
    </row>
    <row r="460" spans="2:24" hidden="1" x14ac:dyDescent="0.25">
      <c r="B460" s="5"/>
      <c r="R460" s="8"/>
    </row>
    <row r="461" spans="2:24" ht="14.4" hidden="1" x14ac:dyDescent="0.3">
      <c r="B461" s="5"/>
      <c r="C461" s="596">
        <v>0</v>
      </c>
      <c r="E461" s="426">
        <v>3</v>
      </c>
      <c r="G461" s="596">
        <v>-0.36699999999999999</v>
      </c>
      <c r="H461" s="426">
        <v>4</v>
      </c>
      <c r="J461" s="596">
        <v>-0.14449999999999999</v>
      </c>
      <c r="L461" s="426">
        <v>5</v>
      </c>
      <c r="N461" s="596">
        <v>0</v>
      </c>
      <c r="P461" s="426">
        <v>6</v>
      </c>
      <c r="R461" s="8"/>
      <c r="U461" s="570">
        <v>0</v>
      </c>
      <c r="W461" s="426">
        <v>5</v>
      </c>
    </row>
    <row r="462" spans="2:24" ht="14.4" hidden="1" x14ac:dyDescent="0.3">
      <c r="B462" s="5"/>
      <c r="C462" s="597">
        <v>2.7690999999999999</v>
      </c>
      <c r="G462" s="597">
        <v>-0.30730000000000002</v>
      </c>
      <c r="J462" s="597">
        <v>-0.12790000000000001</v>
      </c>
      <c r="N462" s="597">
        <v>6.9199999999999998E-2</v>
      </c>
      <c r="R462" s="8"/>
      <c r="U462" s="571">
        <v>9.9299999999999999E-2</v>
      </c>
    </row>
    <row r="463" spans="2:24" ht="14.4" hidden="1" x14ac:dyDescent="0.3">
      <c r="B463" s="5"/>
      <c r="C463" s="597">
        <v>2.9834000000000001</v>
      </c>
      <c r="G463" s="597">
        <v>3.3399999999999999E-2</v>
      </c>
      <c r="J463" s="597">
        <v>-0.4148</v>
      </c>
      <c r="N463" s="597">
        <v>8.1000000000000003E-2</v>
      </c>
      <c r="R463" s="8"/>
      <c r="U463" s="571">
        <v>0.1676</v>
      </c>
    </row>
    <row r="464" spans="2:24" ht="14.4" hidden="1" x14ac:dyDescent="0.3">
      <c r="B464" s="5"/>
      <c r="C464" s="597">
        <v>3.2124000000000001</v>
      </c>
      <c r="G464" s="597">
        <v>3.3399999999999999E-2</v>
      </c>
      <c r="J464" s="597">
        <v>-0.74890000000000001</v>
      </c>
      <c r="N464" s="597">
        <v>-2.5476999999999999</v>
      </c>
      <c r="R464" s="8"/>
      <c r="U464" s="571">
        <v>0.29389999999999999</v>
      </c>
    </row>
    <row r="465" spans="2:21" ht="14.4" hidden="1" x14ac:dyDescent="0.3">
      <c r="B465" s="5"/>
      <c r="C465" s="597">
        <v>3.4074</v>
      </c>
      <c r="G465" s="597">
        <v>-0.93459999999999999</v>
      </c>
      <c r="J465" s="597">
        <v>-1.7025999999999999</v>
      </c>
      <c r="N465" s="597">
        <v>-2.5550000000000002</v>
      </c>
      <c r="R465" s="8"/>
      <c r="U465" s="571">
        <v>0.17100000000000001</v>
      </c>
    </row>
    <row r="466" spans="2:21" ht="14.4" hidden="1" x14ac:dyDescent="0.3">
      <c r="B466" s="5"/>
      <c r="C466" s="597">
        <v>3.4573999999999998</v>
      </c>
      <c r="G466" s="597">
        <v>-4.5766</v>
      </c>
      <c r="J466" s="597">
        <v>-2.2113</v>
      </c>
      <c r="N466" s="597">
        <v>-4.5457000000000001</v>
      </c>
      <c r="R466" s="8"/>
      <c r="U466" s="571">
        <v>-2.4578000000000002</v>
      </c>
    </row>
    <row r="467" spans="2:21" ht="14.4" hidden="1" x14ac:dyDescent="0.3">
      <c r="B467" s="5"/>
      <c r="C467" s="597">
        <v>11.7125</v>
      </c>
      <c r="G467" s="597">
        <v>-4.5350999999999999</v>
      </c>
      <c r="J467" s="597">
        <v>-4.4646999999999997</v>
      </c>
      <c r="N467" s="597">
        <v>-4.4686000000000003</v>
      </c>
      <c r="R467" s="8"/>
      <c r="U467" s="571">
        <v>-2.4723999999999999</v>
      </c>
    </row>
    <row r="468" spans="2:21" ht="14.4" hidden="1" x14ac:dyDescent="0.3">
      <c r="B468" s="5"/>
      <c r="C468" s="597">
        <v>15.934200000000001</v>
      </c>
      <c r="G468" s="597">
        <v>-4.5777000000000001</v>
      </c>
      <c r="J468" s="597">
        <v>-4.3388</v>
      </c>
      <c r="N468" s="597">
        <v>-4.4764999999999997</v>
      </c>
      <c r="R468" s="8"/>
      <c r="U468" s="571">
        <v>-2.4651000000000001</v>
      </c>
    </row>
    <row r="469" spans="2:21" ht="14.4" hidden="1" x14ac:dyDescent="0.3">
      <c r="B469" s="5"/>
      <c r="C469" s="597">
        <v>17.784199999999998</v>
      </c>
      <c r="G469" s="597">
        <v>-4.5918000000000001</v>
      </c>
      <c r="J469" s="597">
        <v>-4.3388</v>
      </c>
      <c r="N469" s="597">
        <v>-4.4682000000000004</v>
      </c>
      <c r="R469" s="8"/>
      <c r="U469" s="571">
        <v>-4.4558</v>
      </c>
    </row>
    <row r="470" spans="2:21" ht="14.4" hidden="1" x14ac:dyDescent="0.3">
      <c r="B470" s="5"/>
      <c r="C470" s="597">
        <v>20.359500000000001</v>
      </c>
      <c r="G470" s="597">
        <v>-4.5762999999999998</v>
      </c>
      <c r="J470" s="597">
        <v>-4.3357999999999999</v>
      </c>
      <c r="N470" s="597">
        <v>-4.5457000000000001</v>
      </c>
      <c r="R470" s="8"/>
      <c r="U470" s="571">
        <v>-4.3787000000000003</v>
      </c>
    </row>
    <row r="471" spans="2:21" ht="14.4" hidden="1" x14ac:dyDescent="0.3">
      <c r="B471" s="5"/>
      <c r="C471" s="597">
        <v>20.448599999999999</v>
      </c>
      <c r="G471" s="597">
        <v>-5.7799999999999997E-2</v>
      </c>
      <c r="J471" s="597">
        <v>-0.89859999999999995</v>
      </c>
      <c r="N471" s="597">
        <v>-1.4084000000000001</v>
      </c>
      <c r="R471" s="8"/>
      <c r="U471" s="571">
        <v>-4.3781999999999996</v>
      </c>
    </row>
    <row r="472" spans="2:21" ht="14.4" hidden="1" x14ac:dyDescent="0.3">
      <c r="B472" s="5"/>
      <c r="C472" s="597">
        <v>20.523900000000001</v>
      </c>
      <c r="G472" s="597">
        <v>0.78900000000000003</v>
      </c>
      <c r="J472" s="597">
        <v>0.27750000000000002</v>
      </c>
      <c r="N472" s="597">
        <v>0.86199999999999999</v>
      </c>
      <c r="R472" s="8"/>
      <c r="U472" s="571">
        <v>-4.4558</v>
      </c>
    </row>
    <row r="473" spans="2:21" ht="14.4" hidden="1" x14ac:dyDescent="0.3">
      <c r="B473" s="5"/>
      <c r="C473" s="597">
        <v>20.892099999999999</v>
      </c>
      <c r="G473" s="597">
        <v>0.81820000000000004</v>
      </c>
      <c r="J473" s="597">
        <v>0.45040000000000002</v>
      </c>
      <c r="N473" s="597">
        <v>0.87519999999999998</v>
      </c>
      <c r="R473" s="8"/>
      <c r="U473" s="571">
        <v>-1.3185</v>
      </c>
    </row>
    <row r="474" spans="2:21" ht="14.4" hidden="1" x14ac:dyDescent="0.3">
      <c r="B474" s="5"/>
      <c r="C474" s="597">
        <v>23.862400000000001</v>
      </c>
      <c r="G474" s="597">
        <v>0.72640000000000005</v>
      </c>
      <c r="J474" s="597">
        <v>0.48799999999999999</v>
      </c>
      <c r="N474" s="597">
        <v>0.99409999999999998</v>
      </c>
      <c r="R474" s="8"/>
      <c r="U474" s="571">
        <v>0.95189999999999997</v>
      </c>
    </row>
    <row r="475" spans="2:21" ht="14.4" hidden="1" x14ac:dyDescent="0.3">
      <c r="B475" s="5"/>
      <c r="C475" s="598">
        <v>24.128</v>
      </c>
      <c r="G475" s="598">
        <v>0.87260000000000004</v>
      </c>
      <c r="J475" s="598">
        <v>0.59309999999999996</v>
      </c>
      <c r="N475" s="598">
        <v>1.0059</v>
      </c>
      <c r="R475" s="8"/>
      <c r="U475" s="572">
        <v>1.1829000000000001</v>
      </c>
    </row>
    <row r="476" spans="2:21" hidden="1" x14ac:dyDescent="0.25">
      <c r="B476" s="5"/>
      <c r="R476" s="8"/>
    </row>
    <row r="477" spans="2:21" ht="14.4" hidden="1" x14ac:dyDescent="0.3">
      <c r="B477" s="5"/>
      <c r="C477" s="304" t="s">
        <v>269</v>
      </c>
      <c r="D477" s="424"/>
      <c r="E477" s="306"/>
      <c r="G477" s="33" t="s">
        <v>497</v>
      </c>
      <c r="H477" s="426">
        <v>7</v>
      </c>
      <c r="J477" s="9" t="s">
        <v>63</v>
      </c>
      <c r="L477" s="619"/>
      <c r="M477" s="620"/>
      <c r="N477" s="621"/>
      <c r="P477" s="426">
        <v>8</v>
      </c>
      <c r="R477" s="8"/>
    </row>
    <row r="478" spans="2:21" hidden="1" x14ac:dyDescent="0.25">
      <c r="B478" s="10"/>
      <c r="C478" s="11"/>
      <c r="D478" s="11"/>
      <c r="E478" s="11"/>
      <c r="F478" s="11"/>
      <c r="G478" s="11"/>
      <c r="H478" s="11"/>
      <c r="I478" s="11"/>
      <c r="J478" s="11"/>
      <c r="K478" s="11"/>
      <c r="L478" s="11"/>
      <c r="M478" s="11"/>
      <c r="N478" s="11"/>
      <c r="O478" s="11"/>
      <c r="P478" s="11"/>
      <c r="Q478" s="11"/>
      <c r="R478" s="12"/>
    </row>
    <row r="479" spans="2:21" x14ac:dyDescent="0.25">
      <c r="C479" s="1" t="str">
        <f>+C47</f>
        <v>Evaluación : Ing. Martín Pichón</v>
      </c>
    </row>
    <row r="480" spans="2:21" hidden="1" x14ac:dyDescent="0.25"/>
    <row r="481" spans="3:17" hidden="1" x14ac:dyDescent="0.25">
      <c r="H481" s="1" t="s">
        <v>502</v>
      </c>
      <c r="J481" s="1" t="s">
        <v>504</v>
      </c>
      <c r="P481" s="20" t="s">
        <v>451</v>
      </c>
      <c r="Q481" s="20"/>
    </row>
    <row r="482" spans="3:17" ht="14.4" hidden="1" x14ac:dyDescent="0.3">
      <c r="E482" s="1">
        <v>1</v>
      </c>
      <c r="G482">
        <v>0</v>
      </c>
      <c r="H482">
        <v>-0.36699999999999999</v>
      </c>
      <c r="J482">
        <v>0</v>
      </c>
      <c r="L482">
        <v>-0.14449999999999999</v>
      </c>
      <c r="P482" s="1" t="s">
        <v>496</v>
      </c>
    </row>
    <row r="483" spans="3:17" ht="14.4" hidden="1" x14ac:dyDescent="0.3">
      <c r="C483" s="1">
        <v>12</v>
      </c>
      <c r="E483" s="1">
        <v>2</v>
      </c>
      <c r="G483">
        <v>1.7075</v>
      </c>
      <c r="H483">
        <v>-0.30730000000000002</v>
      </c>
      <c r="J483">
        <v>0.90890000000000004</v>
      </c>
      <c r="L483">
        <v>-0.12790000000000001</v>
      </c>
      <c r="P483" s="1" t="s">
        <v>497</v>
      </c>
    </row>
    <row r="484" spans="3:17" ht="14.4" hidden="1" x14ac:dyDescent="0.3">
      <c r="E484" s="1">
        <v>3</v>
      </c>
      <c r="G484">
        <v>2.7368000000000001</v>
      </c>
      <c r="H484">
        <v>3.3399999999999999E-2</v>
      </c>
      <c r="J484">
        <v>2.1616</v>
      </c>
      <c r="L484">
        <v>-0.4148</v>
      </c>
    </row>
    <row r="485" spans="3:17" ht="14.4" hidden="1" x14ac:dyDescent="0.3">
      <c r="E485" s="1">
        <v>4</v>
      </c>
      <c r="G485">
        <v>2.8195999999999999</v>
      </c>
      <c r="H485">
        <v>3.3399999999999999E-2</v>
      </c>
      <c r="J485">
        <v>3.2635999999999998</v>
      </c>
      <c r="L485">
        <v>-0.74890000000000001</v>
      </c>
      <c r="P485" s="1" t="s">
        <v>156</v>
      </c>
    </row>
    <row r="486" spans="3:17" ht="14.4" hidden="1" x14ac:dyDescent="0.3">
      <c r="E486" s="1">
        <v>5</v>
      </c>
      <c r="G486">
        <v>2.9182000000000001</v>
      </c>
      <c r="H486">
        <v>-0.93459999999999999</v>
      </c>
      <c r="J486">
        <v>4.3773999999999997</v>
      </c>
      <c r="L486">
        <v>-1.7025999999999999</v>
      </c>
    </row>
    <row r="487" spans="3:17" ht="14.4" hidden="1" x14ac:dyDescent="0.3">
      <c r="E487" s="1">
        <v>6</v>
      </c>
      <c r="G487">
        <v>3.0232000000000001</v>
      </c>
      <c r="H487">
        <v>-4.5766</v>
      </c>
      <c r="J487">
        <v>5.0315000000000003</v>
      </c>
      <c r="L487">
        <v>-2.2113</v>
      </c>
    </row>
    <row r="488" spans="3:17" ht="14.4" hidden="1" x14ac:dyDescent="0.3">
      <c r="E488" s="1">
        <v>7</v>
      </c>
      <c r="G488">
        <v>4.3121999999999998</v>
      </c>
      <c r="H488">
        <v>-4.5350999999999999</v>
      </c>
      <c r="J488">
        <v>5.5073999999999996</v>
      </c>
      <c r="L488">
        <v>-4.4646999999999997</v>
      </c>
    </row>
    <row r="489" spans="3:17" ht="14.4" hidden="1" x14ac:dyDescent="0.3">
      <c r="E489" s="1">
        <v>8</v>
      </c>
      <c r="G489">
        <v>7.3117999999999999</v>
      </c>
      <c r="H489">
        <v>-4.5777000000000001</v>
      </c>
      <c r="J489">
        <v>17.8582</v>
      </c>
      <c r="L489">
        <v>-4.3388</v>
      </c>
    </row>
    <row r="490" spans="3:17" ht="14.4" hidden="1" x14ac:dyDescent="0.3">
      <c r="E490" s="1">
        <v>9</v>
      </c>
      <c r="G490">
        <v>14.878399999999999</v>
      </c>
      <c r="H490">
        <v>-4.5918000000000001</v>
      </c>
      <c r="J490">
        <v>17.8614</v>
      </c>
      <c r="L490">
        <v>-4.3388</v>
      </c>
    </row>
    <row r="491" spans="3:17" ht="14.4" hidden="1" x14ac:dyDescent="0.3">
      <c r="E491" s="1">
        <v>10</v>
      </c>
      <c r="G491">
        <v>18.314499999999999</v>
      </c>
      <c r="H491">
        <v>-4.5762999999999998</v>
      </c>
      <c r="J491">
        <v>17.863499999999998</v>
      </c>
      <c r="L491">
        <v>-4.3357999999999999</v>
      </c>
    </row>
    <row r="492" spans="3:17" ht="14.4" hidden="1" x14ac:dyDescent="0.3">
      <c r="E492" s="1">
        <v>11</v>
      </c>
      <c r="G492">
        <v>20.550899999999999</v>
      </c>
      <c r="H492">
        <v>-5.7799999999999997E-2</v>
      </c>
      <c r="J492">
        <v>19.947500000000002</v>
      </c>
      <c r="L492">
        <v>-0.89859999999999995</v>
      </c>
    </row>
    <row r="493" spans="3:17" ht="14.4" hidden="1" x14ac:dyDescent="0.3">
      <c r="E493" s="1">
        <v>12</v>
      </c>
      <c r="G493">
        <v>20.595400000000001</v>
      </c>
      <c r="H493">
        <v>0.78900000000000003</v>
      </c>
      <c r="J493">
        <v>21.7349</v>
      </c>
      <c r="L493">
        <v>0.27750000000000002</v>
      </c>
    </row>
    <row r="494" spans="3:17" ht="14.4" hidden="1" x14ac:dyDescent="0.3">
      <c r="E494" s="1">
        <v>13</v>
      </c>
      <c r="G494">
        <v>21.384499999999999</v>
      </c>
      <c r="H494">
        <v>0.81820000000000004</v>
      </c>
      <c r="J494">
        <v>22.476600000000001</v>
      </c>
      <c r="L494">
        <v>0.45040000000000002</v>
      </c>
    </row>
    <row r="495" spans="3:17" ht="14.4" hidden="1" x14ac:dyDescent="0.3">
      <c r="G495">
        <v>22.039100000000001</v>
      </c>
      <c r="H495">
        <v>0.72640000000000005</v>
      </c>
      <c r="J495">
        <v>22.6419</v>
      </c>
      <c r="L495">
        <v>0.48799999999999999</v>
      </c>
    </row>
    <row r="496" spans="3:17" ht="14.4" hidden="1" x14ac:dyDescent="0.3">
      <c r="G496">
        <v>24.128</v>
      </c>
      <c r="H496">
        <v>0.87260000000000004</v>
      </c>
      <c r="J496">
        <v>24.128</v>
      </c>
      <c r="L496">
        <v>0.59309999999999996</v>
      </c>
    </row>
    <row r="497" hidden="1" x14ac:dyDescent="0.25"/>
    <row r="498" hidden="1" x14ac:dyDescent="0.25"/>
    <row r="499" hidden="1" x14ac:dyDescent="0.25"/>
    <row r="500" hidden="1" x14ac:dyDescent="0.25"/>
  </sheetData>
  <mergeCells count="113">
    <mergeCell ref="C442:G443"/>
    <mergeCell ref="J411:L411"/>
    <mergeCell ref="C419:G420"/>
    <mergeCell ref="N374:P374"/>
    <mergeCell ref="C384:G385"/>
    <mergeCell ref="J407:L407"/>
    <mergeCell ref="C398:G399"/>
    <mergeCell ref="J403:L403"/>
    <mergeCell ref="J405:L405"/>
    <mergeCell ref="H424:J424"/>
    <mergeCell ref="H426:J426"/>
    <mergeCell ref="H428:J428"/>
    <mergeCell ref="H430:J430"/>
    <mergeCell ref="N339:P339"/>
    <mergeCell ref="J339:L339"/>
    <mergeCell ref="M289:N289"/>
    <mergeCell ref="G295:H295"/>
    <mergeCell ref="C301:G302"/>
    <mergeCell ref="G305:H305"/>
    <mergeCell ref="L305:N305"/>
    <mergeCell ref="C317:G318"/>
    <mergeCell ref="H433:K433"/>
    <mergeCell ref="E335:G335"/>
    <mergeCell ref="I289:J289"/>
    <mergeCell ref="H322:J322"/>
    <mergeCell ref="C330:G331"/>
    <mergeCell ref="C353:G354"/>
    <mergeCell ref="H357:J357"/>
    <mergeCell ref="G374:H374"/>
    <mergeCell ref="J374:L374"/>
    <mergeCell ref="J335:L335"/>
    <mergeCell ref="N266:P266"/>
    <mergeCell ref="C255:C257"/>
    <mergeCell ref="R289:S289"/>
    <mergeCell ref="C268:E268"/>
    <mergeCell ref="C270:E270"/>
    <mergeCell ref="C272:E272"/>
    <mergeCell ref="C274:E274"/>
    <mergeCell ref="C276:E276"/>
    <mergeCell ref="C278:E278"/>
    <mergeCell ref="F281:G281"/>
    <mergeCell ref="I281:J281"/>
    <mergeCell ref="F289:G289"/>
    <mergeCell ref="J231:L231"/>
    <mergeCell ref="H324:J324"/>
    <mergeCell ref="J233:L233"/>
    <mergeCell ref="E239:F239"/>
    <mergeCell ref="E241:F241"/>
    <mergeCell ref="E243:F243"/>
    <mergeCell ref="E245:F245"/>
    <mergeCell ref="C249:C251"/>
    <mergeCell ref="E249:F249"/>
    <mergeCell ref="E233:G233"/>
    <mergeCell ref="E255:F255"/>
    <mergeCell ref="E251:F251"/>
    <mergeCell ref="E257:F257"/>
    <mergeCell ref="C262:G263"/>
    <mergeCell ref="G266:H266"/>
    <mergeCell ref="C187:E187"/>
    <mergeCell ref="G202:L202"/>
    <mergeCell ref="F204:H204"/>
    <mergeCell ref="P204:R204"/>
    <mergeCell ref="G212:L212"/>
    <mergeCell ref="F214:H214"/>
    <mergeCell ref="P214:R214"/>
    <mergeCell ref="C221:G222"/>
    <mergeCell ref="J227:L227"/>
    <mergeCell ref="C120:E120"/>
    <mergeCell ref="C124:E124"/>
    <mergeCell ref="E131:R131"/>
    <mergeCell ref="F143:H143"/>
    <mergeCell ref="M143:P143"/>
    <mergeCell ref="F160:H160"/>
    <mergeCell ref="J160:L160"/>
    <mergeCell ref="N160:P160"/>
    <mergeCell ref="C168:G169"/>
    <mergeCell ref="J45:L45"/>
    <mergeCell ref="G48:H48"/>
    <mergeCell ref="J48:L48"/>
    <mergeCell ref="J43:L43"/>
    <mergeCell ref="C91:G92"/>
    <mergeCell ref="C114:G115"/>
    <mergeCell ref="J118:K118"/>
    <mergeCell ref="N118:O118"/>
    <mergeCell ref="C57:E57"/>
    <mergeCell ref="C72:G73"/>
    <mergeCell ref="C59:G60"/>
    <mergeCell ref="E80:G80"/>
    <mergeCell ref="N80:P80"/>
    <mergeCell ref="J9:L9"/>
    <mergeCell ref="J11:L11"/>
    <mergeCell ref="L477:N477"/>
    <mergeCell ref="C1:R2"/>
    <mergeCell ref="C3:R3"/>
    <mergeCell ref="C4:R4"/>
    <mergeCell ref="C6:G7"/>
    <mergeCell ref="C24:G25"/>
    <mergeCell ref="J27:L27"/>
    <mergeCell ref="N48:P48"/>
    <mergeCell ref="R50:T50"/>
    <mergeCell ref="J29:L29"/>
    <mergeCell ref="J31:L31"/>
    <mergeCell ref="J33:L33"/>
    <mergeCell ref="J35:L35"/>
    <mergeCell ref="J37:L37"/>
    <mergeCell ref="J39:L39"/>
    <mergeCell ref="N35:P35"/>
    <mergeCell ref="J54:L54"/>
    <mergeCell ref="G55:H55"/>
    <mergeCell ref="J55:L55"/>
    <mergeCell ref="G56:H56"/>
    <mergeCell ref="J56:L56"/>
    <mergeCell ref="J41:L41"/>
  </mergeCells>
  <dataValidations disablePrompts="1" count="50">
    <dataValidation type="list" allowBlank="1" showInputMessage="1" showErrorMessage="1" sqref="L392 J392 E392 N392 Q392 G392" xr:uid="{00000000-0002-0000-0000-000000000000}">
      <formula1>$H$434:$H$440</formula1>
    </dataValidation>
    <dataValidation type="list" allowBlank="1" showInputMessage="1" showErrorMessage="1" sqref="L343" xr:uid="{00000000-0002-0000-0000-000001000000}">
      <formula1>Subestructura</formula1>
    </dataValidation>
    <dataValidation type="list" allowBlank="1" showInputMessage="1" showErrorMessage="1" sqref="G309 G307 L307 L309 L348:L349 L311 G311 L313 E347:E349 G313" xr:uid="{00000000-0002-0000-0000-000002000000}">
      <formula1>$U$303:$U$305</formula1>
    </dataValidation>
    <dataValidation type="list" allowBlank="1" showInputMessage="1" showErrorMessage="1" sqref="E345" xr:uid="{00000000-0002-0000-0000-000003000000}">
      <formula1>Nat.Suelo</formula1>
    </dataValidation>
    <dataValidation type="list" allowBlank="1" showInputMessage="1" showErrorMessage="1" sqref="E229" xr:uid="{00000000-0002-0000-0000-000004000000}">
      <formula1>TipoBarandas</formula1>
    </dataValidation>
    <dataValidation type="list" allowBlank="1" showInputMessage="1" showErrorMessage="1" sqref="E231" xr:uid="{00000000-0002-0000-0000-000005000000}">
      <formula1>MatBaranda</formula1>
    </dataValidation>
    <dataValidation type="list" allowBlank="1" showInputMessage="1" showErrorMessage="1" sqref="Q249" xr:uid="{00000000-0002-0000-0000-000006000000}">
      <formula1>$C$290:$C$293</formula1>
    </dataValidation>
    <dataValidation type="list" allowBlank="1" showInputMessage="1" showErrorMessage="1" sqref="J251:J253 H251:H254 H258 Q251:Q253 L252:L253" xr:uid="{00000000-0002-0000-0000-000007000000}">
      <formula1>MatJuntas</formula1>
    </dataValidation>
    <dataValidation type="list" allowBlank="1" showInputMessage="1" showErrorMessage="1" sqref="Q239 H239 J239" xr:uid="{00000000-0002-0000-0000-000008000000}">
      <formula1>TipoApoyos</formula1>
    </dataValidation>
    <dataValidation type="list" allowBlank="1" showInputMessage="1" showErrorMessage="1" sqref="H241 Q241 J241" xr:uid="{00000000-0002-0000-0000-000009000000}">
      <formula1>$R$282:$R$285</formula1>
    </dataValidation>
    <dataValidation type="list" allowBlank="1" showInputMessage="1" showErrorMessage="1" sqref="E78 N78" xr:uid="{00000000-0002-0000-0000-00000A000000}">
      <formula1>$U$74:$U$97</formula1>
    </dataValidation>
    <dataValidation type="list" allowBlank="1" showInputMessage="1" showErrorMessage="1" sqref="G175 J175:K175 N175:O175" xr:uid="{00000000-0002-0000-0000-00000B000000}">
      <formula1>$C$205:$C$208</formula1>
    </dataValidation>
    <dataValidation type="list" allowBlank="1" showInputMessage="1" showErrorMessage="1" sqref="G177 J177:K177 N177:O177" xr:uid="{00000000-0002-0000-0000-00000C000000}">
      <formula1>$G$205:$G$209</formula1>
    </dataValidation>
    <dataValidation type="list" allowBlank="1" showInputMessage="1" showErrorMessage="1" sqref="G181 J181:K181 N181:O181" xr:uid="{00000000-0002-0000-0000-00000D000000}">
      <formula1>$L$205:$L$208</formula1>
    </dataValidation>
    <dataValidation type="list" allowBlank="1" showInputMessage="1" showErrorMessage="1" sqref="G183 J183:K183 N183:O183" xr:uid="{00000000-0002-0000-0000-00000E000000}">
      <formula1>$P$205:$P$208</formula1>
    </dataValidation>
    <dataValidation type="list" allowBlank="1" showInputMessage="1" showErrorMessage="1" sqref="G191 L191" xr:uid="{00000000-0002-0000-0000-00000F000000}">
      <formula1>$C$215:$C$217</formula1>
    </dataValidation>
    <dataValidation type="list" allowBlank="1" showInputMessage="1" showErrorMessage="1" sqref="G193 L193" xr:uid="{00000000-0002-0000-0000-000010000000}">
      <formula1>$G$215:$G$216</formula1>
    </dataValidation>
    <dataValidation type="list" allowBlank="1" showInputMessage="1" showErrorMessage="1" sqref="G197 L197" xr:uid="{00000000-0002-0000-0000-000011000000}">
      <formula1>$L$215:$L$216</formula1>
    </dataValidation>
    <dataValidation type="list" allowBlank="1" showInputMessage="1" showErrorMessage="1" sqref="G199 L199" xr:uid="{00000000-0002-0000-0000-000012000000}">
      <formula1>$P$215:$P$216</formula1>
    </dataValidation>
    <dataValidation type="list" allowBlank="1" showInputMessage="1" showErrorMessage="1" sqref="N233:O235" xr:uid="{00000000-0002-0000-0000-000013000000}">
      <formula1>MatVeredas</formula1>
    </dataValidation>
    <dataValidation type="list" allowBlank="1" showInputMessage="1" showErrorMessage="1" sqref="H255" xr:uid="{00000000-0002-0000-0000-000014000000}">
      <formula1>$I$290:$I$293</formula1>
    </dataValidation>
    <dataValidation type="list" allowBlank="1" showInputMessage="1" showErrorMessage="1" sqref="G270 N270" xr:uid="{00000000-0002-0000-0000-000015000000}">
      <formula1>$R$290:$R$293</formula1>
    </dataValidation>
    <dataValidation type="list" allowBlank="1" showInputMessage="1" showErrorMessage="1" sqref="G278 N278" xr:uid="{00000000-0002-0000-0000-000016000000}">
      <formula1>Visibilidad</formula1>
    </dataValidation>
    <dataValidation type="list" allowBlank="1" showInputMessage="1" showErrorMessage="1" sqref="E309 H309 N309" xr:uid="{00000000-0002-0000-0000-000017000000}">
      <formula1>Señalpreventiva</formula1>
    </dataValidation>
    <dataValidation type="list" allowBlank="1" showInputMessage="1" showErrorMessage="1" sqref="L357" xr:uid="{00000000-0002-0000-0000-000018000000}">
      <formula1>$J$375:$J$378</formula1>
    </dataValidation>
    <dataValidation type="list" allowBlank="1" showInputMessage="1" showErrorMessage="1" sqref="H311 N311" xr:uid="{00000000-0002-0000-0000-000019000000}">
      <formula1>SeñalReglamentaria</formula1>
    </dataValidation>
    <dataValidation type="list" allowBlank="1" showInputMessage="1" showErrorMessage="1" sqref="P257:Q258 H257" xr:uid="{00000000-0002-0000-0000-00001A000000}">
      <formula1>MatDrenaje</formula1>
    </dataValidation>
    <dataValidation type="list" allowBlank="1" showInputMessage="1" showErrorMessage="1" sqref="E424 E426 E428 E430" xr:uid="{00000000-0002-0000-0000-00001B000000}">
      <formula1>$C$434:$C$435</formula1>
    </dataValidation>
    <dataValidation type="list" allowBlank="1" showInputMessage="1" showErrorMessage="1" sqref="G477" xr:uid="{00000000-0002-0000-0000-00001C000000}">
      <formula1>$P$482:$P$483</formula1>
    </dataValidation>
    <dataValidation type="list" allowBlank="1" showInputMessage="1" showErrorMessage="1" sqref="G276 N276" xr:uid="{00000000-0002-0000-0000-00001D000000}">
      <formula1>$G$296:$G$297</formula1>
    </dataValidation>
    <dataValidation type="list" allowBlank="1" showInputMessage="1" showErrorMessage="1" sqref="Q339 N339" xr:uid="{00000000-0002-0000-0000-00001E000000}">
      <formula1>$N$364:$N$366</formula1>
    </dataValidation>
    <dataValidation type="list" allowBlank="1" showInputMessage="1" showErrorMessage="1" sqref="J98" xr:uid="{00000000-0002-0000-0000-00001F000000}">
      <formula1>TipoVigas</formula1>
    </dataValidation>
    <dataValidation type="list" allowBlank="1" showInputMessage="1" showErrorMessage="1" sqref="J102" xr:uid="{00000000-0002-0000-0000-000020000000}">
      <formula1>MatVigas</formula1>
    </dataValidation>
    <dataValidation type="list" allowBlank="1" showInputMessage="1" showErrorMessage="1" sqref="J104" xr:uid="{00000000-0002-0000-0000-000021000000}">
      <formula1>FormaViga</formula1>
    </dataValidation>
    <dataValidation type="list" allowBlank="1" showInputMessage="1" showErrorMessage="1" sqref="E82 N82" xr:uid="{00000000-0002-0000-0000-000022000000}">
      <formula1>Cond.Borde</formula1>
    </dataValidation>
    <dataValidation type="list" allowBlank="1" showInputMessage="1" showErrorMessage="1" sqref="E84 N84" xr:uid="{00000000-0002-0000-0000-000023000000}">
      <formula1>Mat.Predo</formula1>
    </dataValidation>
    <dataValidation type="list" allowBlank="1" showInputMessage="1" showErrorMessage="1" sqref="E76 N76" xr:uid="{00000000-0002-0000-0000-000024000000}">
      <formula1>$C$136:$C$139</formula1>
    </dataValidation>
    <dataValidation type="list" allowBlank="1" showInputMessage="1" showErrorMessage="1" sqref="N43" xr:uid="{00000000-0002-0000-0000-000025000000}">
      <formula1>$G$49:$G$53</formula1>
    </dataValidation>
    <dataValidation type="list" allowBlank="1" showInputMessage="1" showErrorMessage="1" sqref="N45:O45" xr:uid="{00000000-0002-0000-0000-000026000000}">
      <formula1>CondAmb</formula1>
    </dataValidation>
    <dataValidation type="list" allowBlank="1" showInputMessage="1" showErrorMessage="1" sqref="P19" xr:uid="{00000000-0002-0000-0000-000027000000}">
      <formula1>$R$51:$R$53</formula1>
    </dataValidation>
    <dataValidation type="list" allowBlank="1" showInputMessage="1" showErrorMessage="1" sqref="J120:K120 L345 N120:O120" xr:uid="{00000000-0002-0000-0000-000028000000}">
      <formula1>TipoElevación</formula1>
    </dataValidation>
    <dataValidation type="list" allowBlank="1" showInputMessage="1" showErrorMessage="1" sqref="J122:K122 N122:O122" xr:uid="{00000000-0002-0000-0000-000029000000}">
      <formula1>MaterialEleva</formula1>
    </dataValidation>
    <dataValidation type="list" allowBlank="1" showInputMessage="1" showErrorMessage="1" sqref="J124:K124 N124:O124" xr:uid="{00000000-0002-0000-0000-00002A000000}">
      <formula1>TipoCimentación</formula1>
    </dataValidation>
    <dataValidation type="list" allowBlank="1" showInputMessage="1" showErrorMessage="1" sqref="J126:K128 N126:O128" xr:uid="{00000000-0002-0000-0000-00002B000000}">
      <formula1>MaterialCimenta</formula1>
    </dataValidation>
    <dataValidation type="list" allowBlank="1" showInputMessage="1" showErrorMessage="1" sqref="G49:H49" xr:uid="{00000000-0002-0000-0000-00002C000000}">
      <formula1>$G$49</formula1>
    </dataValidation>
    <dataValidation type="list" allowBlank="1" showInputMessage="1" showErrorMessage="1" sqref="E27" xr:uid="{00000000-0002-0000-0000-00002D000000}">
      <formula1>$C$49:$C$56</formula1>
    </dataValidation>
    <dataValidation type="list" allowBlank="1" showInputMessage="1" showErrorMessage="1" sqref="N35" xr:uid="{00000000-0002-0000-0000-00002E000000}">
      <formula1>$J$49:$J$53</formula1>
    </dataValidation>
    <dataValidation type="list" allowBlank="1" showInputMessage="1" showErrorMessage="1" sqref="E64" xr:uid="{00000000-0002-0000-0000-00002F000000}">
      <formula1>$C$133:$C$135</formula1>
    </dataValidation>
    <dataValidation type="list" allowBlank="1" showInputMessage="1" showErrorMessage="1" sqref="E98" xr:uid="{00000000-0002-0000-0000-000030000000}">
      <formula1>Materiallosa</formula1>
    </dataValidation>
    <dataValidation type="list" allowBlank="1" showInputMessage="1" showErrorMessage="1" sqref="E102" xr:uid="{00000000-0002-0000-0000-000031000000}">
      <formula1>SuperDesgaste</formula1>
    </dataValidation>
  </dataValidations>
  <printOptions horizontalCentered="1"/>
  <pageMargins left="0.31496062992125984" right="0.31496062992125984" top="0.74803149606299213" bottom="0.94488188976377963" header="0.31496062992125984" footer="0.31496062992125984"/>
  <pageSetup paperSize="9" scale="62" orientation="portrait" r:id="rId1"/>
  <rowBreaks count="2" manualBreakCount="2">
    <brk id="141" max="16" man="1"/>
    <brk id="218" max="1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5">
    <pageSetUpPr fitToPage="1"/>
  </sheetPr>
  <dimension ref="A4:K51"/>
  <sheetViews>
    <sheetView view="pageBreakPreview" topLeftCell="A28" zoomScaleNormal="100" zoomScaleSheetLayoutView="100" workbookViewId="0">
      <selection activeCell="N15" sqref="N15"/>
    </sheetView>
  </sheetViews>
  <sheetFormatPr baseColWidth="10" defaultRowHeight="14.4" x14ac:dyDescent="0.3"/>
  <cols>
    <col min="1" max="1" width="2.88671875" customWidth="1"/>
    <col min="2" max="2" width="10.88671875" customWidth="1"/>
    <col min="4" max="4" width="11" customWidth="1"/>
    <col min="5" max="5" width="4.33203125" customWidth="1"/>
  </cols>
  <sheetData>
    <row r="4" spans="1:10" ht="18" x14ac:dyDescent="0.35">
      <c r="B4" s="338" t="s">
        <v>493</v>
      </c>
      <c r="C4" s="251" t="s">
        <v>889</v>
      </c>
      <c r="D4" s="251"/>
      <c r="E4" s="251"/>
      <c r="F4" s="251"/>
      <c r="G4" s="251"/>
      <c r="H4" s="251"/>
      <c r="I4" s="251"/>
    </row>
    <row r="5" spans="1:10" ht="18" x14ac:dyDescent="0.35">
      <c r="B5" s="545" t="s">
        <v>846</v>
      </c>
      <c r="C5" s="545" t="str">
        <f>+'A-D.- FICHA'!J9</f>
        <v>PUENTE AGUA BLANCA</v>
      </c>
      <c r="D5" s="251"/>
      <c r="E5" s="251"/>
      <c r="F5" s="251"/>
      <c r="G5" s="251"/>
      <c r="H5" s="251"/>
      <c r="I5" s="251"/>
    </row>
    <row r="6" spans="1:10" ht="18.75" customHeight="1" x14ac:dyDescent="0.3">
      <c r="B6" t="s">
        <v>586</v>
      </c>
      <c r="C6" t="str">
        <f>+'A-D.- FICHA'!P15</f>
        <v>MO-100</v>
      </c>
      <c r="F6" t="s">
        <v>585</v>
      </c>
      <c r="G6" s="546">
        <f>+'A-D.- FICHA'!P17</f>
        <v>30298</v>
      </c>
    </row>
    <row r="7" spans="1:10" ht="12" customHeight="1" x14ac:dyDescent="0.3"/>
    <row r="8" spans="1:10" x14ac:dyDescent="0.3">
      <c r="A8" s="1"/>
      <c r="B8" s="693" t="s">
        <v>488</v>
      </c>
      <c r="C8" s="694"/>
      <c r="D8" s="694"/>
      <c r="E8" s="695"/>
      <c r="F8" s="1"/>
      <c r="G8" s="1"/>
      <c r="H8" s="1"/>
      <c r="I8" s="1"/>
      <c r="J8" s="1"/>
    </row>
    <row r="9" spans="1:10" ht="9.75" customHeight="1" x14ac:dyDescent="0.3">
      <c r="A9" s="13"/>
      <c r="B9" s="696"/>
      <c r="C9" s="697"/>
      <c r="D9" s="697"/>
      <c r="E9" s="698"/>
      <c r="F9" s="6"/>
      <c r="G9" s="6"/>
      <c r="H9" s="6"/>
      <c r="I9" s="7"/>
      <c r="J9" s="1"/>
    </row>
    <row r="10" spans="1:10" x14ac:dyDescent="0.3">
      <c r="A10" s="5"/>
      <c r="C10" s="1"/>
      <c r="D10" s="1"/>
      <c r="E10" s="1"/>
      <c r="F10" s="1"/>
      <c r="G10" s="1"/>
      <c r="H10" s="1"/>
      <c r="I10" s="8"/>
      <c r="J10" s="1"/>
    </row>
    <row r="11" spans="1:10" x14ac:dyDescent="0.3">
      <c r="A11" s="5"/>
      <c r="B11" s="1"/>
      <c r="C11" s="1"/>
      <c r="D11" s="1"/>
      <c r="E11" s="1"/>
      <c r="F11" s="1"/>
      <c r="G11" s="1"/>
      <c r="H11" s="1"/>
      <c r="I11" s="8"/>
      <c r="J11" s="1"/>
    </row>
    <row r="12" spans="1:10" x14ac:dyDescent="0.3">
      <c r="A12" s="5"/>
      <c r="B12" s="1"/>
      <c r="C12" s="1"/>
      <c r="D12" s="1"/>
      <c r="E12" s="1"/>
      <c r="F12" s="1"/>
      <c r="G12" s="1"/>
      <c r="H12" s="1"/>
      <c r="I12" s="8"/>
      <c r="J12" s="1"/>
    </row>
    <row r="13" spans="1:10" x14ac:dyDescent="0.3">
      <c r="A13" s="5"/>
      <c r="B13" s="1"/>
      <c r="C13" s="1"/>
      <c r="D13" s="1"/>
      <c r="E13" s="1"/>
      <c r="F13" s="1"/>
      <c r="G13" s="1"/>
      <c r="H13" s="1"/>
      <c r="I13" s="8"/>
      <c r="J13" s="1"/>
    </row>
    <row r="14" spans="1:10" x14ac:dyDescent="0.3">
      <c r="A14" s="5"/>
      <c r="B14" s="1"/>
      <c r="C14" s="1"/>
      <c r="D14" s="1"/>
      <c r="E14" s="1"/>
      <c r="F14" s="1"/>
      <c r="G14" s="1"/>
      <c r="H14" s="1"/>
      <c r="I14" s="8"/>
      <c r="J14" s="1"/>
    </row>
    <row r="15" spans="1:10" x14ac:dyDescent="0.3">
      <c r="A15" s="5"/>
      <c r="B15" s="1"/>
      <c r="C15" s="1"/>
      <c r="D15" s="1"/>
      <c r="E15" s="1"/>
      <c r="F15" s="1"/>
      <c r="G15" s="1"/>
      <c r="H15" s="1"/>
      <c r="I15" s="8"/>
      <c r="J15" s="1"/>
    </row>
    <row r="16" spans="1:10" x14ac:dyDescent="0.3">
      <c r="A16" s="5"/>
      <c r="B16" s="1"/>
      <c r="C16" s="1"/>
      <c r="D16" s="1"/>
      <c r="E16" s="1"/>
      <c r="F16" s="1"/>
      <c r="G16" s="1"/>
      <c r="H16" s="1"/>
      <c r="I16" s="8"/>
      <c r="J16" s="1"/>
    </row>
    <row r="17" spans="1:10" x14ac:dyDescent="0.3">
      <c r="A17" s="5"/>
      <c r="B17" s="1"/>
      <c r="C17" s="1"/>
      <c r="D17" s="1"/>
      <c r="E17" s="1"/>
      <c r="F17" s="1"/>
      <c r="G17" s="1"/>
      <c r="H17" s="1"/>
      <c r="I17" s="8"/>
      <c r="J17" s="1"/>
    </row>
    <row r="18" spans="1:10" x14ac:dyDescent="0.3">
      <c r="A18" s="5"/>
      <c r="B18" s="1"/>
      <c r="C18" s="1"/>
      <c r="D18" s="1"/>
      <c r="E18" s="1"/>
      <c r="F18" s="1"/>
      <c r="G18" s="1"/>
      <c r="H18" s="1"/>
      <c r="I18" s="8"/>
      <c r="J18" s="1"/>
    </row>
    <row r="19" spans="1:10" x14ac:dyDescent="0.3">
      <c r="A19" s="5"/>
      <c r="B19" s="1"/>
      <c r="C19" s="1"/>
      <c r="D19" s="1"/>
      <c r="E19" s="1"/>
      <c r="F19" s="1"/>
      <c r="G19" s="1"/>
      <c r="H19" s="1"/>
      <c r="I19" s="8"/>
      <c r="J19" s="1"/>
    </row>
    <row r="20" spans="1:10" x14ac:dyDescent="0.3">
      <c r="A20" s="10"/>
      <c r="B20" s="11"/>
      <c r="C20" s="11"/>
      <c r="D20" s="11"/>
      <c r="E20" s="11"/>
      <c r="F20" s="11"/>
      <c r="G20" s="11"/>
      <c r="H20" s="11"/>
      <c r="I20" s="12"/>
      <c r="J20" s="1"/>
    </row>
    <row r="22" spans="1:10" x14ac:dyDescent="0.3">
      <c r="A22" s="1"/>
      <c r="B22" s="693" t="s">
        <v>489</v>
      </c>
      <c r="C22" s="694"/>
      <c r="D22" s="694"/>
      <c r="E22" s="695"/>
      <c r="F22" s="1"/>
      <c r="G22" s="1"/>
      <c r="H22" s="1"/>
      <c r="I22" s="1"/>
    </row>
    <row r="23" spans="1:10" ht="10.5" customHeight="1" x14ac:dyDescent="0.3">
      <c r="A23" s="13"/>
      <c r="B23" s="696"/>
      <c r="C23" s="697"/>
      <c r="D23" s="697"/>
      <c r="E23" s="698"/>
      <c r="F23" s="6"/>
      <c r="G23" s="6"/>
      <c r="H23" s="6"/>
      <c r="I23" s="7"/>
    </row>
    <row r="24" spans="1:10" x14ac:dyDescent="0.3">
      <c r="A24" s="5"/>
      <c r="C24" s="1"/>
      <c r="D24" s="1"/>
      <c r="E24" s="1"/>
      <c r="F24" s="1"/>
      <c r="G24" s="1"/>
      <c r="H24" s="1"/>
      <c r="I24" s="8"/>
    </row>
    <row r="25" spans="1:10" x14ac:dyDescent="0.3">
      <c r="A25" s="5"/>
      <c r="B25" s="1"/>
      <c r="C25" s="1"/>
      <c r="D25" s="1"/>
      <c r="E25" s="1"/>
      <c r="F25" s="1"/>
      <c r="G25" s="1"/>
      <c r="H25" s="1"/>
      <c r="I25" s="8"/>
    </row>
    <row r="26" spans="1:10" x14ac:dyDescent="0.3">
      <c r="A26" s="5"/>
      <c r="B26" s="1"/>
      <c r="C26" s="1"/>
      <c r="D26" s="1"/>
      <c r="E26" s="1"/>
      <c r="F26" s="1"/>
      <c r="G26" s="1"/>
      <c r="H26" s="1"/>
      <c r="I26" s="8"/>
    </row>
    <row r="27" spans="1:10" x14ac:dyDescent="0.3">
      <c r="A27" s="5"/>
      <c r="B27" s="1"/>
      <c r="C27" s="1"/>
      <c r="D27" s="1"/>
      <c r="E27" s="1"/>
      <c r="F27" s="1"/>
      <c r="G27" s="1"/>
      <c r="H27" s="1"/>
      <c r="I27" s="8"/>
    </row>
    <row r="28" spans="1:10" x14ac:dyDescent="0.3">
      <c r="A28" s="5"/>
      <c r="B28" s="1"/>
      <c r="C28" s="1"/>
      <c r="D28" s="1"/>
      <c r="E28" s="1"/>
      <c r="F28" s="1"/>
      <c r="G28" s="1"/>
      <c r="H28" s="1"/>
      <c r="I28" s="8"/>
    </row>
    <row r="29" spans="1:10" x14ac:dyDescent="0.3">
      <c r="A29" s="5"/>
      <c r="B29" s="1"/>
      <c r="C29" s="1"/>
      <c r="D29" s="1"/>
      <c r="E29" s="1"/>
      <c r="F29" s="1"/>
      <c r="G29" s="1"/>
      <c r="H29" s="1"/>
      <c r="I29" s="8"/>
    </row>
    <row r="30" spans="1:10" x14ac:dyDescent="0.3">
      <c r="A30" s="5"/>
      <c r="B30" s="1"/>
      <c r="C30" s="1"/>
      <c r="D30" s="1"/>
      <c r="E30" s="1"/>
      <c r="F30" s="1"/>
      <c r="G30" s="1"/>
      <c r="H30" s="1"/>
      <c r="I30" s="8"/>
    </row>
    <row r="31" spans="1:10" x14ac:dyDescent="0.3">
      <c r="A31" s="5"/>
      <c r="B31" s="1"/>
      <c r="C31" s="1"/>
      <c r="D31" s="1"/>
      <c r="E31" s="1"/>
      <c r="F31" s="1"/>
      <c r="G31" s="1"/>
      <c r="H31" s="1"/>
      <c r="I31" s="8"/>
    </row>
    <row r="32" spans="1:10" x14ac:dyDescent="0.3">
      <c r="A32" s="5"/>
      <c r="B32" s="1"/>
      <c r="C32" s="1"/>
      <c r="D32" s="1"/>
      <c r="E32" s="1"/>
      <c r="F32" s="1"/>
      <c r="G32" s="1"/>
      <c r="H32" s="1"/>
      <c r="I32" s="8"/>
    </row>
    <row r="33" spans="1:11" x14ac:dyDescent="0.3">
      <c r="A33" s="5"/>
      <c r="B33" s="1"/>
      <c r="C33" s="1"/>
      <c r="D33" s="1"/>
      <c r="E33" s="1"/>
      <c r="F33" s="1"/>
      <c r="G33" s="1"/>
      <c r="H33" s="1"/>
      <c r="I33" s="8"/>
      <c r="K33" s="294"/>
    </row>
    <row r="34" spans="1:11" x14ac:dyDescent="0.3">
      <c r="A34" s="5"/>
      <c r="B34" s="1"/>
      <c r="C34" s="1"/>
      <c r="D34" s="1"/>
      <c r="E34" s="1"/>
      <c r="F34" s="1"/>
      <c r="G34" s="1"/>
      <c r="H34" s="1"/>
      <c r="I34" s="8"/>
    </row>
    <row r="35" spans="1:11" x14ac:dyDescent="0.3">
      <c r="A35" s="10"/>
      <c r="B35" s="11"/>
      <c r="C35" s="11"/>
      <c r="D35" s="11"/>
      <c r="E35" s="11"/>
      <c r="F35" s="11"/>
      <c r="G35" s="11"/>
      <c r="H35" s="11"/>
      <c r="I35" s="12"/>
    </row>
    <row r="37" spans="1:11" x14ac:dyDescent="0.3">
      <c r="A37" s="1"/>
      <c r="B37" s="693" t="s">
        <v>490</v>
      </c>
      <c r="C37" s="694"/>
      <c r="D37" s="694"/>
      <c r="E37" s="695"/>
      <c r="F37" s="1"/>
      <c r="G37" s="1"/>
      <c r="H37" s="1"/>
      <c r="I37" s="1"/>
    </row>
    <row r="38" spans="1:11" ht="11.25" customHeight="1" x14ac:dyDescent="0.3">
      <c r="A38" s="13"/>
      <c r="B38" s="696"/>
      <c r="C38" s="697"/>
      <c r="D38" s="697"/>
      <c r="E38" s="698"/>
      <c r="F38" s="6"/>
      <c r="G38" s="6"/>
      <c r="H38" s="6"/>
      <c r="I38" s="7"/>
    </row>
    <row r="39" spans="1:11" x14ac:dyDescent="0.3">
      <c r="A39" s="5"/>
      <c r="C39" s="1"/>
      <c r="D39" s="1"/>
      <c r="E39" s="1"/>
      <c r="F39" s="1"/>
      <c r="G39" s="1"/>
      <c r="H39" s="1"/>
      <c r="I39" s="8"/>
    </row>
    <row r="40" spans="1:11" x14ac:dyDescent="0.3">
      <c r="A40" s="5"/>
      <c r="B40" s="1"/>
      <c r="C40" s="1"/>
      <c r="D40" s="1"/>
      <c r="E40" s="1"/>
      <c r="F40" s="1"/>
      <c r="G40" s="1"/>
      <c r="H40" s="1"/>
      <c r="I40" s="8"/>
    </row>
    <row r="41" spans="1:11" x14ac:dyDescent="0.3">
      <c r="A41" s="5"/>
      <c r="B41" s="1"/>
      <c r="C41" s="1"/>
      <c r="D41" s="1"/>
      <c r="E41" s="1"/>
      <c r="F41" s="1"/>
      <c r="G41" s="1"/>
      <c r="H41" s="1"/>
      <c r="I41" s="8"/>
    </row>
    <row r="42" spans="1:11" x14ac:dyDescent="0.3">
      <c r="A42" s="5"/>
      <c r="B42" s="1"/>
      <c r="C42" s="1"/>
      <c r="D42" s="1"/>
      <c r="E42" s="1"/>
      <c r="F42" s="1"/>
      <c r="G42" s="1"/>
      <c r="H42" s="1"/>
      <c r="I42" s="8"/>
    </row>
    <row r="43" spans="1:11" x14ac:dyDescent="0.3">
      <c r="A43" s="5"/>
      <c r="B43" s="1"/>
      <c r="C43" s="1"/>
      <c r="D43" s="1"/>
      <c r="E43" s="1"/>
      <c r="F43" s="1"/>
      <c r="G43" s="1"/>
      <c r="H43" s="1"/>
      <c r="I43" s="8"/>
    </row>
    <row r="44" spans="1:11" x14ac:dyDescent="0.3">
      <c r="A44" s="5"/>
      <c r="B44" s="1"/>
      <c r="C44" s="1"/>
      <c r="D44" s="1"/>
      <c r="E44" s="1"/>
      <c r="F44" s="1"/>
      <c r="G44" s="1"/>
      <c r="H44" s="1"/>
      <c r="I44" s="8"/>
    </row>
    <row r="45" spans="1:11" x14ac:dyDescent="0.3">
      <c r="A45" s="5"/>
      <c r="B45" s="1"/>
      <c r="C45" s="1"/>
      <c r="D45" s="1"/>
      <c r="E45" s="1"/>
      <c r="F45" s="1"/>
      <c r="G45" s="1"/>
      <c r="H45" s="1"/>
      <c r="I45" s="8"/>
    </row>
    <row r="46" spans="1:11" x14ac:dyDescent="0.3">
      <c r="A46" s="5"/>
      <c r="B46" s="1"/>
      <c r="C46" s="1"/>
      <c r="D46" s="1"/>
      <c r="E46" s="1"/>
      <c r="F46" s="1"/>
      <c r="G46" s="1"/>
      <c r="H46" s="1"/>
      <c r="I46" s="8"/>
    </row>
    <row r="47" spans="1:11" x14ac:dyDescent="0.3">
      <c r="A47" s="5"/>
      <c r="B47" s="1"/>
      <c r="C47" s="1"/>
      <c r="D47" s="1"/>
      <c r="E47" s="1"/>
      <c r="F47" s="1"/>
      <c r="G47" s="1"/>
      <c r="H47" s="1"/>
      <c r="I47" s="8"/>
    </row>
    <row r="48" spans="1:11" x14ac:dyDescent="0.3">
      <c r="A48" s="5"/>
      <c r="B48" s="1"/>
      <c r="C48" s="1"/>
      <c r="D48" s="1"/>
      <c r="E48" s="1"/>
      <c r="F48" s="1"/>
      <c r="G48" s="1"/>
      <c r="H48" s="1"/>
      <c r="I48" s="8"/>
    </row>
    <row r="49" spans="1:9" x14ac:dyDescent="0.3">
      <c r="A49" s="5"/>
      <c r="B49" s="1"/>
      <c r="C49" s="1"/>
      <c r="D49" s="1"/>
      <c r="E49" s="1"/>
      <c r="F49" s="1"/>
      <c r="G49" s="1"/>
      <c r="H49" s="1"/>
      <c r="I49" s="8"/>
    </row>
    <row r="50" spans="1:9" x14ac:dyDescent="0.3">
      <c r="A50" s="5"/>
      <c r="C50" s="1"/>
      <c r="D50" s="1"/>
      <c r="E50" s="1"/>
      <c r="F50" s="1"/>
      <c r="G50" s="1"/>
      <c r="H50" s="1"/>
      <c r="I50" s="8"/>
    </row>
    <row r="51" spans="1:9" x14ac:dyDescent="0.3">
      <c r="A51" s="10"/>
      <c r="B51" s="11" t="str">
        <f>+'A-D.- FICHA'!C47</f>
        <v>Evaluación : Ing. Martín Pichón</v>
      </c>
      <c r="C51" s="11"/>
      <c r="D51" s="11"/>
      <c r="E51" s="11"/>
      <c r="F51" s="11"/>
      <c r="G51" s="11"/>
      <c r="H51" s="11"/>
      <c r="I51" s="12"/>
    </row>
  </sheetData>
  <mergeCells count="3">
    <mergeCell ref="B37:E38"/>
    <mergeCell ref="B8:E9"/>
    <mergeCell ref="B22:E23"/>
  </mergeCells>
  <printOptions horizontalCentered="1"/>
  <pageMargins left="0.31496062992125984" right="0.31496062992125984" top="0.74803149606299213" bottom="0.94488188976377963" header="0.31496062992125984" footer="0.31496062992125984"/>
  <pageSetup paperSize="9" scale="97"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2">
    <pageSetUpPr fitToPage="1"/>
  </sheetPr>
  <dimension ref="A4:X278"/>
  <sheetViews>
    <sheetView view="pageBreakPreview" topLeftCell="A28" zoomScaleNormal="100" zoomScaleSheetLayoutView="100" workbookViewId="0">
      <selection activeCell="R15" sqref="R15"/>
    </sheetView>
  </sheetViews>
  <sheetFormatPr baseColWidth="10" defaultColWidth="11.44140625" defaultRowHeight="14.1" customHeight="1" x14ac:dyDescent="0.25"/>
  <cols>
    <col min="1" max="1" width="7.109375" style="61" customWidth="1"/>
    <col min="2" max="2" width="5.33203125" style="61" customWidth="1"/>
    <col min="3" max="3" width="6.109375" style="61" customWidth="1"/>
    <col min="4" max="4" width="9.44140625" style="61" customWidth="1"/>
    <col min="5" max="6" width="10.44140625" style="61" customWidth="1"/>
    <col min="7" max="7" width="8.6640625" style="61" customWidth="1"/>
    <col min="8" max="8" width="8.5546875" style="61" customWidth="1"/>
    <col min="9" max="9" width="4" style="61" customWidth="1"/>
    <col min="10" max="10" width="10.44140625" style="61" customWidth="1"/>
    <col min="11" max="12" width="10.88671875" style="61" customWidth="1"/>
    <col min="13" max="13" width="9.6640625" style="61" customWidth="1"/>
    <col min="14" max="16384" width="11.44140625" style="61"/>
  </cols>
  <sheetData>
    <row r="4" spans="2:14" ht="20.100000000000001" customHeight="1" x14ac:dyDescent="0.3">
      <c r="C4" s="313" t="s">
        <v>889</v>
      </c>
      <c r="D4" s="310"/>
      <c r="E4" s="311"/>
      <c r="F4" s="312"/>
      <c r="G4" s="311"/>
      <c r="H4" s="311"/>
      <c r="I4" s="311"/>
      <c r="J4" s="311"/>
      <c r="K4" s="311"/>
      <c r="L4" s="311"/>
      <c r="M4" s="311"/>
      <c r="N4" s="311"/>
    </row>
    <row r="5" spans="2:14" ht="20.100000000000001" customHeight="1" x14ac:dyDescent="0.3">
      <c r="C5" s="126"/>
      <c r="D5" s="310"/>
      <c r="E5" s="311"/>
      <c r="F5" s="312"/>
      <c r="G5" s="311"/>
      <c r="H5" s="311"/>
      <c r="I5" s="311"/>
      <c r="J5" s="311"/>
      <c r="K5" s="311"/>
      <c r="L5" s="311"/>
      <c r="M5" s="311"/>
      <c r="N5" s="311"/>
    </row>
    <row r="6" spans="2:14" ht="20.100000000000001" customHeight="1" x14ac:dyDescent="0.3">
      <c r="B6" s="62"/>
      <c r="C6" s="300" t="s">
        <v>543</v>
      </c>
      <c r="D6" s="62"/>
    </row>
    <row r="7" spans="2:14" ht="20.100000000000001" customHeight="1" x14ac:dyDescent="0.35">
      <c r="B7" s="63"/>
      <c r="C7" s="342" t="s">
        <v>12</v>
      </c>
      <c r="E7" s="61" t="str">
        <f>+'E.- CROQUIS'!C5</f>
        <v>PUENTE AGUA BLANCA</v>
      </c>
      <c r="K7" s="65"/>
      <c r="L7" s="65"/>
      <c r="M7" s="65"/>
    </row>
    <row r="8" spans="2:14" ht="20.100000000000001" customHeight="1" x14ac:dyDescent="0.35">
      <c r="B8" s="63"/>
      <c r="C8" s="342" t="s">
        <v>587</v>
      </c>
      <c r="E8" s="343" t="str">
        <f>+'A-D.- FICHA'!P15</f>
        <v>MO-100</v>
      </c>
      <c r="K8" s="65"/>
      <c r="L8" s="65"/>
      <c r="M8" s="65"/>
    </row>
    <row r="9" spans="2:14" ht="20.100000000000001" customHeight="1" x14ac:dyDescent="0.35">
      <c r="B9" s="63"/>
      <c r="C9" s="342" t="s">
        <v>590</v>
      </c>
      <c r="E9" s="547">
        <f>+'A-D.- FICHA'!P17</f>
        <v>30298</v>
      </c>
      <c r="K9" s="65"/>
      <c r="L9" s="65"/>
      <c r="M9" s="65"/>
    </row>
    <row r="10" spans="2:14" ht="12.75" customHeight="1" x14ac:dyDescent="0.35">
      <c r="B10" s="63"/>
      <c r="C10" s="64"/>
      <c r="K10" s="65"/>
      <c r="L10" s="65"/>
      <c r="M10" s="65"/>
    </row>
    <row r="11" spans="2:14" ht="20.100000000000001" customHeight="1" x14ac:dyDescent="0.3">
      <c r="C11" s="227"/>
      <c r="D11" s="228"/>
      <c r="E11" s="228"/>
      <c r="F11" s="228"/>
      <c r="G11" s="229" t="s">
        <v>295</v>
      </c>
      <c r="H11" s="228"/>
      <c r="I11" s="228"/>
      <c r="J11" s="230"/>
      <c r="K11" s="722" t="s">
        <v>296</v>
      </c>
      <c r="L11" s="722" t="s">
        <v>544</v>
      </c>
      <c r="M11" s="722" t="s">
        <v>297</v>
      </c>
      <c r="N11" s="722" t="s">
        <v>469</v>
      </c>
    </row>
    <row r="12" spans="2:14" ht="20.100000000000001" customHeight="1" x14ac:dyDescent="0.3">
      <c r="C12" s="231"/>
      <c r="D12" s="232"/>
      <c r="E12" s="232"/>
      <c r="F12" s="232"/>
      <c r="G12" s="232"/>
      <c r="H12" s="232"/>
      <c r="I12" s="232"/>
      <c r="J12" s="233"/>
      <c r="K12" s="723"/>
      <c r="L12" s="723"/>
      <c r="M12" s="723"/>
      <c r="N12" s="723"/>
    </row>
    <row r="13" spans="2:14" ht="20.100000000000001" customHeight="1" x14ac:dyDescent="0.3">
      <c r="C13" s="66" t="s">
        <v>298</v>
      </c>
      <c r="D13" s="67"/>
      <c r="E13" s="67"/>
      <c r="F13" s="67"/>
      <c r="G13" s="67"/>
      <c r="H13" s="67"/>
      <c r="I13" s="67"/>
      <c r="J13" s="68"/>
      <c r="K13" s="69"/>
      <c r="L13" s="69"/>
      <c r="M13" s="69"/>
      <c r="N13" s="243"/>
    </row>
    <row r="14" spans="2:14" ht="20.100000000000001" customHeight="1" x14ac:dyDescent="0.25">
      <c r="C14" s="70"/>
      <c r="D14" s="61" t="str">
        <f>+VLOOKUP(K14,$C$73:$J$184,3,FALSE)</f>
        <v xml:space="preserve">Losa de concreto armado (Refuerzo Transversal) </v>
      </c>
      <c r="J14" s="71"/>
      <c r="K14" s="72">
        <v>104</v>
      </c>
      <c r="L14" s="610">
        <v>29.327999999999999</v>
      </c>
      <c r="M14" s="72" t="str">
        <f>+VLOOKUP(K14,$C$73:$J$184,7,FALSE)</f>
        <v>m3</v>
      </c>
      <c r="N14" s="72">
        <f>+VLOOKUP(K14,$C$73:$J$184,8,FALSE)</f>
        <v>0.6</v>
      </c>
    </row>
    <row r="15" spans="2:14" ht="20.100000000000001" customHeight="1" x14ac:dyDescent="0.25">
      <c r="C15" s="70"/>
      <c r="D15" s="61" t="str">
        <f>+VLOOKUP(K15,$C$73:$J$184,3,FALSE)</f>
        <v>Viga Principales concreto armado</v>
      </c>
      <c r="J15" s="71"/>
      <c r="K15" s="72">
        <v>110</v>
      </c>
      <c r="L15" s="610">
        <v>66.05</v>
      </c>
      <c r="M15" s="72" t="str">
        <f>+VLOOKUP(K15,$C$73:$J$184,7,FALSE)</f>
        <v>m3</v>
      </c>
      <c r="N15" s="72">
        <f>+VLOOKUP(K15,$C$73:$J$184,8,FALSE)</f>
        <v>1</v>
      </c>
    </row>
    <row r="16" spans="2:14" ht="20.100000000000001" customHeight="1" x14ac:dyDescent="0.25">
      <c r="C16" s="70"/>
      <c r="D16" s="61" t="str">
        <f>+VLOOKUP(K16,$C$73:$J$184,3,FALSE)</f>
        <v>Vigas Secundarias de concreto armado</v>
      </c>
      <c r="J16" s="71"/>
      <c r="K16" s="72">
        <v>111</v>
      </c>
      <c r="L16" s="610">
        <v>6.5625</v>
      </c>
      <c r="M16" s="72" t="str">
        <f>+VLOOKUP(K16,$C$73:$J$184,7,FALSE)</f>
        <v>m3</v>
      </c>
      <c r="N16" s="72">
        <f>+VLOOKUP(K16,$C$73:$J$184,8,FALSE)</f>
        <v>0.8</v>
      </c>
    </row>
    <row r="17" spans="3:14" ht="20.100000000000001" customHeight="1" x14ac:dyDescent="0.25">
      <c r="C17" s="73"/>
      <c r="E17" s="74"/>
      <c r="F17" s="74"/>
      <c r="G17" s="74"/>
      <c r="H17" s="74"/>
      <c r="I17" s="74"/>
      <c r="J17" s="75"/>
      <c r="K17" s="76"/>
      <c r="L17" s="610"/>
      <c r="M17" s="72"/>
      <c r="N17" s="76"/>
    </row>
    <row r="18" spans="3:14" ht="20.100000000000001" customHeight="1" x14ac:dyDescent="0.3">
      <c r="C18" s="66" t="s">
        <v>301</v>
      </c>
      <c r="D18" s="67"/>
      <c r="E18" s="67"/>
      <c r="F18" s="67"/>
      <c r="G18" s="67"/>
      <c r="H18" s="67"/>
      <c r="I18" s="67"/>
      <c r="J18" s="68"/>
      <c r="K18" s="69"/>
      <c r="L18" s="611"/>
      <c r="M18" s="69"/>
      <c r="N18" s="72"/>
    </row>
    <row r="19" spans="3:14" ht="20.100000000000001" customHeight="1" x14ac:dyDescent="0.25">
      <c r="C19" s="70"/>
      <c r="D19" s="61" t="str">
        <f>+VLOOKUP(K19,$C$73:$J$184,3,FALSE)</f>
        <v>Elevación Cuerpo del Estribo de Concreto Armado</v>
      </c>
      <c r="J19" s="71"/>
      <c r="K19" s="72">
        <v>202</v>
      </c>
      <c r="L19" s="610">
        <v>120.13200000000001</v>
      </c>
      <c r="M19" s="72" t="str">
        <f>+VLOOKUP(K19,$C$73:$J$184,7,FALSE)</f>
        <v>m3</v>
      </c>
      <c r="N19" s="72">
        <f>+VLOOKUP(K19,$C$73:$J$184,8,FALSE)</f>
        <v>1</v>
      </c>
    </row>
    <row r="20" spans="3:14" ht="20.100000000000001" customHeight="1" x14ac:dyDescent="0.25">
      <c r="C20" s="70"/>
      <c r="D20" s="61" t="str">
        <f>+VLOOKUP(K20,$C$73:$J$184,3,FALSE)</f>
        <v>Elevación Alas del Estribo de Concreto Armado</v>
      </c>
      <c r="J20" s="71"/>
      <c r="K20" s="72">
        <v>205</v>
      </c>
      <c r="L20" s="610">
        <v>22.26</v>
      </c>
      <c r="M20" s="72" t="str">
        <f>+VLOOKUP(K20,$C$73:$J$184,7,FALSE)</f>
        <v>m3</v>
      </c>
      <c r="N20" s="72">
        <f>+VLOOKUP(K20,$C$73:$J$184,8,FALSE)</f>
        <v>0.6</v>
      </c>
    </row>
    <row r="21" spans="3:14" ht="20.100000000000001" customHeight="1" x14ac:dyDescent="0.3">
      <c r="C21" s="78"/>
      <c r="E21" s="74"/>
      <c r="F21" s="74"/>
      <c r="G21" s="74"/>
      <c r="H21" s="74"/>
      <c r="I21" s="74"/>
      <c r="J21" s="75"/>
      <c r="K21" s="76"/>
      <c r="L21" s="610"/>
      <c r="M21" s="72"/>
      <c r="N21" s="76"/>
    </row>
    <row r="22" spans="3:14" ht="20.100000000000001" customHeight="1" x14ac:dyDescent="0.3">
      <c r="C22" s="66" t="s">
        <v>305</v>
      </c>
      <c r="D22" s="67"/>
      <c r="E22" s="67"/>
      <c r="F22" s="67"/>
      <c r="G22" s="67"/>
      <c r="H22" s="67"/>
      <c r="I22" s="67"/>
      <c r="J22" s="68"/>
      <c r="K22" s="69"/>
      <c r="L22" s="611"/>
      <c r="M22" s="69"/>
      <c r="N22" s="72"/>
    </row>
    <row r="23" spans="3:14" ht="20.100000000000001" customHeight="1" x14ac:dyDescent="0.25">
      <c r="C23" s="70"/>
      <c r="D23" s="61" t="str">
        <f>+VLOOKUP(K23,$C$73:$J$184,3,FALSE)</f>
        <v>Capa Concreto Pobre</v>
      </c>
      <c r="J23" s="71"/>
      <c r="K23" s="72">
        <v>302</v>
      </c>
      <c r="L23" s="610">
        <v>109.2</v>
      </c>
      <c r="M23" s="72" t="str">
        <f>+VLOOKUP(K23,$C$73:$J$184,7,FALSE)</f>
        <v>m2</v>
      </c>
      <c r="N23" s="72">
        <f>+VLOOKUP(K23,$C$73:$J$184,8,FALSE)</f>
        <v>0.4</v>
      </c>
    </row>
    <row r="24" spans="3:14" ht="20.100000000000001" customHeight="1" x14ac:dyDescent="0.25">
      <c r="C24" s="70"/>
      <c r="D24" s="61" t="str">
        <f>+VLOOKUP(K24,$C$73:$J$184,3,FALSE)</f>
        <v>Vereda Concreto</v>
      </c>
      <c r="J24" s="71"/>
      <c r="K24" s="72">
        <v>311</v>
      </c>
      <c r="L24" s="610">
        <v>37.44</v>
      </c>
      <c r="M24" s="72" t="str">
        <f>+VLOOKUP(K24,$C$73:$J$184,7,FALSE)</f>
        <v>m2</v>
      </c>
      <c r="N24" s="72">
        <f>+VLOOKUP(K24,$C$73:$J$184,8,FALSE)</f>
        <v>0.2</v>
      </c>
    </row>
    <row r="25" spans="3:14" ht="20.100000000000001" customHeight="1" x14ac:dyDescent="0.25">
      <c r="C25" s="70"/>
      <c r="D25" s="61" t="str">
        <f>+VLOOKUP(K25,$C$73:$J$184,3,FALSE)</f>
        <v>Barandas de Acero</v>
      </c>
      <c r="J25" s="71"/>
      <c r="K25" s="72">
        <v>353</v>
      </c>
      <c r="L25" s="610">
        <v>62.4</v>
      </c>
      <c r="M25" s="72" t="str">
        <f>+VLOOKUP(K25,$C$73:$J$184,7,FALSE)</f>
        <v>ml</v>
      </c>
      <c r="N25" s="72">
        <f>+VLOOKUP(K25,$C$73:$J$184,8,FALSE)</f>
        <v>0.4</v>
      </c>
    </row>
    <row r="26" spans="3:14" ht="20.100000000000001" customHeight="1" x14ac:dyDescent="0.25">
      <c r="C26" s="70"/>
      <c r="D26" s="61" t="str">
        <f>+VLOOKUP(K26,$C$73:$J$184,3,FALSE)</f>
        <v>Tuberías PVC</v>
      </c>
      <c r="J26" s="71"/>
      <c r="K26" s="72">
        <v>372</v>
      </c>
      <c r="L26" s="610">
        <v>12</v>
      </c>
      <c r="M26" s="72" t="str">
        <f>+VLOOKUP(K26,$C$73:$J$184,7,FALSE)</f>
        <v>und.</v>
      </c>
      <c r="N26" s="72">
        <f>+VLOOKUP(K26,$C$73:$J$184,8,FALSE)</f>
        <v>0.4</v>
      </c>
    </row>
    <row r="27" spans="3:14" ht="20.100000000000001" customHeight="1" x14ac:dyDescent="0.25">
      <c r="C27" s="73"/>
      <c r="E27" s="74"/>
      <c r="F27" s="74"/>
      <c r="G27" s="74"/>
      <c r="H27" s="74"/>
      <c r="I27" s="74"/>
      <c r="J27" s="75"/>
      <c r="K27" s="76"/>
      <c r="L27" s="610"/>
      <c r="M27" s="72"/>
      <c r="N27" s="76"/>
    </row>
    <row r="28" spans="3:14" ht="20.100000000000001" customHeight="1" x14ac:dyDescent="0.3">
      <c r="C28" s="66" t="s">
        <v>312</v>
      </c>
      <c r="D28" s="67"/>
      <c r="E28" s="67"/>
      <c r="F28" s="67"/>
      <c r="G28" s="67"/>
      <c r="H28" s="67"/>
      <c r="I28" s="67"/>
      <c r="J28" s="68"/>
      <c r="K28" s="69"/>
      <c r="L28" s="611"/>
      <c r="M28" s="69"/>
      <c r="N28" s="72"/>
    </row>
    <row r="29" spans="3:14" ht="20.100000000000001" customHeight="1" x14ac:dyDescent="0.3">
      <c r="C29" s="77"/>
      <c r="D29" s="61" t="str">
        <f>+VLOOKUP(K29,$C$73:$J$184,3,FALSE)</f>
        <v>Márgenes del río</v>
      </c>
      <c r="J29" s="71"/>
      <c r="K29" s="72">
        <v>401</v>
      </c>
      <c r="L29" s="610">
        <v>500</v>
      </c>
      <c r="M29" s="72" t="str">
        <f>+VLOOKUP(K29,$C$73:$J$184,7,FALSE)</f>
        <v>ml</v>
      </c>
      <c r="N29" s="72">
        <f>+VLOOKUP(K29,$C$73:$J$184,8,FALSE)</f>
        <v>0.6</v>
      </c>
    </row>
    <row r="30" spans="3:14" ht="20.100000000000001" customHeight="1" x14ac:dyDescent="0.3">
      <c r="C30" s="77"/>
      <c r="D30" s="61" t="str">
        <f>+VLOOKUP(K30,$C$73:$J$184,3,FALSE)</f>
        <v>Lecho del río</v>
      </c>
      <c r="J30" s="71"/>
      <c r="K30" s="72">
        <v>402</v>
      </c>
      <c r="L30" s="610">
        <v>250</v>
      </c>
      <c r="M30" s="72" t="str">
        <f>+VLOOKUP(K30,$C$73:$J$184,7,FALSE)</f>
        <v>ml</v>
      </c>
      <c r="N30" s="72">
        <f>+VLOOKUP(K30,$C$73:$J$184,8,FALSE)</f>
        <v>0.6</v>
      </c>
    </row>
    <row r="31" spans="3:14" ht="20.100000000000001" customHeight="1" x14ac:dyDescent="0.3">
      <c r="C31" s="78"/>
      <c r="E31" s="74"/>
      <c r="F31" s="74"/>
      <c r="G31" s="74"/>
      <c r="H31" s="74"/>
      <c r="I31" s="74"/>
      <c r="J31" s="75"/>
      <c r="K31" s="76"/>
      <c r="L31" s="610"/>
      <c r="M31" s="72"/>
      <c r="N31" s="76"/>
    </row>
    <row r="32" spans="3:14" ht="20.100000000000001" customHeight="1" x14ac:dyDescent="0.3">
      <c r="C32" s="66" t="s">
        <v>314</v>
      </c>
      <c r="D32" s="67"/>
      <c r="E32" s="67"/>
      <c r="F32" s="67"/>
      <c r="G32" s="67"/>
      <c r="H32" s="67"/>
      <c r="I32" s="67"/>
      <c r="J32" s="68"/>
      <c r="K32" s="69"/>
      <c r="L32" s="611"/>
      <c r="M32" s="69"/>
      <c r="N32" s="72"/>
    </row>
    <row r="33" spans="1:24" ht="20.100000000000001" customHeight="1" x14ac:dyDescent="0.3">
      <c r="C33" s="77"/>
      <c r="D33" s="61" t="str">
        <f>+VLOOKUP(K33,$C$73:$J$184,3,FALSE)</f>
        <v>Señalización</v>
      </c>
      <c r="J33" s="71"/>
      <c r="K33" s="72">
        <v>501</v>
      </c>
      <c r="L33" s="610">
        <v>1</v>
      </c>
      <c r="M33" s="72" t="str">
        <f>+VLOOKUP(K33,$C$73:$J$184,7,FALSE)</f>
        <v>und.</v>
      </c>
      <c r="N33" s="72">
        <f>+VLOOKUP(K33,$C$73:$J$184,8,FALSE)</f>
        <v>0.2</v>
      </c>
    </row>
    <row r="34" spans="1:24" ht="20.100000000000001" customHeight="1" x14ac:dyDescent="0.3">
      <c r="C34" s="77"/>
      <c r="D34" s="61" t="str">
        <f>+VLOOKUP(K34,$C$73:$J$184,3,FALSE)</f>
        <v>Pavimento/Afirmado</v>
      </c>
      <c r="J34" s="71"/>
      <c r="K34" s="72">
        <v>511</v>
      </c>
      <c r="L34" s="610">
        <v>70</v>
      </c>
      <c r="M34" s="72" t="str">
        <f>+VLOOKUP(K34,$C$73:$J$184,7,FALSE)</f>
        <v>m2</v>
      </c>
      <c r="N34" s="72">
        <f>+VLOOKUP(K34,$C$73:$J$184,8,FALSE)</f>
        <v>0.2</v>
      </c>
    </row>
    <row r="35" spans="1:24" ht="20.100000000000001" customHeight="1" x14ac:dyDescent="0.3">
      <c r="C35" s="77"/>
      <c r="D35" s="61" t="str">
        <f>+VLOOKUP(K35,$C$73:$J$184,3,FALSE)</f>
        <v>Visibilidad</v>
      </c>
      <c r="J35" s="71"/>
      <c r="K35" s="72">
        <v>530</v>
      </c>
      <c r="L35" s="610">
        <v>40</v>
      </c>
      <c r="M35" s="72" t="str">
        <f>+VLOOKUP(K35,$C$73:$J$184,7,FALSE)</f>
        <v>ml</v>
      </c>
      <c r="N35" s="72">
        <f>+VLOOKUP(K35,$C$73:$J$184,8,FALSE)</f>
        <v>0.2</v>
      </c>
    </row>
    <row r="36" spans="1:24" ht="20.100000000000001" customHeight="1" x14ac:dyDescent="0.3">
      <c r="C36" s="77"/>
      <c r="J36" s="71"/>
      <c r="K36" s="72"/>
      <c r="L36" s="72"/>
      <c r="M36" s="72"/>
      <c r="N36" s="72"/>
    </row>
    <row r="37" spans="1:24" ht="20.100000000000001" customHeight="1" x14ac:dyDescent="0.3">
      <c r="C37" s="78" t="str">
        <f>+'A-D.- FICHA'!C47</f>
        <v>Evaluación : Ing. Martín Pichón</v>
      </c>
      <c r="D37" s="74"/>
      <c r="E37" s="74"/>
      <c r="F37" s="74"/>
      <c r="G37" s="74"/>
      <c r="H37" s="74"/>
      <c r="I37" s="74"/>
      <c r="J37" s="75"/>
      <c r="K37" s="76"/>
      <c r="L37" s="76"/>
      <c r="M37" s="76"/>
      <c r="N37" s="76"/>
    </row>
    <row r="38" spans="1:24" ht="20.100000000000001" customHeight="1" x14ac:dyDescent="0.25">
      <c r="B38" s="62"/>
      <c r="C38" s="62"/>
      <c r="D38" s="62"/>
    </row>
    <row r="39" spans="1:24" ht="20.100000000000001" customHeight="1" x14ac:dyDescent="0.35">
      <c r="B39" s="63" t="s">
        <v>315</v>
      </c>
      <c r="C39" s="62"/>
      <c r="D39" s="62"/>
      <c r="G39" s="62"/>
    </row>
    <row r="40" spans="1:24" ht="20.100000000000001" customHeight="1" x14ac:dyDescent="0.25">
      <c r="B40" s="234" t="s">
        <v>470</v>
      </c>
      <c r="C40" s="62"/>
      <c r="D40" s="62"/>
    </row>
    <row r="41" spans="1:24" ht="20.100000000000001" customHeight="1" thickBot="1" x14ac:dyDescent="0.4">
      <c r="B41" s="63"/>
      <c r="C41" s="62"/>
      <c r="D41" s="62"/>
      <c r="E41" s="65"/>
      <c r="F41" s="65"/>
      <c r="G41" s="65"/>
      <c r="H41" s="65"/>
      <c r="I41" s="65"/>
      <c r="J41" s="65"/>
      <c r="K41" s="65"/>
      <c r="L41" s="65"/>
      <c r="M41" s="65"/>
    </row>
    <row r="42" spans="1:24" ht="24.9" customHeight="1" x14ac:dyDescent="0.25">
      <c r="B42" s="242" t="s">
        <v>296</v>
      </c>
      <c r="C42" s="237"/>
      <c r="D42" s="238"/>
      <c r="E42" s="81"/>
      <c r="F42" s="82"/>
      <c r="G42" s="82" t="s">
        <v>316</v>
      </c>
      <c r="H42" s="82"/>
      <c r="I42" s="82"/>
      <c r="J42" s="83"/>
      <c r="K42" s="79"/>
      <c r="L42" s="82"/>
      <c r="M42" s="80"/>
    </row>
    <row r="43" spans="1:24" ht="24.9" customHeight="1" x14ac:dyDescent="0.25">
      <c r="B43" s="240" t="s">
        <v>472</v>
      </c>
      <c r="C43" s="235" t="s">
        <v>317</v>
      </c>
      <c r="D43" s="236" t="s">
        <v>471</v>
      </c>
      <c r="E43" s="86">
        <v>5</v>
      </c>
      <c r="F43" s="87">
        <v>4</v>
      </c>
      <c r="G43" s="87">
        <v>3</v>
      </c>
      <c r="H43" s="87">
        <v>2</v>
      </c>
      <c r="I43" s="87">
        <v>1</v>
      </c>
      <c r="J43" s="88">
        <v>0</v>
      </c>
      <c r="K43" s="84" t="s">
        <v>487</v>
      </c>
      <c r="L43" s="295"/>
      <c r="M43" s="85"/>
      <c r="Q43" s="745" t="s">
        <v>470</v>
      </c>
      <c r="R43" s="745"/>
      <c r="S43" s="745"/>
      <c r="T43" s="745"/>
      <c r="U43" s="745"/>
      <c r="V43" s="745"/>
      <c r="W43" s="745"/>
      <c r="X43" s="745"/>
    </row>
    <row r="44" spans="1:24" ht="24.9" customHeight="1" thickBot="1" x14ac:dyDescent="0.3">
      <c r="B44" s="241" t="s">
        <v>346</v>
      </c>
      <c r="C44" s="91"/>
      <c r="D44" s="239"/>
      <c r="E44" s="86" t="s">
        <v>474</v>
      </c>
      <c r="F44" s="87" t="s">
        <v>475</v>
      </c>
      <c r="G44" s="87" t="s">
        <v>476</v>
      </c>
      <c r="H44" s="87" t="s">
        <v>207</v>
      </c>
      <c r="I44" s="87" t="s">
        <v>322</v>
      </c>
      <c r="J44" s="88" t="s">
        <v>477</v>
      </c>
      <c r="K44" s="89" t="s">
        <v>478</v>
      </c>
      <c r="L44" s="296"/>
      <c r="M44" s="93"/>
    </row>
    <row r="45" spans="1:24" ht="24.9" customHeight="1" x14ac:dyDescent="0.25">
      <c r="A45" s="61" t="s">
        <v>324</v>
      </c>
      <c r="B45" s="94">
        <v>101</v>
      </c>
      <c r="C45" s="95"/>
      <c r="D45" s="99" t="str">
        <f>+VLOOKUP(B45,$C$73:$J$184,7,FALSE)</f>
        <v>m3</v>
      </c>
      <c r="E45" s="252"/>
      <c r="F45" s="253"/>
      <c r="G45" s="253"/>
      <c r="H45" s="253"/>
      <c r="I45" s="253"/>
      <c r="J45" s="254">
        <v>1</v>
      </c>
      <c r="K45" s="255">
        <f>SUM(E45:J45)</f>
        <v>1</v>
      </c>
      <c r="L45" s="297"/>
      <c r="M45" s="96"/>
    </row>
    <row r="46" spans="1:24" ht="24.9" customHeight="1" x14ac:dyDescent="0.25">
      <c r="A46" s="61" t="s">
        <v>325</v>
      </c>
      <c r="B46" s="97">
        <v>160</v>
      </c>
      <c r="C46" s="98"/>
      <c r="D46" s="99" t="str">
        <f t="shared" ref="D46:D61" si="0">+VLOOKUP(B46,$C$73:$J$184,7,FALSE)</f>
        <v>kg</v>
      </c>
      <c r="E46" s="256"/>
      <c r="F46" s="257"/>
      <c r="G46" s="257"/>
      <c r="H46" s="257"/>
      <c r="I46" s="257"/>
      <c r="J46" s="258">
        <v>1</v>
      </c>
      <c r="K46" s="259">
        <f t="shared" ref="K46:K61" si="1">SUM(E46:J46)</f>
        <v>1</v>
      </c>
      <c r="L46" s="298"/>
      <c r="M46" s="100"/>
    </row>
    <row r="47" spans="1:24" ht="24.9" customHeight="1" x14ac:dyDescent="0.25">
      <c r="A47" s="61" t="s">
        <v>327</v>
      </c>
      <c r="B47" s="97">
        <v>161</v>
      </c>
      <c r="C47" s="98"/>
      <c r="D47" s="99" t="str">
        <f t="shared" si="0"/>
        <v>kg</v>
      </c>
      <c r="E47" s="256"/>
      <c r="F47" s="257"/>
      <c r="G47" s="257"/>
      <c r="H47" s="257"/>
      <c r="I47" s="257"/>
      <c r="J47" s="258">
        <v>1</v>
      </c>
      <c r="K47" s="259">
        <f t="shared" si="1"/>
        <v>1</v>
      </c>
      <c r="L47" s="298"/>
      <c r="M47" s="100"/>
    </row>
    <row r="48" spans="1:24" ht="24.9" customHeight="1" x14ac:dyDescent="0.25">
      <c r="A48" s="61" t="s">
        <v>299</v>
      </c>
      <c r="B48" s="97">
        <v>117</v>
      </c>
      <c r="C48" s="98"/>
      <c r="D48" s="99" t="str">
        <f t="shared" si="0"/>
        <v>kg</v>
      </c>
      <c r="E48" s="256"/>
      <c r="F48" s="257"/>
      <c r="G48" s="257"/>
      <c r="H48" s="257"/>
      <c r="I48" s="257"/>
      <c r="J48" s="258">
        <v>1</v>
      </c>
      <c r="K48" s="259">
        <f t="shared" si="1"/>
        <v>1</v>
      </c>
      <c r="L48" s="298"/>
      <c r="M48" s="100"/>
      <c r="N48" s="101"/>
    </row>
    <row r="49" spans="1:13" ht="24.9" customHeight="1" x14ac:dyDescent="0.25">
      <c r="A49" s="61" t="s">
        <v>328</v>
      </c>
      <c r="B49" s="97">
        <v>202</v>
      </c>
      <c r="C49" s="102"/>
      <c r="D49" s="99" t="str">
        <f t="shared" si="0"/>
        <v>m3</v>
      </c>
      <c r="E49" s="256"/>
      <c r="F49" s="257"/>
      <c r="G49" s="257"/>
      <c r="H49" s="257"/>
      <c r="I49" s="257"/>
      <c r="J49" s="258">
        <v>1</v>
      </c>
      <c r="K49" s="259">
        <f t="shared" si="1"/>
        <v>1</v>
      </c>
      <c r="L49" s="298"/>
      <c r="M49" s="100"/>
    </row>
    <row r="50" spans="1:13" ht="24.9" customHeight="1" x14ac:dyDescent="0.25">
      <c r="A50" s="61" t="s">
        <v>330</v>
      </c>
      <c r="B50" s="97">
        <v>205</v>
      </c>
      <c r="C50" s="98"/>
      <c r="D50" s="99" t="str">
        <f t="shared" si="0"/>
        <v>m3</v>
      </c>
      <c r="E50" s="256"/>
      <c r="F50" s="257"/>
      <c r="G50" s="257"/>
      <c r="H50" s="257"/>
      <c r="I50" s="257"/>
      <c r="J50" s="258">
        <v>1</v>
      </c>
      <c r="K50" s="259">
        <f t="shared" si="1"/>
        <v>1</v>
      </c>
      <c r="L50" s="298"/>
      <c r="M50" s="100"/>
    </row>
    <row r="51" spans="1:13" ht="24.9" customHeight="1" x14ac:dyDescent="0.25">
      <c r="A51" s="61" t="s">
        <v>306</v>
      </c>
      <c r="B51" s="97">
        <v>301</v>
      </c>
      <c r="C51" s="98"/>
      <c r="D51" s="99" t="str">
        <f t="shared" si="0"/>
        <v>m2</v>
      </c>
      <c r="E51" s="256"/>
      <c r="F51" s="257"/>
      <c r="G51" s="257"/>
      <c r="H51" s="257"/>
      <c r="I51" s="257"/>
      <c r="J51" s="258">
        <v>1</v>
      </c>
      <c r="K51" s="259">
        <f t="shared" si="1"/>
        <v>1</v>
      </c>
      <c r="L51" s="298"/>
      <c r="M51" s="100"/>
    </row>
    <row r="52" spans="1:13" ht="24.9" customHeight="1" x14ac:dyDescent="0.25">
      <c r="A52" s="61" t="s">
        <v>331</v>
      </c>
      <c r="B52" s="97">
        <v>501</v>
      </c>
      <c r="C52" s="98"/>
      <c r="D52" s="99" t="str">
        <f t="shared" si="0"/>
        <v>und.</v>
      </c>
      <c r="E52" s="256"/>
      <c r="F52" s="257"/>
      <c r="G52" s="257"/>
      <c r="H52" s="257"/>
      <c r="I52" s="257"/>
      <c r="J52" s="258">
        <v>1</v>
      </c>
      <c r="K52" s="259">
        <f t="shared" si="1"/>
        <v>1</v>
      </c>
      <c r="L52" s="298"/>
      <c r="M52" s="100"/>
    </row>
    <row r="53" spans="1:13" ht="24.9" customHeight="1" x14ac:dyDescent="0.25">
      <c r="A53" s="61" t="s">
        <v>332</v>
      </c>
      <c r="B53" s="97">
        <v>311</v>
      </c>
      <c r="C53" s="98"/>
      <c r="D53" s="99" t="str">
        <f t="shared" si="0"/>
        <v>m2</v>
      </c>
      <c r="E53" s="256"/>
      <c r="F53" s="257"/>
      <c r="G53" s="257"/>
      <c r="H53" s="257"/>
      <c r="I53" s="257"/>
      <c r="J53" s="258">
        <v>1</v>
      </c>
      <c r="K53" s="259">
        <f t="shared" si="1"/>
        <v>1</v>
      </c>
      <c r="L53" s="298"/>
      <c r="M53" s="100"/>
    </row>
    <row r="54" spans="1:13" ht="24.9" customHeight="1" x14ac:dyDescent="0.25">
      <c r="A54" s="61" t="s">
        <v>333</v>
      </c>
      <c r="B54" s="97">
        <v>323</v>
      </c>
      <c r="C54" s="98"/>
      <c r="D54" s="99" t="str">
        <f t="shared" si="0"/>
        <v>und.</v>
      </c>
      <c r="E54" s="256"/>
      <c r="F54" s="257"/>
      <c r="G54" s="257"/>
      <c r="H54" s="257"/>
      <c r="I54" s="257"/>
      <c r="J54" s="258">
        <v>1</v>
      </c>
      <c r="K54" s="259">
        <f t="shared" si="1"/>
        <v>1</v>
      </c>
      <c r="L54" s="298"/>
      <c r="M54" s="100"/>
    </row>
    <row r="55" spans="1:13" ht="24.9" customHeight="1" x14ac:dyDescent="0.25">
      <c r="A55" s="61" t="s">
        <v>334</v>
      </c>
      <c r="B55" s="97">
        <v>324</v>
      </c>
      <c r="C55" s="98"/>
      <c r="D55" s="99" t="str">
        <f t="shared" si="0"/>
        <v>und.</v>
      </c>
      <c r="E55" s="256"/>
      <c r="F55" s="257"/>
      <c r="G55" s="257"/>
      <c r="H55" s="257"/>
      <c r="I55" s="257"/>
      <c r="J55" s="258">
        <v>1</v>
      </c>
      <c r="K55" s="259">
        <f t="shared" si="1"/>
        <v>1</v>
      </c>
      <c r="L55" s="298"/>
      <c r="M55" s="100"/>
    </row>
    <row r="56" spans="1:13" ht="24.9" customHeight="1" x14ac:dyDescent="0.25">
      <c r="A56" s="61" t="s">
        <v>335</v>
      </c>
      <c r="B56" s="97">
        <v>341</v>
      </c>
      <c r="C56" s="98"/>
      <c r="D56" s="99" t="str">
        <f t="shared" si="0"/>
        <v>ml</v>
      </c>
      <c r="E56" s="256"/>
      <c r="F56" s="257"/>
      <c r="G56" s="257"/>
      <c r="H56" s="257"/>
      <c r="I56" s="257"/>
      <c r="J56" s="258">
        <v>1</v>
      </c>
      <c r="K56" s="259">
        <f t="shared" si="1"/>
        <v>1</v>
      </c>
      <c r="L56" s="298"/>
      <c r="M56" s="100"/>
    </row>
    <row r="57" spans="1:13" ht="24.9" customHeight="1" x14ac:dyDescent="0.25">
      <c r="A57" s="61" t="s">
        <v>336</v>
      </c>
      <c r="B57" s="97">
        <v>353</v>
      </c>
      <c r="C57" s="98"/>
      <c r="D57" s="99" t="str">
        <f t="shared" si="0"/>
        <v>ml</v>
      </c>
      <c r="E57" s="256"/>
      <c r="F57" s="257"/>
      <c r="G57" s="257"/>
      <c r="H57" s="257"/>
      <c r="I57" s="257"/>
      <c r="J57" s="258">
        <v>1</v>
      </c>
      <c r="K57" s="259">
        <f t="shared" si="1"/>
        <v>1</v>
      </c>
      <c r="L57" s="298"/>
      <c r="M57" s="100"/>
    </row>
    <row r="58" spans="1:13" ht="24.9" customHeight="1" x14ac:dyDescent="0.25">
      <c r="A58" s="61" t="s">
        <v>337</v>
      </c>
      <c r="B58" s="97">
        <v>501</v>
      </c>
      <c r="C58" s="98"/>
      <c r="D58" s="99" t="str">
        <f t="shared" si="0"/>
        <v>und.</v>
      </c>
      <c r="E58" s="256"/>
      <c r="F58" s="257"/>
      <c r="G58" s="257"/>
      <c r="H58" s="257"/>
      <c r="I58" s="257"/>
      <c r="J58" s="258">
        <v>1</v>
      </c>
      <c r="K58" s="259">
        <f t="shared" si="1"/>
        <v>1</v>
      </c>
      <c r="L58" s="298"/>
      <c r="M58" s="100"/>
    </row>
    <row r="59" spans="1:13" ht="24.9" customHeight="1" x14ac:dyDescent="0.25">
      <c r="A59" s="61" t="s">
        <v>338</v>
      </c>
      <c r="B59" s="97">
        <v>502</v>
      </c>
      <c r="C59" s="98"/>
      <c r="D59" s="99" t="str">
        <f t="shared" si="0"/>
        <v>m3</v>
      </c>
      <c r="E59" s="256"/>
      <c r="F59" s="257"/>
      <c r="G59" s="257"/>
      <c r="H59" s="257"/>
      <c r="I59" s="257"/>
      <c r="J59" s="258">
        <v>1</v>
      </c>
      <c r="K59" s="259">
        <f t="shared" si="1"/>
        <v>1</v>
      </c>
      <c r="L59" s="298"/>
      <c r="M59" s="100"/>
    </row>
    <row r="60" spans="1:13" ht="24.9" customHeight="1" x14ac:dyDescent="0.25">
      <c r="A60" s="61" t="s">
        <v>187</v>
      </c>
      <c r="B60" s="97">
        <v>355</v>
      </c>
      <c r="C60" s="98"/>
      <c r="D60" s="99" t="str">
        <f t="shared" si="0"/>
        <v>ml</v>
      </c>
      <c r="E60" s="256"/>
      <c r="F60" s="257"/>
      <c r="G60" s="257"/>
      <c r="H60" s="257"/>
      <c r="I60" s="257"/>
      <c r="J60" s="258">
        <v>1</v>
      </c>
      <c r="K60" s="259">
        <f t="shared" si="1"/>
        <v>1</v>
      </c>
      <c r="L60" s="298"/>
      <c r="M60" s="100"/>
    </row>
    <row r="61" spans="1:13" ht="24.9" customHeight="1" thickBot="1" x14ac:dyDescent="0.3">
      <c r="A61" s="61" t="s">
        <v>339</v>
      </c>
      <c r="B61" s="103">
        <v>301</v>
      </c>
      <c r="C61" s="104"/>
      <c r="D61" s="99" t="str">
        <f t="shared" si="0"/>
        <v>m2</v>
      </c>
      <c r="E61" s="260"/>
      <c r="F61" s="261"/>
      <c r="G61" s="261"/>
      <c r="H61" s="261"/>
      <c r="I61" s="261"/>
      <c r="J61" s="262">
        <v>1</v>
      </c>
      <c r="K61" s="263">
        <f t="shared" si="1"/>
        <v>1</v>
      </c>
      <c r="L61" s="299"/>
      <c r="M61" s="105"/>
    </row>
    <row r="62" spans="1:13" ht="14.1" customHeight="1" x14ac:dyDescent="0.25">
      <c r="B62" s="65"/>
      <c r="C62" s="106"/>
      <c r="D62" s="65"/>
      <c r="E62" s="107"/>
      <c r="F62" s="107"/>
      <c r="G62" s="107"/>
      <c r="H62" s="107"/>
      <c r="I62" s="107"/>
      <c r="J62" s="107"/>
      <c r="K62" s="101"/>
      <c r="L62" s="101"/>
      <c r="M62" s="108"/>
    </row>
    <row r="64" spans="1:13" ht="14.1" customHeight="1" x14ac:dyDescent="0.25">
      <c r="B64" s="245">
        <v>5</v>
      </c>
      <c r="C64" s="246">
        <v>4</v>
      </c>
      <c r="D64" s="244">
        <v>3</v>
      </c>
      <c r="E64" s="246">
        <v>2</v>
      </c>
      <c r="F64" s="244">
        <v>1</v>
      </c>
      <c r="G64" s="246">
        <v>0</v>
      </c>
      <c r="H64" s="244" t="s">
        <v>473</v>
      </c>
    </row>
    <row r="65" spans="2:19" ht="14.1" customHeight="1" x14ac:dyDescent="0.25">
      <c r="B65" s="247" t="s">
        <v>474</v>
      </c>
      <c r="C65" s="248" t="s">
        <v>475</v>
      </c>
      <c r="D65" s="76" t="s">
        <v>476</v>
      </c>
      <c r="E65" s="248" t="s">
        <v>207</v>
      </c>
      <c r="F65" s="76" t="s">
        <v>322</v>
      </c>
      <c r="G65" s="248" t="s">
        <v>477</v>
      </c>
      <c r="H65" s="76"/>
    </row>
    <row r="67" spans="2:19" ht="14.1" customHeight="1" thickBot="1" x14ac:dyDescent="0.3">
      <c r="B67" s="90" t="s">
        <v>318</v>
      </c>
      <c r="C67" s="91" t="s">
        <v>319</v>
      </c>
      <c r="D67" s="91" t="s">
        <v>320</v>
      </c>
      <c r="E67" s="91" t="s">
        <v>321</v>
      </c>
      <c r="F67" s="91" t="s">
        <v>322</v>
      </c>
      <c r="G67" s="92" t="s">
        <v>323</v>
      </c>
      <c r="I67" s="61" t="s">
        <v>486</v>
      </c>
    </row>
    <row r="69" spans="2:19" ht="14.1" customHeight="1" x14ac:dyDescent="0.25">
      <c r="B69" s="61" t="s">
        <v>484</v>
      </c>
      <c r="C69" s="61" t="s">
        <v>483</v>
      </c>
      <c r="D69" s="61" t="s">
        <v>482</v>
      </c>
      <c r="E69" s="61" t="s">
        <v>481</v>
      </c>
      <c r="F69" s="61" t="s">
        <v>480</v>
      </c>
      <c r="G69" s="61" t="s">
        <v>479</v>
      </c>
      <c r="I69" s="61" t="s">
        <v>485</v>
      </c>
    </row>
    <row r="70" spans="2:19" ht="14.1" customHeight="1" thickBot="1" x14ac:dyDescent="0.3"/>
    <row r="71" spans="2:19" ht="14.1" customHeight="1" x14ac:dyDescent="0.3">
      <c r="B71" s="741" t="s">
        <v>348</v>
      </c>
      <c r="C71" s="742"/>
      <c r="D71" s="742"/>
      <c r="E71" s="742"/>
      <c r="F71" s="742"/>
      <c r="G71" s="742"/>
      <c r="H71" s="742"/>
      <c r="I71" s="742"/>
      <c r="J71" s="743"/>
      <c r="K71"/>
      <c r="L71"/>
      <c r="M71"/>
      <c r="N71"/>
      <c r="O71"/>
      <c r="P71"/>
    </row>
    <row r="72" spans="2:19" ht="21" customHeight="1" thickBot="1" x14ac:dyDescent="0.35">
      <c r="B72" s="127" t="s">
        <v>349</v>
      </c>
      <c r="C72" s="128" t="s">
        <v>350</v>
      </c>
      <c r="D72" s="744" t="s">
        <v>346</v>
      </c>
      <c r="E72" s="744"/>
      <c r="F72" s="744"/>
      <c r="G72" s="744"/>
      <c r="H72" s="744"/>
      <c r="I72" s="128" t="s">
        <v>351</v>
      </c>
      <c r="J72" s="129" t="s">
        <v>352</v>
      </c>
      <c r="K72"/>
      <c r="L72"/>
      <c r="M72"/>
      <c r="N72"/>
      <c r="O72"/>
      <c r="P72"/>
    </row>
    <row r="73" spans="2:19" ht="14.1" customHeight="1" x14ac:dyDescent="0.3">
      <c r="B73" s="130">
        <v>1</v>
      </c>
      <c r="C73" s="131">
        <v>101</v>
      </c>
      <c r="D73" s="132"/>
      <c r="E73" s="133" t="s">
        <v>353</v>
      </c>
      <c r="F73" s="132"/>
      <c r="G73" s="132"/>
      <c r="H73" s="132"/>
      <c r="I73" s="134" t="s">
        <v>354</v>
      </c>
      <c r="J73" s="135">
        <v>1</v>
      </c>
      <c r="K73" s="136"/>
      <c r="L73" s="136"/>
      <c r="M73" s="136"/>
      <c r="N73" s="702" t="s">
        <v>355</v>
      </c>
      <c r="O73" s="734" t="s">
        <v>356</v>
      </c>
      <c r="P73" s="736" t="s">
        <v>357</v>
      </c>
      <c r="R73" s="61">
        <v>101</v>
      </c>
    </row>
    <row r="74" spans="2:19" ht="14.1" customHeight="1" x14ac:dyDescent="0.3">
      <c r="B74" s="137">
        <f>1+B73</f>
        <v>2</v>
      </c>
      <c r="C74" s="138">
        <v>102</v>
      </c>
      <c r="D74" s="139"/>
      <c r="E74" s="140" t="s">
        <v>358</v>
      </c>
      <c r="F74" s="139"/>
      <c r="G74" s="139"/>
      <c r="H74" s="139"/>
      <c r="I74" s="141" t="s">
        <v>354</v>
      </c>
      <c r="J74" s="142">
        <v>1</v>
      </c>
      <c r="K74"/>
      <c r="L74"/>
      <c r="M74"/>
      <c r="N74" s="703"/>
      <c r="O74" s="735"/>
      <c r="P74" s="737"/>
      <c r="R74" s="61">
        <v>102</v>
      </c>
      <c r="S74" s="61">
        <f t="shared" ref="S74:S87" si="2">+R73-C73</f>
        <v>0</v>
      </c>
    </row>
    <row r="75" spans="2:19" ht="14.1" customHeight="1" x14ac:dyDescent="0.3">
      <c r="B75" s="137">
        <f>1+B74</f>
        <v>3</v>
      </c>
      <c r="C75" s="143">
        <v>103</v>
      </c>
      <c r="D75" s="144"/>
      <c r="E75" s="145" t="s">
        <v>359</v>
      </c>
      <c r="F75" s="144"/>
      <c r="G75" s="144"/>
      <c r="H75" s="144"/>
      <c r="I75" s="146" t="s">
        <v>354</v>
      </c>
      <c r="J75" s="147">
        <v>0.6</v>
      </c>
      <c r="K75"/>
      <c r="L75"/>
      <c r="M75"/>
      <c r="N75" s="701" t="s">
        <v>360</v>
      </c>
      <c r="O75" s="735"/>
      <c r="P75" s="737"/>
      <c r="R75" s="61">
        <v>103</v>
      </c>
      <c r="S75" s="61">
        <f t="shared" si="2"/>
        <v>0</v>
      </c>
    </row>
    <row r="76" spans="2:19" ht="14.1" customHeight="1" x14ac:dyDescent="0.3">
      <c r="B76" s="137">
        <f>1+B75</f>
        <v>4</v>
      </c>
      <c r="C76" s="143">
        <v>104</v>
      </c>
      <c r="D76" s="144"/>
      <c r="E76" s="145" t="s">
        <v>361</v>
      </c>
      <c r="F76" s="144"/>
      <c r="G76" s="144"/>
      <c r="H76" s="144"/>
      <c r="I76" s="146" t="s">
        <v>354</v>
      </c>
      <c r="J76" s="147">
        <v>0.6</v>
      </c>
      <c r="K76"/>
      <c r="L76"/>
      <c r="M76"/>
      <c r="N76" s="701"/>
      <c r="O76" s="735"/>
      <c r="P76" s="737"/>
      <c r="R76" s="61">
        <v>104</v>
      </c>
      <c r="S76" s="61">
        <f t="shared" si="2"/>
        <v>0</v>
      </c>
    </row>
    <row r="77" spans="2:19" ht="14.1" customHeight="1" x14ac:dyDescent="0.3">
      <c r="B77" s="137">
        <f>1+B76</f>
        <v>5</v>
      </c>
      <c r="C77" s="143">
        <v>105</v>
      </c>
      <c r="D77" s="144"/>
      <c r="E77" s="145" t="s">
        <v>362</v>
      </c>
      <c r="F77" s="144"/>
      <c r="G77" s="144"/>
      <c r="H77" s="144"/>
      <c r="I77" s="146" t="s">
        <v>354</v>
      </c>
      <c r="J77" s="147">
        <v>0.6</v>
      </c>
      <c r="K77"/>
      <c r="L77"/>
      <c r="M77"/>
      <c r="N77" s="701"/>
      <c r="O77" s="735"/>
      <c r="P77" s="737"/>
      <c r="R77" s="61">
        <v>105</v>
      </c>
      <c r="S77" s="61">
        <f t="shared" si="2"/>
        <v>0</v>
      </c>
    </row>
    <row r="78" spans="2:19" ht="14.1" customHeight="1" x14ac:dyDescent="0.3">
      <c r="B78" s="137">
        <f t="shared" ref="B78:B141" si="3">1+B77</f>
        <v>6</v>
      </c>
      <c r="C78" s="143">
        <v>106</v>
      </c>
      <c r="D78" s="144"/>
      <c r="E78" s="145" t="s">
        <v>363</v>
      </c>
      <c r="F78" s="144"/>
      <c r="G78" s="144"/>
      <c r="H78" s="144"/>
      <c r="I78" s="146" t="s">
        <v>329</v>
      </c>
      <c r="J78" s="147">
        <v>0.6</v>
      </c>
      <c r="K78"/>
      <c r="L78"/>
      <c r="M78"/>
      <c r="N78" s="701"/>
      <c r="O78" s="735"/>
      <c r="P78" s="737"/>
      <c r="R78" s="61">
        <v>106</v>
      </c>
      <c r="S78" s="61">
        <f t="shared" si="2"/>
        <v>0</v>
      </c>
    </row>
    <row r="79" spans="2:19" ht="14.1" customHeight="1" x14ac:dyDescent="0.3">
      <c r="B79" s="137">
        <f t="shared" si="3"/>
        <v>7</v>
      </c>
      <c r="C79" s="143">
        <v>107</v>
      </c>
      <c r="D79" s="144"/>
      <c r="E79" s="145" t="s">
        <v>364</v>
      </c>
      <c r="F79" s="144"/>
      <c r="G79" s="144"/>
      <c r="H79" s="144"/>
      <c r="I79" s="146" t="s">
        <v>365</v>
      </c>
      <c r="J79" s="147">
        <v>0.6</v>
      </c>
      <c r="K79"/>
      <c r="L79"/>
      <c r="M79"/>
      <c r="N79" s="701"/>
      <c r="O79" s="735"/>
      <c r="P79" s="737"/>
      <c r="R79" s="61">
        <v>107</v>
      </c>
      <c r="S79" s="61">
        <f t="shared" si="2"/>
        <v>0</v>
      </c>
    </row>
    <row r="80" spans="2:19" ht="14.1" customHeight="1" x14ac:dyDescent="0.3">
      <c r="B80" s="137">
        <f t="shared" si="3"/>
        <v>8</v>
      </c>
      <c r="C80" s="143">
        <v>110</v>
      </c>
      <c r="D80" s="144"/>
      <c r="E80" s="145" t="s">
        <v>366</v>
      </c>
      <c r="F80" s="144"/>
      <c r="G80" s="144"/>
      <c r="H80" s="144"/>
      <c r="I80" s="146" t="s">
        <v>354</v>
      </c>
      <c r="J80" s="147">
        <v>1</v>
      </c>
      <c r="K80"/>
      <c r="L80"/>
      <c r="M80"/>
      <c r="N80" s="701"/>
      <c r="O80" s="735"/>
      <c r="P80" s="737"/>
      <c r="R80" s="61">
        <v>110</v>
      </c>
      <c r="S80" s="61">
        <f t="shared" si="2"/>
        <v>0</v>
      </c>
    </row>
    <row r="81" spans="2:20" ht="14.1" customHeight="1" x14ac:dyDescent="0.3">
      <c r="B81" s="137">
        <f t="shared" si="3"/>
        <v>9</v>
      </c>
      <c r="C81" s="143">
        <v>111</v>
      </c>
      <c r="D81" s="144"/>
      <c r="E81" s="145" t="s">
        <v>367</v>
      </c>
      <c r="F81" s="144"/>
      <c r="G81" s="144"/>
      <c r="H81" s="144"/>
      <c r="I81" s="146" t="s">
        <v>354</v>
      </c>
      <c r="J81" s="147">
        <v>0.8</v>
      </c>
      <c r="K81"/>
      <c r="L81"/>
      <c r="M81"/>
      <c r="N81" s="701"/>
      <c r="O81" s="735"/>
      <c r="P81" s="737"/>
      <c r="R81" s="61">
        <v>111</v>
      </c>
      <c r="S81" s="61">
        <f t="shared" si="2"/>
        <v>0</v>
      </c>
    </row>
    <row r="82" spans="2:20" ht="14.1" customHeight="1" x14ac:dyDescent="0.3">
      <c r="B82" s="137">
        <f t="shared" si="3"/>
        <v>10</v>
      </c>
      <c r="C82" s="143">
        <v>112</v>
      </c>
      <c r="D82" s="144"/>
      <c r="E82" s="145" t="s">
        <v>368</v>
      </c>
      <c r="F82" s="144"/>
      <c r="G82" s="144"/>
      <c r="H82" s="144"/>
      <c r="I82" s="146" t="s">
        <v>354</v>
      </c>
      <c r="J82" s="147">
        <v>1</v>
      </c>
      <c r="K82"/>
      <c r="L82"/>
      <c r="M82"/>
      <c r="N82" s="701"/>
      <c r="O82" s="735"/>
      <c r="P82" s="737"/>
      <c r="R82" s="61">
        <v>112</v>
      </c>
      <c r="S82" s="61">
        <f t="shared" si="2"/>
        <v>0</v>
      </c>
    </row>
    <row r="83" spans="2:20" ht="14.1" customHeight="1" x14ac:dyDescent="0.3">
      <c r="B83" s="137">
        <f t="shared" si="3"/>
        <v>11</v>
      </c>
      <c r="C83" s="143">
        <v>113</v>
      </c>
      <c r="D83" s="144"/>
      <c r="E83" s="145" t="s">
        <v>369</v>
      </c>
      <c r="F83" s="144"/>
      <c r="G83" s="144"/>
      <c r="H83" s="144"/>
      <c r="I83" s="146" t="s">
        <v>354</v>
      </c>
      <c r="J83" s="147">
        <v>0.8</v>
      </c>
      <c r="K83"/>
      <c r="L83"/>
      <c r="M83"/>
      <c r="N83" s="701"/>
      <c r="O83" s="735"/>
      <c r="P83" s="737"/>
      <c r="R83" s="61">
        <v>113</v>
      </c>
      <c r="S83" s="61">
        <f t="shared" si="2"/>
        <v>0</v>
      </c>
    </row>
    <row r="84" spans="2:20" ht="14.1" customHeight="1" x14ac:dyDescent="0.3">
      <c r="B84" s="137">
        <f t="shared" si="3"/>
        <v>12</v>
      </c>
      <c r="C84" s="143">
        <v>114</v>
      </c>
      <c r="D84" s="144"/>
      <c r="E84" s="145" t="s">
        <v>370</v>
      </c>
      <c r="F84" s="144"/>
      <c r="G84" s="144"/>
      <c r="H84" s="144"/>
      <c r="I84" s="146" t="s">
        <v>326</v>
      </c>
      <c r="J84" s="147">
        <v>1</v>
      </c>
      <c r="K84"/>
      <c r="L84"/>
      <c r="M84"/>
      <c r="N84" s="701"/>
      <c r="O84" s="735"/>
      <c r="P84" s="737"/>
      <c r="R84" s="61">
        <v>114</v>
      </c>
      <c r="S84" s="61">
        <f t="shared" si="2"/>
        <v>0</v>
      </c>
    </row>
    <row r="85" spans="2:20" ht="14.1" customHeight="1" x14ac:dyDescent="0.3">
      <c r="B85" s="137">
        <f t="shared" si="3"/>
        <v>13</v>
      </c>
      <c r="C85" s="143">
        <v>115</v>
      </c>
      <c r="D85" s="144"/>
      <c r="E85" s="145" t="s">
        <v>371</v>
      </c>
      <c r="F85" s="144"/>
      <c r="G85" s="144"/>
      <c r="H85" s="144"/>
      <c r="I85" s="146" t="s">
        <v>326</v>
      </c>
      <c r="J85" s="147">
        <v>0.8</v>
      </c>
      <c r="K85"/>
      <c r="L85"/>
      <c r="M85"/>
      <c r="N85" s="701"/>
      <c r="O85" s="735"/>
      <c r="P85" s="737"/>
      <c r="R85" s="61">
        <v>115</v>
      </c>
      <c r="S85" s="61">
        <f t="shared" si="2"/>
        <v>0</v>
      </c>
    </row>
    <row r="86" spans="2:20" ht="14.1" customHeight="1" x14ac:dyDescent="0.3">
      <c r="B86" s="137">
        <f t="shared" si="3"/>
        <v>14</v>
      </c>
      <c r="C86" s="143">
        <v>116</v>
      </c>
      <c r="D86" s="144"/>
      <c r="E86" s="145" t="s">
        <v>372</v>
      </c>
      <c r="F86" s="144"/>
      <c r="G86" s="144"/>
      <c r="H86" s="144"/>
      <c r="I86" s="146" t="s">
        <v>365</v>
      </c>
      <c r="J86" s="147">
        <v>1</v>
      </c>
      <c r="K86"/>
      <c r="L86"/>
      <c r="M86"/>
      <c r="N86" s="701"/>
      <c r="O86" s="735"/>
      <c r="P86" s="737"/>
      <c r="R86" s="61">
        <v>116</v>
      </c>
      <c r="S86" s="61">
        <f t="shared" si="2"/>
        <v>0</v>
      </c>
    </row>
    <row r="87" spans="2:20" ht="14.1" customHeight="1" x14ac:dyDescent="0.3">
      <c r="B87" s="137">
        <f t="shared" si="3"/>
        <v>15</v>
      </c>
      <c r="C87" s="143">
        <v>117</v>
      </c>
      <c r="D87" s="144"/>
      <c r="E87" s="145" t="s">
        <v>299</v>
      </c>
      <c r="F87" s="144"/>
      <c r="G87" s="144"/>
      <c r="H87" s="144"/>
      <c r="I87" s="146" t="s">
        <v>326</v>
      </c>
      <c r="J87" s="147">
        <v>0.6</v>
      </c>
      <c r="K87"/>
      <c r="L87"/>
      <c r="M87"/>
      <c r="N87" s="701"/>
      <c r="O87" s="735"/>
      <c r="P87" s="737"/>
      <c r="S87" s="61">
        <f t="shared" si="2"/>
        <v>0</v>
      </c>
    </row>
    <row r="88" spans="2:20" ht="14.1" customHeight="1" x14ac:dyDescent="0.3">
      <c r="B88" s="137">
        <f t="shared" si="3"/>
        <v>16</v>
      </c>
      <c r="C88" s="148">
        <v>131</v>
      </c>
      <c r="D88" s="149"/>
      <c r="E88" s="150" t="s">
        <v>373</v>
      </c>
      <c r="F88" s="149"/>
      <c r="G88" s="149"/>
      <c r="H88" s="149"/>
      <c r="I88" s="151" t="s">
        <v>354</v>
      </c>
      <c r="J88" s="152">
        <v>1</v>
      </c>
      <c r="K88"/>
      <c r="L88"/>
      <c r="M88"/>
      <c r="N88" s="153"/>
      <c r="O88" s="708" t="s">
        <v>374</v>
      </c>
      <c r="P88" s="737"/>
      <c r="R88" s="61">
        <v>131</v>
      </c>
      <c r="S88" s="61">
        <f>+R88-C88</f>
        <v>0</v>
      </c>
    </row>
    <row r="89" spans="2:20" ht="14.1" customHeight="1" x14ac:dyDescent="0.3">
      <c r="B89" s="137">
        <f t="shared" si="3"/>
        <v>17</v>
      </c>
      <c r="C89" s="148">
        <v>132</v>
      </c>
      <c r="D89" s="149"/>
      <c r="E89" s="150" t="s">
        <v>375</v>
      </c>
      <c r="F89" s="149"/>
      <c r="G89" s="149"/>
      <c r="H89" s="149"/>
      <c r="I89" s="151" t="s">
        <v>354</v>
      </c>
      <c r="J89" s="152">
        <v>1</v>
      </c>
      <c r="K89"/>
      <c r="L89"/>
      <c r="M89"/>
      <c r="N89" s="153"/>
      <c r="O89" s="709"/>
      <c r="P89" s="737"/>
      <c r="R89" s="61">
        <v>132</v>
      </c>
      <c r="S89" s="61">
        <f t="shared" ref="S89:S96" si="4">+R89-C89</f>
        <v>0</v>
      </c>
    </row>
    <row r="90" spans="2:20" ht="14.1" customHeight="1" x14ac:dyDescent="0.3">
      <c r="B90" s="137">
        <f t="shared" si="3"/>
        <v>18</v>
      </c>
      <c r="C90" s="148">
        <v>133</v>
      </c>
      <c r="D90" s="149"/>
      <c r="E90" s="150" t="s">
        <v>376</v>
      </c>
      <c r="F90" s="149"/>
      <c r="G90" s="149"/>
      <c r="H90" s="149"/>
      <c r="I90" s="151" t="s">
        <v>326</v>
      </c>
      <c r="J90" s="152">
        <v>1</v>
      </c>
      <c r="K90"/>
      <c r="L90"/>
      <c r="M90"/>
      <c r="N90" s="153"/>
      <c r="O90" s="709"/>
      <c r="P90" s="737"/>
      <c r="R90" s="61">
        <v>133</v>
      </c>
      <c r="S90" s="61">
        <f t="shared" si="4"/>
        <v>0</v>
      </c>
    </row>
    <row r="91" spans="2:20" ht="14.1" customHeight="1" x14ac:dyDescent="0.3">
      <c r="B91" s="137">
        <f t="shared" si="3"/>
        <v>19</v>
      </c>
      <c r="C91" s="148">
        <v>134</v>
      </c>
      <c r="D91" s="149"/>
      <c r="E91" s="150" t="s">
        <v>377</v>
      </c>
      <c r="F91" s="149"/>
      <c r="G91" s="149"/>
      <c r="H91" s="149"/>
      <c r="I91" s="151" t="s">
        <v>354</v>
      </c>
      <c r="J91" s="152">
        <v>1</v>
      </c>
      <c r="K91"/>
      <c r="L91"/>
      <c r="M91"/>
      <c r="N91" s="153"/>
      <c r="O91" s="709"/>
      <c r="P91" s="737"/>
      <c r="R91" s="61">
        <v>134</v>
      </c>
      <c r="S91" s="61">
        <f t="shared" si="4"/>
        <v>0</v>
      </c>
    </row>
    <row r="92" spans="2:20" ht="14.1" customHeight="1" x14ac:dyDescent="0.3">
      <c r="B92" s="137">
        <f t="shared" si="3"/>
        <v>20</v>
      </c>
      <c r="C92" s="148">
        <v>135</v>
      </c>
      <c r="D92" s="149"/>
      <c r="E92" s="150" t="s">
        <v>378</v>
      </c>
      <c r="F92" s="149"/>
      <c r="G92" s="149"/>
      <c r="H92" s="149"/>
      <c r="I92" s="151" t="s">
        <v>354</v>
      </c>
      <c r="J92" s="152">
        <v>1</v>
      </c>
      <c r="K92"/>
      <c r="L92"/>
      <c r="M92"/>
      <c r="N92" s="153"/>
      <c r="O92" s="709"/>
      <c r="P92" s="737"/>
      <c r="R92" s="61">
        <v>135</v>
      </c>
      <c r="S92" s="61">
        <f t="shared" si="4"/>
        <v>0</v>
      </c>
    </row>
    <row r="93" spans="2:20" ht="14.1" customHeight="1" x14ac:dyDescent="0.3">
      <c r="B93" s="137">
        <f t="shared" si="3"/>
        <v>21</v>
      </c>
      <c r="C93" s="148">
        <v>136</v>
      </c>
      <c r="D93" s="149"/>
      <c r="E93" s="150" t="s">
        <v>379</v>
      </c>
      <c r="F93" s="149"/>
      <c r="G93" s="149"/>
      <c r="H93" s="149"/>
      <c r="I93" s="151" t="s">
        <v>354</v>
      </c>
      <c r="J93" s="152">
        <v>1</v>
      </c>
      <c r="K93"/>
      <c r="L93"/>
      <c r="M93"/>
      <c r="N93" s="153"/>
      <c r="O93" s="709"/>
      <c r="P93" s="737"/>
      <c r="R93" s="61">
        <v>136</v>
      </c>
      <c r="S93" s="61">
        <f t="shared" si="4"/>
        <v>0</v>
      </c>
    </row>
    <row r="94" spans="2:20" ht="14.1" customHeight="1" x14ac:dyDescent="0.3">
      <c r="B94" s="137">
        <f t="shared" si="3"/>
        <v>22</v>
      </c>
      <c r="C94" s="148">
        <v>137</v>
      </c>
      <c r="D94" s="149"/>
      <c r="E94" s="150" t="s">
        <v>299</v>
      </c>
      <c r="F94" s="149"/>
      <c r="G94" s="149"/>
      <c r="H94" s="149"/>
      <c r="I94" s="151" t="s">
        <v>326</v>
      </c>
      <c r="J94" s="152">
        <v>1</v>
      </c>
      <c r="K94"/>
      <c r="L94"/>
      <c r="M94"/>
      <c r="N94" s="153"/>
      <c r="O94" s="710"/>
      <c r="P94" s="737"/>
      <c r="T94" s="61" t="s">
        <v>542</v>
      </c>
    </row>
    <row r="95" spans="2:20" ht="14.1" customHeight="1" x14ac:dyDescent="0.3">
      <c r="B95" s="137">
        <f t="shared" si="3"/>
        <v>23</v>
      </c>
      <c r="C95" s="154">
        <v>145</v>
      </c>
      <c r="D95" s="155"/>
      <c r="E95" s="156" t="s">
        <v>380</v>
      </c>
      <c r="F95" s="155"/>
      <c r="G95" s="155"/>
      <c r="H95" s="155"/>
      <c r="I95" s="157" t="s">
        <v>354</v>
      </c>
      <c r="J95" s="158">
        <v>1</v>
      </c>
      <c r="K95"/>
      <c r="L95"/>
      <c r="M95"/>
      <c r="N95" s="153"/>
      <c r="O95" s="704" t="s">
        <v>381</v>
      </c>
      <c r="P95" s="737"/>
      <c r="R95" s="61">
        <v>145</v>
      </c>
      <c r="S95" s="61">
        <f t="shared" si="4"/>
        <v>0</v>
      </c>
    </row>
    <row r="96" spans="2:20" ht="14.1" customHeight="1" x14ac:dyDescent="0.3">
      <c r="B96" s="137">
        <f t="shared" si="3"/>
        <v>24</v>
      </c>
      <c r="C96" s="154">
        <v>146</v>
      </c>
      <c r="D96" s="155"/>
      <c r="E96" s="156" t="s">
        <v>382</v>
      </c>
      <c r="F96" s="155"/>
      <c r="G96" s="155"/>
      <c r="H96" s="155"/>
      <c r="I96" s="157" t="s">
        <v>326</v>
      </c>
      <c r="J96" s="158">
        <v>1</v>
      </c>
      <c r="K96"/>
      <c r="L96"/>
      <c r="M96"/>
      <c r="N96" s="153"/>
      <c r="O96" s="705"/>
      <c r="P96" s="737"/>
      <c r="R96" s="61">
        <v>146</v>
      </c>
      <c r="S96" s="61">
        <f t="shared" si="4"/>
        <v>0</v>
      </c>
    </row>
    <row r="97" spans="2:18" ht="14.1" customHeight="1" x14ac:dyDescent="0.3">
      <c r="B97" s="137">
        <f t="shared" si="3"/>
        <v>25</v>
      </c>
      <c r="C97" s="154">
        <v>147</v>
      </c>
      <c r="D97" s="155"/>
      <c r="E97" s="156" t="s">
        <v>299</v>
      </c>
      <c r="F97" s="155"/>
      <c r="G97" s="155"/>
      <c r="H97" s="155"/>
      <c r="I97" s="157" t="s">
        <v>326</v>
      </c>
      <c r="J97" s="158">
        <v>0.6</v>
      </c>
      <c r="K97"/>
      <c r="L97"/>
      <c r="M97"/>
      <c r="N97" s="153"/>
      <c r="O97" s="706"/>
      <c r="P97" s="737"/>
    </row>
    <row r="98" spans="2:18" ht="14.1" customHeight="1" x14ac:dyDescent="0.3">
      <c r="B98" s="137">
        <f t="shared" si="3"/>
        <v>26</v>
      </c>
      <c r="C98" s="148">
        <v>160</v>
      </c>
      <c r="D98" s="149"/>
      <c r="E98" s="159" t="s">
        <v>383</v>
      </c>
      <c r="F98" s="149"/>
      <c r="G98" s="149"/>
      <c r="H98" s="149"/>
      <c r="I98" s="151" t="s">
        <v>326</v>
      </c>
      <c r="J98" s="152">
        <v>1</v>
      </c>
      <c r="K98"/>
      <c r="L98"/>
      <c r="M98"/>
      <c r="N98" s="153"/>
      <c r="O98" s="708" t="s">
        <v>384</v>
      </c>
      <c r="P98" s="737"/>
    </row>
    <row r="99" spans="2:18" ht="14.1" customHeight="1" x14ac:dyDescent="0.3">
      <c r="B99" s="137">
        <f t="shared" si="3"/>
        <v>27</v>
      </c>
      <c r="C99" s="148">
        <v>161</v>
      </c>
      <c r="D99" s="149"/>
      <c r="E99" s="150" t="s">
        <v>300</v>
      </c>
      <c r="F99" s="149"/>
      <c r="G99" s="149"/>
      <c r="H99" s="149"/>
      <c r="I99" s="151" t="s">
        <v>326</v>
      </c>
      <c r="J99" s="152">
        <v>0.8</v>
      </c>
      <c r="K99"/>
      <c r="L99"/>
      <c r="M99"/>
      <c r="N99" s="153"/>
      <c r="O99" s="709"/>
      <c r="P99" s="737"/>
      <c r="R99" s="61">
        <v>161</v>
      </c>
    </row>
    <row r="100" spans="2:18" ht="14.1" customHeight="1" x14ac:dyDescent="0.3">
      <c r="B100" s="137">
        <f t="shared" si="3"/>
        <v>28</v>
      </c>
      <c r="C100" s="148">
        <v>162</v>
      </c>
      <c r="D100" s="149"/>
      <c r="E100" s="150" t="s">
        <v>299</v>
      </c>
      <c r="F100" s="149"/>
      <c r="G100" s="149"/>
      <c r="H100" s="149"/>
      <c r="I100" s="151" t="s">
        <v>326</v>
      </c>
      <c r="J100" s="152">
        <v>0.6</v>
      </c>
      <c r="K100"/>
      <c r="L100"/>
      <c r="M100"/>
      <c r="N100" s="153"/>
      <c r="O100" s="710"/>
      <c r="P100" s="737"/>
    </row>
    <row r="101" spans="2:18" ht="14.1" customHeight="1" x14ac:dyDescent="0.3">
      <c r="B101" s="137">
        <f t="shared" si="3"/>
        <v>29</v>
      </c>
      <c r="C101" s="154">
        <v>168</v>
      </c>
      <c r="D101" s="155"/>
      <c r="E101" s="156" t="s">
        <v>385</v>
      </c>
      <c r="F101" s="155"/>
      <c r="G101" s="155"/>
      <c r="H101" s="155"/>
      <c r="I101" s="157" t="s">
        <v>308</v>
      </c>
      <c r="J101" s="158">
        <v>1</v>
      </c>
      <c r="K101"/>
      <c r="L101"/>
      <c r="M101"/>
      <c r="N101" s="153"/>
      <c r="O101" s="160" t="s">
        <v>386</v>
      </c>
      <c r="P101" s="737"/>
      <c r="R101" s="61">
        <v>168</v>
      </c>
    </row>
    <row r="102" spans="2:18" ht="14.1" customHeight="1" x14ac:dyDescent="0.3">
      <c r="B102" s="137">
        <f t="shared" si="3"/>
        <v>30</v>
      </c>
      <c r="C102" s="148">
        <v>180</v>
      </c>
      <c r="D102" s="149"/>
      <c r="E102" s="150" t="s">
        <v>387</v>
      </c>
      <c r="F102" s="149"/>
      <c r="G102" s="149"/>
      <c r="H102" s="149"/>
      <c r="I102" s="151" t="s">
        <v>326</v>
      </c>
      <c r="J102" s="152">
        <v>1</v>
      </c>
      <c r="K102"/>
      <c r="L102"/>
      <c r="M102"/>
      <c r="N102" s="153"/>
      <c r="O102" s="711" t="s">
        <v>388</v>
      </c>
      <c r="P102" s="737"/>
      <c r="R102" s="61">
        <v>180</v>
      </c>
    </row>
    <row r="103" spans="2:18" ht="14.1" customHeight="1" x14ac:dyDescent="0.3">
      <c r="B103" s="137">
        <f t="shared" si="3"/>
        <v>31</v>
      </c>
      <c r="C103" s="148">
        <v>181</v>
      </c>
      <c r="D103" s="149"/>
      <c r="E103" s="150" t="s">
        <v>389</v>
      </c>
      <c r="F103" s="149"/>
      <c r="G103" s="149"/>
      <c r="H103" s="149"/>
      <c r="I103" s="151" t="s">
        <v>308</v>
      </c>
      <c r="J103" s="152">
        <v>1</v>
      </c>
      <c r="K103"/>
      <c r="L103"/>
      <c r="M103"/>
      <c r="N103" s="153"/>
      <c r="O103" s="711"/>
      <c r="P103" s="737"/>
      <c r="R103" s="61">
        <v>181</v>
      </c>
    </row>
    <row r="104" spans="2:18" ht="14.1" customHeight="1" x14ac:dyDescent="0.3">
      <c r="B104" s="137">
        <f t="shared" si="3"/>
        <v>32</v>
      </c>
      <c r="C104" s="148">
        <v>182</v>
      </c>
      <c r="D104" s="149"/>
      <c r="E104" s="150" t="s">
        <v>390</v>
      </c>
      <c r="F104" s="149"/>
      <c r="G104" s="149"/>
      <c r="H104" s="149"/>
      <c r="I104" s="151" t="s">
        <v>326</v>
      </c>
      <c r="J104" s="152">
        <v>1</v>
      </c>
      <c r="K104"/>
      <c r="L104"/>
      <c r="M104"/>
      <c r="N104" s="153"/>
      <c r="O104" s="711"/>
      <c r="P104" s="737"/>
      <c r="R104" s="61">
        <v>182</v>
      </c>
    </row>
    <row r="105" spans="2:18" ht="14.1" customHeight="1" x14ac:dyDescent="0.3">
      <c r="B105" s="137">
        <f t="shared" si="3"/>
        <v>33</v>
      </c>
      <c r="C105" s="148">
        <v>183</v>
      </c>
      <c r="D105" s="149"/>
      <c r="E105" s="150" t="s">
        <v>391</v>
      </c>
      <c r="F105" s="149"/>
      <c r="G105" s="149"/>
      <c r="H105" s="149"/>
      <c r="I105" s="151" t="s">
        <v>326</v>
      </c>
      <c r="J105" s="152">
        <v>1</v>
      </c>
      <c r="K105"/>
      <c r="L105"/>
      <c r="M105"/>
      <c r="N105" s="153"/>
      <c r="O105" s="711"/>
      <c r="P105" s="737"/>
      <c r="R105" s="61">
        <v>183</v>
      </c>
    </row>
    <row r="106" spans="2:18" ht="14.1" customHeight="1" x14ac:dyDescent="0.3">
      <c r="B106" s="137">
        <f t="shared" si="3"/>
        <v>34</v>
      </c>
      <c r="C106" s="148">
        <v>184</v>
      </c>
      <c r="D106" s="149"/>
      <c r="E106" s="159" t="s">
        <v>392</v>
      </c>
      <c r="F106" s="149"/>
      <c r="G106" s="149"/>
      <c r="H106" s="149"/>
      <c r="I106" s="151" t="s">
        <v>308</v>
      </c>
      <c r="J106" s="152">
        <v>1</v>
      </c>
      <c r="K106"/>
      <c r="L106"/>
      <c r="M106"/>
      <c r="N106" s="153"/>
      <c r="O106" s="711"/>
      <c r="P106" s="737"/>
      <c r="R106" s="61">
        <v>184</v>
      </c>
    </row>
    <row r="107" spans="2:18" ht="14.1" customHeight="1" x14ac:dyDescent="0.3">
      <c r="B107" s="137">
        <f t="shared" si="3"/>
        <v>35</v>
      </c>
      <c r="C107" s="148">
        <v>185</v>
      </c>
      <c r="D107" s="149"/>
      <c r="E107" s="150" t="s">
        <v>393</v>
      </c>
      <c r="F107" s="149"/>
      <c r="G107" s="149"/>
      <c r="H107" s="149"/>
      <c r="I107" s="151" t="s">
        <v>326</v>
      </c>
      <c r="J107" s="152">
        <v>1</v>
      </c>
      <c r="K107"/>
      <c r="L107"/>
      <c r="M107"/>
      <c r="N107" s="153"/>
      <c r="O107" s="711"/>
      <c r="P107" s="737"/>
      <c r="R107" s="61">
        <v>185</v>
      </c>
    </row>
    <row r="108" spans="2:18" ht="14.1" customHeight="1" x14ac:dyDescent="0.3">
      <c r="B108" s="137">
        <f t="shared" si="3"/>
        <v>36</v>
      </c>
      <c r="C108" s="148">
        <v>186</v>
      </c>
      <c r="D108" s="149"/>
      <c r="E108" s="150" t="s">
        <v>299</v>
      </c>
      <c r="F108" s="149"/>
      <c r="G108" s="149"/>
      <c r="H108" s="149"/>
      <c r="I108" s="151" t="s">
        <v>326</v>
      </c>
      <c r="J108" s="152">
        <v>0.6</v>
      </c>
      <c r="K108"/>
      <c r="L108"/>
      <c r="M108"/>
      <c r="N108" s="153"/>
      <c r="O108" s="711"/>
      <c r="P108" s="737"/>
      <c r="R108" s="61">
        <v>186</v>
      </c>
    </row>
    <row r="109" spans="2:18" ht="14.1" customHeight="1" x14ac:dyDescent="0.3">
      <c r="B109" s="137">
        <f t="shared" si="3"/>
        <v>37</v>
      </c>
      <c r="C109" s="154">
        <v>190</v>
      </c>
      <c r="D109" s="155"/>
      <c r="E109" s="156" t="s">
        <v>359</v>
      </c>
      <c r="F109" s="155"/>
      <c r="G109" s="155"/>
      <c r="H109" s="155"/>
      <c r="I109" s="157" t="s">
        <v>354</v>
      </c>
      <c r="J109" s="158">
        <v>0.6</v>
      </c>
      <c r="K109"/>
      <c r="L109"/>
      <c r="M109"/>
      <c r="N109" s="153"/>
      <c r="O109" s="704" t="s">
        <v>394</v>
      </c>
      <c r="P109" s="737"/>
      <c r="R109" s="61">
        <v>190</v>
      </c>
    </row>
    <row r="110" spans="2:18" ht="14.1" customHeight="1" x14ac:dyDescent="0.3">
      <c r="B110" s="137">
        <f t="shared" si="3"/>
        <v>38</v>
      </c>
      <c r="C110" s="154">
        <v>191</v>
      </c>
      <c r="D110" s="155"/>
      <c r="E110" s="156" t="s">
        <v>353</v>
      </c>
      <c r="F110" s="155"/>
      <c r="G110" s="155"/>
      <c r="H110" s="155"/>
      <c r="I110" s="157" t="s">
        <v>354</v>
      </c>
      <c r="J110" s="158">
        <v>0.6</v>
      </c>
      <c r="K110"/>
      <c r="L110"/>
      <c r="M110"/>
      <c r="N110" s="153"/>
      <c r="O110" s="705"/>
      <c r="P110" s="737"/>
      <c r="R110" s="61">
        <v>191</v>
      </c>
    </row>
    <row r="111" spans="2:18" ht="14.1" customHeight="1" x14ac:dyDescent="0.3">
      <c r="B111" s="137">
        <f t="shared" si="3"/>
        <v>39</v>
      </c>
      <c r="C111" s="154">
        <v>192</v>
      </c>
      <c r="D111" s="155"/>
      <c r="E111" s="156" t="s">
        <v>378</v>
      </c>
      <c r="F111" s="155"/>
      <c r="G111" s="155"/>
      <c r="H111" s="155"/>
      <c r="I111" s="157" t="s">
        <v>354</v>
      </c>
      <c r="J111" s="158">
        <v>0.6</v>
      </c>
      <c r="K111"/>
      <c r="L111"/>
      <c r="M111"/>
      <c r="N111" s="153"/>
      <c r="O111" s="705"/>
      <c r="P111" s="737"/>
      <c r="R111" s="61">
        <v>192</v>
      </c>
    </row>
    <row r="112" spans="2:18" ht="14.1" customHeight="1" x14ac:dyDescent="0.3">
      <c r="B112" s="137">
        <f t="shared" si="3"/>
        <v>40</v>
      </c>
      <c r="C112" s="154">
        <v>193</v>
      </c>
      <c r="D112" s="155"/>
      <c r="E112" s="156" t="s">
        <v>395</v>
      </c>
      <c r="F112" s="155"/>
      <c r="G112" s="155"/>
      <c r="H112" s="155"/>
      <c r="I112" s="157" t="s">
        <v>354</v>
      </c>
      <c r="J112" s="158">
        <v>0.6</v>
      </c>
      <c r="K112"/>
      <c r="L112"/>
      <c r="M112"/>
      <c r="N112" s="153"/>
      <c r="O112" s="705"/>
      <c r="P112" s="737"/>
      <c r="R112" s="61">
        <v>193</v>
      </c>
    </row>
    <row r="113" spans="2:19" ht="14.1" customHeight="1" x14ac:dyDescent="0.3">
      <c r="B113" s="137">
        <f t="shared" si="3"/>
        <v>41</v>
      </c>
      <c r="C113" s="161">
        <v>195</v>
      </c>
      <c r="D113" s="162"/>
      <c r="E113" s="163" t="s">
        <v>396</v>
      </c>
      <c r="F113" s="162"/>
      <c r="G113" s="162"/>
      <c r="H113" s="162"/>
      <c r="I113" s="164" t="s">
        <v>354</v>
      </c>
      <c r="J113" s="165">
        <v>0.6</v>
      </c>
      <c r="K113"/>
      <c r="L113"/>
      <c r="M113"/>
      <c r="N113" s="153"/>
      <c r="O113" s="706"/>
      <c r="P113" s="738"/>
    </row>
    <row r="114" spans="2:19" ht="14.1" customHeight="1" thickBot="1" x14ac:dyDescent="0.35">
      <c r="B114" s="137">
        <f t="shared" si="3"/>
        <v>42</v>
      </c>
      <c r="C114" s="166">
        <v>196</v>
      </c>
      <c r="D114" s="167"/>
      <c r="E114" s="168" t="s">
        <v>397</v>
      </c>
      <c r="F114" s="167"/>
      <c r="G114" s="167"/>
      <c r="H114" s="167"/>
      <c r="I114" s="169" t="s">
        <v>329</v>
      </c>
      <c r="J114" s="170">
        <v>1</v>
      </c>
      <c r="K114" s="171"/>
      <c r="L114" s="171"/>
      <c r="M114" s="171"/>
      <c r="N114" s="172"/>
      <c r="O114" s="173" t="s">
        <v>398</v>
      </c>
      <c r="P114" s="739"/>
      <c r="R114" s="61">
        <v>196</v>
      </c>
    </row>
    <row r="115" spans="2:19" ht="14.1" customHeight="1" x14ac:dyDescent="0.3">
      <c r="B115" s="137">
        <f t="shared" si="3"/>
        <v>43</v>
      </c>
      <c r="C115" s="174">
        <v>201</v>
      </c>
      <c r="D115" s="175"/>
      <c r="E115" s="175" t="s">
        <v>399</v>
      </c>
      <c r="F115" s="175"/>
      <c r="G115" s="175"/>
      <c r="H115" s="175"/>
      <c r="I115" s="176" t="s">
        <v>354</v>
      </c>
      <c r="J115" s="177">
        <v>1</v>
      </c>
      <c r="K115" s="136"/>
      <c r="L115" s="136"/>
      <c r="M115" s="136"/>
      <c r="N115" s="136"/>
      <c r="O115" s="707" t="s">
        <v>400</v>
      </c>
      <c r="P115" s="730" t="s">
        <v>401</v>
      </c>
      <c r="R115" s="61">
        <v>201</v>
      </c>
      <c r="S115" s="61">
        <f>+C115-R115</f>
        <v>0</v>
      </c>
    </row>
    <row r="116" spans="2:19" ht="14.1" customHeight="1" x14ac:dyDescent="0.3">
      <c r="B116" s="137">
        <f t="shared" si="3"/>
        <v>44</v>
      </c>
      <c r="C116" s="154">
        <v>202</v>
      </c>
      <c r="D116" s="155"/>
      <c r="E116" s="155" t="s">
        <v>302</v>
      </c>
      <c r="F116" s="155"/>
      <c r="G116" s="155"/>
      <c r="H116" s="155"/>
      <c r="I116" s="157" t="s">
        <v>354</v>
      </c>
      <c r="J116" s="158">
        <v>1</v>
      </c>
      <c r="K116"/>
      <c r="L116"/>
      <c r="M116"/>
      <c r="N116"/>
      <c r="O116" s="699"/>
      <c r="P116" s="731"/>
      <c r="R116" s="61">
        <v>202</v>
      </c>
      <c r="S116" s="61">
        <f t="shared" ref="S116:S133" si="5">+C116-R116</f>
        <v>0</v>
      </c>
    </row>
    <row r="117" spans="2:19" ht="14.1" customHeight="1" x14ac:dyDescent="0.3">
      <c r="B117" s="137">
        <f t="shared" si="3"/>
        <v>45</v>
      </c>
      <c r="C117" s="154">
        <v>203</v>
      </c>
      <c r="D117" s="155"/>
      <c r="E117" s="156" t="s">
        <v>402</v>
      </c>
      <c r="F117" s="155"/>
      <c r="G117" s="155"/>
      <c r="H117" s="155"/>
      <c r="I117" s="157" t="s">
        <v>365</v>
      </c>
      <c r="J117" s="158">
        <v>1</v>
      </c>
      <c r="K117"/>
      <c r="L117"/>
      <c r="M117"/>
      <c r="N117"/>
      <c r="O117" s="699"/>
      <c r="P117" s="731"/>
      <c r="R117" s="61">
        <v>203</v>
      </c>
      <c r="S117" s="61">
        <f t="shared" si="5"/>
        <v>0</v>
      </c>
    </row>
    <row r="118" spans="2:19" ht="14.1" customHeight="1" x14ac:dyDescent="0.3">
      <c r="B118" s="137">
        <f t="shared" si="3"/>
        <v>46</v>
      </c>
      <c r="C118" s="154">
        <v>204</v>
      </c>
      <c r="D118" s="155"/>
      <c r="E118" s="156" t="s">
        <v>403</v>
      </c>
      <c r="F118" s="155"/>
      <c r="G118" s="155"/>
      <c r="H118" s="155"/>
      <c r="I118" s="157" t="s">
        <v>354</v>
      </c>
      <c r="J118" s="158">
        <v>0.6</v>
      </c>
      <c r="K118"/>
      <c r="L118"/>
      <c r="M118"/>
      <c r="N118"/>
      <c r="O118" s="699"/>
      <c r="P118" s="731"/>
      <c r="R118" s="61">
        <v>204</v>
      </c>
      <c r="S118" s="61">
        <f t="shared" si="5"/>
        <v>0</v>
      </c>
    </row>
    <row r="119" spans="2:19" ht="14.1" customHeight="1" x14ac:dyDescent="0.3">
      <c r="B119" s="137">
        <f t="shared" si="3"/>
        <v>47</v>
      </c>
      <c r="C119" s="154">
        <v>205</v>
      </c>
      <c r="D119" s="155"/>
      <c r="E119" s="156" t="s">
        <v>404</v>
      </c>
      <c r="F119" s="155"/>
      <c r="G119" s="155"/>
      <c r="H119" s="155"/>
      <c r="I119" s="157" t="s">
        <v>354</v>
      </c>
      <c r="J119" s="158">
        <v>0.6</v>
      </c>
      <c r="K119"/>
      <c r="L119"/>
      <c r="M119"/>
      <c r="N119"/>
      <c r="O119" s="699"/>
      <c r="P119" s="731"/>
      <c r="R119" s="61">
        <v>205</v>
      </c>
      <c r="S119" s="61">
        <f t="shared" si="5"/>
        <v>0</v>
      </c>
    </row>
    <row r="120" spans="2:19" ht="14.1" customHeight="1" x14ac:dyDescent="0.3">
      <c r="B120" s="137">
        <f t="shared" si="3"/>
        <v>48</v>
      </c>
      <c r="C120" s="154">
        <v>206</v>
      </c>
      <c r="D120" s="155"/>
      <c r="E120" s="156" t="s">
        <v>405</v>
      </c>
      <c r="F120" s="155"/>
      <c r="G120" s="155"/>
      <c r="H120" s="155"/>
      <c r="I120" s="157" t="s">
        <v>365</v>
      </c>
      <c r="J120" s="158">
        <v>0.6</v>
      </c>
      <c r="K120"/>
      <c r="L120"/>
      <c r="M120"/>
      <c r="N120"/>
      <c r="O120" s="699"/>
      <c r="P120" s="731"/>
      <c r="R120" s="61">
        <v>206</v>
      </c>
      <c r="S120" s="61">
        <f t="shared" si="5"/>
        <v>0</v>
      </c>
    </row>
    <row r="121" spans="2:19" ht="14.1" customHeight="1" x14ac:dyDescent="0.3">
      <c r="B121" s="137">
        <f t="shared" si="3"/>
        <v>49</v>
      </c>
      <c r="C121" s="154">
        <v>207</v>
      </c>
      <c r="D121" s="155"/>
      <c r="E121" s="178" t="s">
        <v>406</v>
      </c>
      <c r="F121" s="155"/>
      <c r="G121" s="155"/>
      <c r="H121" s="155"/>
      <c r="I121" s="157" t="s">
        <v>354</v>
      </c>
      <c r="J121" s="158">
        <v>1</v>
      </c>
      <c r="K121"/>
      <c r="L121"/>
      <c r="M121"/>
      <c r="N121"/>
      <c r="O121" s="699"/>
      <c r="P121" s="731"/>
      <c r="R121" s="61">
        <v>207</v>
      </c>
      <c r="S121" s="61">
        <f t="shared" si="5"/>
        <v>0</v>
      </c>
    </row>
    <row r="122" spans="2:19" ht="14.1" customHeight="1" x14ac:dyDescent="0.3">
      <c r="B122" s="137">
        <f t="shared" si="3"/>
        <v>50</v>
      </c>
      <c r="C122" s="154">
        <v>208</v>
      </c>
      <c r="D122" s="155"/>
      <c r="E122" s="155" t="s">
        <v>407</v>
      </c>
      <c r="F122" s="155"/>
      <c r="G122" s="155"/>
      <c r="H122" s="155"/>
      <c r="I122" s="157" t="s">
        <v>354</v>
      </c>
      <c r="J122" s="158">
        <v>0.6</v>
      </c>
      <c r="K122"/>
      <c r="L122"/>
      <c r="M122"/>
      <c r="N122"/>
      <c r="O122" s="699"/>
      <c r="P122" s="731"/>
      <c r="R122" s="61">
        <v>208</v>
      </c>
      <c r="S122" s="61">
        <f t="shared" si="5"/>
        <v>0</v>
      </c>
    </row>
    <row r="123" spans="2:19" ht="14.1" customHeight="1" x14ac:dyDescent="0.3">
      <c r="B123" s="137">
        <f t="shared" si="3"/>
        <v>51</v>
      </c>
      <c r="C123" s="154">
        <v>215</v>
      </c>
      <c r="D123" s="155"/>
      <c r="E123" s="156" t="s">
        <v>408</v>
      </c>
      <c r="F123" s="155"/>
      <c r="G123" s="155"/>
      <c r="H123" s="155"/>
      <c r="I123" s="157" t="s">
        <v>354</v>
      </c>
      <c r="J123" s="158">
        <v>1</v>
      </c>
      <c r="K123"/>
      <c r="L123"/>
      <c r="M123"/>
      <c r="N123"/>
      <c r="O123" s="699"/>
      <c r="P123" s="731"/>
      <c r="R123" s="61">
        <v>215</v>
      </c>
      <c r="S123" s="61">
        <f t="shared" si="5"/>
        <v>0</v>
      </c>
    </row>
    <row r="124" spans="2:19" ht="14.1" customHeight="1" x14ac:dyDescent="0.3">
      <c r="B124" s="137">
        <f t="shared" si="3"/>
        <v>52</v>
      </c>
      <c r="C124" s="154">
        <v>216</v>
      </c>
      <c r="D124" s="155"/>
      <c r="E124" s="156" t="s">
        <v>409</v>
      </c>
      <c r="F124" s="155"/>
      <c r="G124" s="155"/>
      <c r="H124" s="155"/>
      <c r="I124" s="157" t="s">
        <v>354</v>
      </c>
      <c r="J124" s="158">
        <v>1</v>
      </c>
      <c r="K124"/>
      <c r="L124"/>
      <c r="M124"/>
      <c r="N124"/>
      <c r="O124" s="699"/>
      <c r="P124" s="731"/>
      <c r="R124" s="61">
        <v>216</v>
      </c>
      <c r="S124" s="61">
        <f t="shared" si="5"/>
        <v>0</v>
      </c>
    </row>
    <row r="125" spans="2:19" ht="14.1" customHeight="1" x14ac:dyDescent="0.3">
      <c r="B125" s="137">
        <f t="shared" si="3"/>
        <v>53</v>
      </c>
      <c r="C125" s="154">
        <v>217</v>
      </c>
      <c r="D125" s="155"/>
      <c r="E125" s="156" t="s">
        <v>410</v>
      </c>
      <c r="F125" s="155"/>
      <c r="G125" s="155"/>
      <c r="H125" s="155"/>
      <c r="I125" s="157" t="s">
        <v>354</v>
      </c>
      <c r="J125" s="158">
        <v>1</v>
      </c>
      <c r="K125"/>
      <c r="L125"/>
      <c r="M125"/>
      <c r="N125"/>
      <c r="O125" s="699"/>
      <c r="P125" s="731"/>
      <c r="R125" s="61">
        <v>217</v>
      </c>
      <c r="S125" s="61">
        <f t="shared" si="5"/>
        <v>0</v>
      </c>
    </row>
    <row r="126" spans="2:19" ht="14.1" customHeight="1" x14ac:dyDescent="0.3">
      <c r="B126" s="137">
        <f t="shared" si="3"/>
        <v>54</v>
      </c>
      <c r="C126" s="154">
        <v>220</v>
      </c>
      <c r="D126" s="155"/>
      <c r="E126" s="156" t="s">
        <v>411</v>
      </c>
      <c r="F126" s="155"/>
      <c r="G126" s="155"/>
      <c r="H126" s="155"/>
      <c r="I126" s="157" t="s">
        <v>354</v>
      </c>
      <c r="J126" s="158">
        <v>1</v>
      </c>
      <c r="K126"/>
      <c r="L126"/>
      <c r="M126"/>
      <c r="N126"/>
      <c r="O126" s="699"/>
      <c r="P126" s="731"/>
      <c r="R126" s="61">
        <v>220</v>
      </c>
      <c r="S126" s="61">
        <f t="shared" si="5"/>
        <v>0</v>
      </c>
    </row>
    <row r="127" spans="2:19" ht="14.1" customHeight="1" x14ac:dyDescent="0.3">
      <c r="B127" s="137">
        <f t="shared" si="3"/>
        <v>55</v>
      </c>
      <c r="C127" s="154">
        <v>221</v>
      </c>
      <c r="D127" s="155"/>
      <c r="E127" s="156" t="s">
        <v>412</v>
      </c>
      <c r="F127" s="155"/>
      <c r="G127" s="155"/>
      <c r="H127" s="155"/>
      <c r="I127" s="157" t="s">
        <v>354</v>
      </c>
      <c r="J127" s="158">
        <v>1</v>
      </c>
      <c r="K127"/>
      <c r="L127"/>
      <c r="M127"/>
      <c r="N127"/>
      <c r="O127" s="699"/>
      <c r="P127" s="731"/>
      <c r="R127" s="61">
        <v>221</v>
      </c>
      <c r="S127" s="61">
        <f t="shared" si="5"/>
        <v>0</v>
      </c>
    </row>
    <row r="128" spans="2:19" ht="14.1" customHeight="1" x14ac:dyDescent="0.3">
      <c r="B128" s="137">
        <f t="shared" si="3"/>
        <v>56</v>
      </c>
      <c r="C128" s="154">
        <v>230</v>
      </c>
      <c r="D128" s="155"/>
      <c r="E128" s="156" t="s">
        <v>413</v>
      </c>
      <c r="F128" s="155"/>
      <c r="G128" s="155"/>
      <c r="H128" s="155"/>
      <c r="I128" s="157" t="s">
        <v>354</v>
      </c>
      <c r="J128" s="158">
        <v>1</v>
      </c>
      <c r="K128"/>
      <c r="L128"/>
      <c r="M128"/>
      <c r="N128"/>
      <c r="O128" s="699"/>
      <c r="P128" s="731"/>
      <c r="R128" s="61">
        <v>230</v>
      </c>
      <c r="S128" s="61">
        <f t="shared" si="5"/>
        <v>0</v>
      </c>
    </row>
    <row r="129" spans="2:20" ht="14.1" customHeight="1" x14ac:dyDescent="0.3">
      <c r="B129" s="137">
        <f t="shared" si="3"/>
        <v>57</v>
      </c>
      <c r="C129" s="154">
        <v>231</v>
      </c>
      <c r="D129" s="155"/>
      <c r="E129" s="156" t="s">
        <v>414</v>
      </c>
      <c r="F129" s="155"/>
      <c r="G129" s="155"/>
      <c r="H129" s="155"/>
      <c r="I129" s="157" t="s">
        <v>326</v>
      </c>
      <c r="J129" s="158">
        <v>1</v>
      </c>
      <c r="K129"/>
      <c r="L129"/>
      <c r="M129"/>
      <c r="N129"/>
      <c r="O129" s="699"/>
      <c r="P129" s="731"/>
      <c r="R129" s="61">
        <v>231</v>
      </c>
      <c r="S129" s="61">
        <f t="shared" si="5"/>
        <v>0</v>
      </c>
    </row>
    <row r="130" spans="2:20" ht="14.1" customHeight="1" x14ac:dyDescent="0.3">
      <c r="B130" s="137">
        <f t="shared" si="3"/>
        <v>58</v>
      </c>
      <c r="C130" s="154">
        <v>232</v>
      </c>
      <c r="D130" s="155"/>
      <c r="E130" s="156" t="s">
        <v>415</v>
      </c>
      <c r="F130" s="155"/>
      <c r="G130" s="155"/>
      <c r="H130" s="155"/>
      <c r="I130" s="157" t="s">
        <v>365</v>
      </c>
      <c r="J130" s="158">
        <v>1</v>
      </c>
      <c r="K130"/>
      <c r="L130"/>
      <c r="M130"/>
      <c r="N130"/>
      <c r="O130" s="699"/>
      <c r="P130" s="731"/>
      <c r="R130" s="61">
        <v>232</v>
      </c>
      <c r="S130" s="61">
        <f t="shared" si="5"/>
        <v>0</v>
      </c>
    </row>
    <row r="131" spans="2:20" ht="14.1" customHeight="1" x14ac:dyDescent="0.3">
      <c r="B131" s="137">
        <f t="shared" si="3"/>
        <v>59</v>
      </c>
      <c r="C131" s="148">
        <v>240</v>
      </c>
      <c r="D131" s="149"/>
      <c r="E131" s="150" t="s">
        <v>303</v>
      </c>
      <c r="F131" s="149"/>
      <c r="G131" s="149"/>
      <c r="H131" s="149"/>
      <c r="I131" s="151" t="s">
        <v>354</v>
      </c>
      <c r="J131" s="152">
        <v>1</v>
      </c>
      <c r="K131"/>
      <c r="L131"/>
      <c r="M131"/>
      <c r="N131"/>
      <c r="O131" s="732" t="s">
        <v>416</v>
      </c>
      <c r="P131" s="731"/>
      <c r="S131" s="61">
        <f t="shared" si="5"/>
        <v>240</v>
      </c>
    </row>
    <row r="132" spans="2:20" ht="14.1" customHeight="1" x14ac:dyDescent="0.3">
      <c r="B132" s="137">
        <f t="shared" si="3"/>
        <v>60</v>
      </c>
      <c r="C132" s="148">
        <v>241</v>
      </c>
      <c r="D132" s="149"/>
      <c r="E132" s="150" t="s">
        <v>304</v>
      </c>
      <c r="F132" s="149"/>
      <c r="G132" s="149"/>
      <c r="H132" s="149"/>
      <c r="I132" s="151" t="s">
        <v>354</v>
      </c>
      <c r="J132" s="152">
        <v>1</v>
      </c>
      <c r="K132"/>
      <c r="L132"/>
      <c r="M132"/>
      <c r="N132"/>
      <c r="O132" s="733"/>
      <c r="P132" s="731"/>
      <c r="R132" s="61">
        <v>241</v>
      </c>
      <c r="S132" s="61">
        <f t="shared" si="5"/>
        <v>0</v>
      </c>
    </row>
    <row r="133" spans="2:20" ht="14.1" customHeight="1" x14ac:dyDescent="0.3">
      <c r="B133" s="137">
        <f t="shared" si="3"/>
        <v>61</v>
      </c>
      <c r="C133" s="150">
        <v>242</v>
      </c>
      <c r="D133" s="149"/>
      <c r="E133" s="150" t="s">
        <v>417</v>
      </c>
      <c r="F133" s="149"/>
      <c r="G133" s="149"/>
      <c r="H133" s="149"/>
      <c r="I133" s="151" t="s">
        <v>365</v>
      </c>
      <c r="J133" s="179">
        <v>1</v>
      </c>
      <c r="K133" s="115"/>
      <c r="L133"/>
      <c r="M133"/>
      <c r="N133" s="116"/>
      <c r="O133" s="733"/>
      <c r="P133" s="731"/>
      <c r="R133" s="61">
        <v>242</v>
      </c>
      <c r="S133" s="61">
        <f t="shared" si="5"/>
        <v>0</v>
      </c>
    </row>
    <row r="134" spans="2:20" ht="14.1" customHeight="1" thickBot="1" x14ac:dyDescent="0.35">
      <c r="B134" s="137">
        <f t="shared" si="3"/>
        <v>62</v>
      </c>
      <c r="C134" s="180">
        <v>243</v>
      </c>
      <c r="D134" s="181"/>
      <c r="E134" s="180" t="s">
        <v>418</v>
      </c>
      <c r="F134" s="181"/>
      <c r="G134" s="181"/>
      <c r="H134" s="181"/>
      <c r="I134" s="182" t="s">
        <v>354</v>
      </c>
      <c r="J134" s="183">
        <v>1</v>
      </c>
      <c r="K134" s="115"/>
      <c r="L134"/>
      <c r="M134"/>
      <c r="N134" s="116"/>
      <c r="O134" s="733"/>
      <c r="P134" s="731"/>
    </row>
    <row r="135" spans="2:20" ht="14.1" customHeight="1" x14ac:dyDescent="0.3">
      <c r="B135" s="137">
        <f t="shared" si="3"/>
        <v>63</v>
      </c>
      <c r="C135" s="174">
        <v>301</v>
      </c>
      <c r="D135" s="175"/>
      <c r="E135" s="184" t="s">
        <v>419</v>
      </c>
      <c r="F135" s="175"/>
      <c r="G135" s="175"/>
      <c r="H135" s="175"/>
      <c r="I135" s="176" t="s">
        <v>329</v>
      </c>
      <c r="J135" s="177">
        <v>0.4</v>
      </c>
      <c r="K135" s="136"/>
      <c r="L135" s="136"/>
      <c r="M135" s="136"/>
      <c r="N135" s="136"/>
      <c r="O135" s="724" t="s">
        <v>420</v>
      </c>
      <c r="P135" s="726" t="s">
        <v>421</v>
      </c>
      <c r="R135" s="61">
        <v>301</v>
      </c>
      <c r="S135" s="61">
        <f>+R135-C135</f>
        <v>0</v>
      </c>
    </row>
    <row r="136" spans="2:20" ht="14.1" customHeight="1" x14ac:dyDescent="0.3">
      <c r="B136" s="137">
        <f t="shared" si="3"/>
        <v>64</v>
      </c>
      <c r="C136" s="154">
        <v>302</v>
      </c>
      <c r="D136" s="155"/>
      <c r="E136" s="156" t="s">
        <v>422</v>
      </c>
      <c r="F136" s="155"/>
      <c r="G136" s="155"/>
      <c r="H136" s="155"/>
      <c r="I136" s="157" t="s">
        <v>329</v>
      </c>
      <c r="J136" s="158">
        <v>0.4</v>
      </c>
      <c r="K136"/>
      <c r="L136"/>
      <c r="M136"/>
      <c r="N136"/>
      <c r="O136" s="725"/>
      <c r="P136" s="727"/>
      <c r="R136" s="61">
        <v>302</v>
      </c>
      <c r="S136" s="61">
        <f t="shared" ref="S136:S156" si="6">+R136-C136</f>
        <v>0</v>
      </c>
    </row>
    <row r="137" spans="2:20" ht="14.1" customHeight="1" x14ac:dyDescent="0.3">
      <c r="B137" s="137">
        <f t="shared" si="3"/>
        <v>65</v>
      </c>
      <c r="C137" s="154">
        <v>303</v>
      </c>
      <c r="D137" s="155"/>
      <c r="E137" s="156" t="s">
        <v>423</v>
      </c>
      <c r="F137" s="155"/>
      <c r="G137" s="155"/>
      <c r="H137" s="155"/>
      <c r="I137" s="157" t="s">
        <v>365</v>
      </c>
      <c r="J137" s="158">
        <v>0.4</v>
      </c>
      <c r="K137"/>
      <c r="L137"/>
      <c r="M137"/>
      <c r="N137"/>
      <c r="O137" s="725"/>
      <c r="P137" s="727"/>
      <c r="R137" s="61">
        <v>303</v>
      </c>
      <c r="S137" s="61">
        <f t="shared" si="6"/>
        <v>0</v>
      </c>
      <c r="T137" s="61">
        <v>302</v>
      </c>
    </row>
    <row r="138" spans="2:20" ht="14.1" customHeight="1" x14ac:dyDescent="0.3">
      <c r="B138" s="137">
        <f t="shared" si="3"/>
        <v>66</v>
      </c>
      <c r="C138" s="148">
        <v>311</v>
      </c>
      <c r="D138" s="149"/>
      <c r="E138" s="149" t="s">
        <v>424</v>
      </c>
      <c r="F138" s="149"/>
      <c r="G138" s="149"/>
      <c r="H138" s="149"/>
      <c r="I138" s="151" t="s">
        <v>329</v>
      </c>
      <c r="J138" s="152">
        <v>0.2</v>
      </c>
      <c r="K138"/>
      <c r="L138"/>
      <c r="M138"/>
      <c r="N138"/>
      <c r="O138" s="729" t="s">
        <v>425</v>
      </c>
      <c r="P138" s="727"/>
      <c r="R138" s="61">
        <v>311</v>
      </c>
      <c r="S138" s="61">
        <f t="shared" si="6"/>
        <v>0</v>
      </c>
    </row>
    <row r="139" spans="2:20" ht="14.1" customHeight="1" x14ac:dyDescent="0.3">
      <c r="B139" s="137">
        <f t="shared" si="3"/>
        <v>67</v>
      </c>
      <c r="C139" s="148">
        <v>312</v>
      </c>
      <c r="D139" s="149"/>
      <c r="E139" s="149" t="s">
        <v>426</v>
      </c>
      <c r="F139" s="149"/>
      <c r="G139" s="149"/>
      <c r="H139" s="149"/>
      <c r="I139" s="151" t="s">
        <v>326</v>
      </c>
      <c r="J139" s="152">
        <v>0.2</v>
      </c>
      <c r="K139"/>
      <c r="L139"/>
      <c r="M139"/>
      <c r="N139"/>
      <c r="O139" s="729"/>
      <c r="P139" s="727"/>
      <c r="S139" s="61">
        <f t="shared" si="6"/>
        <v>-312</v>
      </c>
    </row>
    <row r="140" spans="2:20" ht="14.1" customHeight="1" x14ac:dyDescent="0.3">
      <c r="B140" s="137">
        <f t="shared" si="3"/>
        <v>68</v>
      </c>
      <c r="C140" s="148">
        <v>313</v>
      </c>
      <c r="D140" s="149"/>
      <c r="E140" s="150" t="s">
        <v>427</v>
      </c>
      <c r="F140" s="149"/>
      <c r="G140" s="149"/>
      <c r="H140" s="149"/>
      <c r="I140" s="151" t="s">
        <v>365</v>
      </c>
      <c r="J140" s="152">
        <v>0.2</v>
      </c>
      <c r="K140"/>
      <c r="L140"/>
      <c r="M140"/>
      <c r="N140"/>
      <c r="O140" s="729"/>
      <c r="P140" s="727"/>
      <c r="R140" s="61">
        <v>313</v>
      </c>
      <c r="S140" s="61">
        <f t="shared" si="6"/>
        <v>0</v>
      </c>
    </row>
    <row r="141" spans="2:20" ht="14.1" customHeight="1" x14ac:dyDescent="0.3">
      <c r="B141" s="137">
        <f t="shared" si="3"/>
        <v>69</v>
      </c>
      <c r="C141" s="154">
        <v>321</v>
      </c>
      <c r="D141" s="155"/>
      <c r="E141" s="156" t="s">
        <v>428</v>
      </c>
      <c r="F141" s="155"/>
      <c r="G141" s="155"/>
      <c r="H141" s="155"/>
      <c r="I141" s="157" t="s">
        <v>308</v>
      </c>
      <c r="J141" s="158">
        <v>0.4</v>
      </c>
      <c r="K141"/>
      <c r="L141"/>
      <c r="M141"/>
      <c r="N141"/>
      <c r="O141" s="699" t="s">
        <v>429</v>
      </c>
      <c r="P141" s="727"/>
      <c r="R141" s="61">
        <v>321</v>
      </c>
      <c r="S141" s="61">
        <f t="shared" si="6"/>
        <v>0</v>
      </c>
    </row>
    <row r="142" spans="2:20" ht="14.1" customHeight="1" x14ac:dyDescent="0.3">
      <c r="B142" s="137">
        <f t="shared" ref="B142:B184" si="7">1+B141</f>
        <v>70</v>
      </c>
      <c r="C142" s="154">
        <v>322</v>
      </c>
      <c r="D142" s="155"/>
      <c r="E142" s="156" t="s">
        <v>430</v>
      </c>
      <c r="F142" s="155"/>
      <c r="G142" s="155"/>
      <c r="H142" s="155"/>
      <c r="I142" s="157" t="s">
        <v>308</v>
      </c>
      <c r="J142" s="158">
        <v>0.4</v>
      </c>
      <c r="K142"/>
      <c r="L142"/>
      <c r="M142"/>
      <c r="N142"/>
      <c r="O142" s="699"/>
      <c r="P142" s="727"/>
      <c r="R142" s="61">
        <v>322</v>
      </c>
      <c r="S142" s="61">
        <f t="shared" si="6"/>
        <v>0</v>
      </c>
    </row>
    <row r="143" spans="2:20" ht="14.1" customHeight="1" x14ac:dyDescent="0.3">
      <c r="B143" s="137">
        <f t="shared" si="7"/>
        <v>71</v>
      </c>
      <c r="C143" s="154">
        <v>323</v>
      </c>
      <c r="D143" s="155"/>
      <c r="E143" s="156" t="s">
        <v>431</v>
      </c>
      <c r="F143" s="155"/>
      <c r="G143" s="155"/>
      <c r="H143" s="155"/>
      <c r="I143" s="157" t="s">
        <v>308</v>
      </c>
      <c r="J143" s="158">
        <v>0.4</v>
      </c>
      <c r="K143"/>
      <c r="L143"/>
      <c r="M143"/>
      <c r="N143"/>
      <c r="O143" s="699"/>
      <c r="P143" s="727"/>
      <c r="R143" s="61">
        <v>323</v>
      </c>
      <c r="S143" s="61">
        <f t="shared" si="6"/>
        <v>0</v>
      </c>
    </row>
    <row r="144" spans="2:20" ht="14.1" customHeight="1" x14ac:dyDescent="0.3">
      <c r="B144" s="137">
        <f t="shared" si="7"/>
        <v>72</v>
      </c>
      <c r="C144" s="154">
        <v>324</v>
      </c>
      <c r="D144" s="155"/>
      <c r="E144" s="156" t="s">
        <v>334</v>
      </c>
      <c r="F144" s="155"/>
      <c r="G144" s="155"/>
      <c r="H144" s="155"/>
      <c r="I144" s="157" t="s">
        <v>308</v>
      </c>
      <c r="J144" s="158">
        <v>0.4</v>
      </c>
      <c r="K144"/>
      <c r="L144"/>
      <c r="M144"/>
      <c r="N144"/>
      <c r="O144" s="699"/>
      <c r="P144" s="727"/>
      <c r="R144" s="61">
        <v>324</v>
      </c>
      <c r="S144" s="61">
        <f t="shared" si="6"/>
        <v>0</v>
      </c>
    </row>
    <row r="145" spans="2:19" ht="14.1" customHeight="1" x14ac:dyDescent="0.3">
      <c r="B145" s="137">
        <f t="shared" si="7"/>
        <v>73</v>
      </c>
      <c r="C145" s="154">
        <v>325</v>
      </c>
      <c r="D145" s="155"/>
      <c r="E145" s="156" t="s">
        <v>432</v>
      </c>
      <c r="F145" s="155"/>
      <c r="G145" s="155"/>
      <c r="H145" s="155"/>
      <c r="I145" s="157" t="s">
        <v>308</v>
      </c>
      <c r="J145" s="158">
        <v>0.6</v>
      </c>
      <c r="K145"/>
      <c r="L145"/>
      <c r="M145"/>
      <c r="N145"/>
      <c r="O145" s="699"/>
      <c r="P145" s="727"/>
      <c r="R145" s="61">
        <v>325</v>
      </c>
      <c r="S145" s="61">
        <f t="shared" si="6"/>
        <v>0</v>
      </c>
    </row>
    <row r="146" spans="2:19" ht="14.1" customHeight="1" x14ac:dyDescent="0.3">
      <c r="B146" s="137">
        <f t="shared" si="7"/>
        <v>74</v>
      </c>
      <c r="C146" s="154">
        <v>326</v>
      </c>
      <c r="D146" s="155"/>
      <c r="E146" s="156" t="s">
        <v>433</v>
      </c>
      <c r="F146" s="155"/>
      <c r="G146" s="155"/>
      <c r="H146" s="155"/>
      <c r="I146" s="157" t="s">
        <v>308</v>
      </c>
      <c r="J146" s="158">
        <v>0.6</v>
      </c>
      <c r="K146"/>
      <c r="L146"/>
      <c r="M146"/>
      <c r="N146"/>
      <c r="O146" s="699"/>
      <c r="P146" s="727"/>
      <c r="R146" s="61">
        <v>326</v>
      </c>
      <c r="S146" s="61">
        <f t="shared" si="6"/>
        <v>0</v>
      </c>
    </row>
    <row r="147" spans="2:19" ht="14.1" customHeight="1" x14ac:dyDescent="0.3">
      <c r="B147" s="137">
        <f t="shared" si="7"/>
        <v>75</v>
      </c>
      <c r="C147" s="154">
        <v>327</v>
      </c>
      <c r="D147" s="155"/>
      <c r="E147" s="156" t="s">
        <v>434</v>
      </c>
      <c r="F147" s="155"/>
      <c r="G147" s="155"/>
      <c r="H147" s="155"/>
      <c r="I147" s="157" t="s">
        <v>308</v>
      </c>
      <c r="J147" s="158">
        <v>0.6</v>
      </c>
      <c r="K147"/>
      <c r="L147"/>
      <c r="M147"/>
      <c r="N147"/>
      <c r="O147" s="699"/>
      <c r="P147" s="727"/>
      <c r="R147" s="61">
        <v>327</v>
      </c>
      <c r="S147" s="61">
        <f t="shared" si="6"/>
        <v>0</v>
      </c>
    </row>
    <row r="148" spans="2:19" ht="14.1" customHeight="1" x14ac:dyDescent="0.3">
      <c r="B148" s="137">
        <f t="shared" si="7"/>
        <v>76</v>
      </c>
      <c r="C148" s="154">
        <v>328</v>
      </c>
      <c r="D148" s="155"/>
      <c r="E148" s="156" t="s">
        <v>435</v>
      </c>
      <c r="F148" s="155"/>
      <c r="G148" s="155"/>
      <c r="H148" s="155"/>
      <c r="I148" s="157" t="s">
        <v>308</v>
      </c>
      <c r="J148" s="158">
        <v>0.6</v>
      </c>
      <c r="K148"/>
      <c r="L148"/>
      <c r="M148"/>
      <c r="N148"/>
      <c r="O148" s="699"/>
      <c r="P148" s="727"/>
      <c r="R148" s="61">
        <v>328</v>
      </c>
      <c r="S148" s="61">
        <f t="shared" si="6"/>
        <v>0</v>
      </c>
    </row>
    <row r="149" spans="2:19" ht="14.1" customHeight="1" x14ac:dyDescent="0.3">
      <c r="B149" s="137">
        <f t="shared" si="7"/>
        <v>77</v>
      </c>
      <c r="C149" s="154">
        <v>329</v>
      </c>
      <c r="D149" s="155"/>
      <c r="E149" s="156" t="s">
        <v>436</v>
      </c>
      <c r="F149" s="155"/>
      <c r="G149" s="155"/>
      <c r="H149" s="155"/>
      <c r="I149" s="157" t="s">
        <v>308</v>
      </c>
      <c r="J149" s="158">
        <v>0.6</v>
      </c>
      <c r="K149"/>
      <c r="L149"/>
      <c r="M149"/>
      <c r="N149"/>
      <c r="O149" s="699"/>
      <c r="P149" s="727"/>
      <c r="R149" s="61">
        <v>329</v>
      </c>
      <c r="S149" s="61">
        <f t="shared" si="6"/>
        <v>0</v>
      </c>
    </row>
    <row r="150" spans="2:19" ht="14.1" customHeight="1" x14ac:dyDescent="0.3">
      <c r="B150" s="137">
        <f t="shared" si="7"/>
        <v>78</v>
      </c>
      <c r="C150" s="148">
        <v>341</v>
      </c>
      <c r="D150" s="149"/>
      <c r="E150" s="150" t="s">
        <v>199</v>
      </c>
      <c r="F150" s="149"/>
      <c r="G150" s="149"/>
      <c r="H150" s="149"/>
      <c r="I150" s="151" t="s">
        <v>307</v>
      </c>
      <c r="J150" s="152">
        <v>0.4</v>
      </c>
      <c r="K150"/>
      <c r="L150"/>
      <c r="M150"/>
      <c r="N150"/>
      <c r="O150" s="740" t="s">
        <v>437</v>
      </c>
      <c r="P150" s="727"/>
      <c r="R150" s="61">
        <v>341</v>
      </c>
      <c r="S150" s="61">
        <f t="shared" si="6"/>
        <v>0</v>
      </c>
    </row>
    <row r="151" spans="2:19" ht="14.1" customHeight="1" x14ac:dyDescent="0.3">
      <c r="B151" s="137">
        <f t="shared" si="7"/>
        <v>79</v>
      </c>
      <c r="C151" s="148">
        <v>342</v>
      </c>
      <c r="D151" s="149"/>
      <c r="E151" s="150" t="s">
        <v>168</v>
      </c>
      <c r="F151" s="149"/>
      <c r="G151" s="149"/>
      <c r="H151" s="149"/>
      <c r="I151" s="151" t="s">
        <v>307</v>
      </c>
      <c r="J151" s="152">
        <v>0.4</v>
      </c>
      <c r="K151"/>
      <c r="L151"/>
      <c r="M151"/>
      <c r="N151"/>
      <c r="O151" s="740"/>
      <c r="P151" s="727"/>
      <c r="R151" s="61">
        <v>342</v>
      </c>
      <c r="S151" s="61">
        <f t="shared" si="6"/>
        <v>0</v>
      </c>
    </row>
    <row r="152" spans="2:19" ht="14.1" customHeight="1" x14ac:dyDescent="0.3">
      <c r="B152" s="137">
        <f t="shared" si="7"/>
        <v>80</v>
      </c>
      <c r="C152" s="148">
        <v>343</v>
      </c>
      <c r="D152" s="149"/>
      <c r="E152" s="150" t="s">
        <v>438</v>
      </c>
      <c r="F152" s="149"/>
      <c r="G152" s="149"/>
      <c r="H152" s="149"/>
      <c r="I152" s="151" t="s">
        <v>307</v>
      </c>
      <c r="J152" s="152">
        <v>0.4</v>
      </c>
      <c r="K152"/>
      <c r="L152"/>
      <c r="M152"/>
      <c r="N152"/>
      <c r="O152" s="740"/>
      <c r="P152" s="727"/>
      <c r="R152" s="61">
        <v>343</v>
      </c>
      <c r="S152" s="61">
        <f t="shared" si="6"/>
        <v>0</v>
      </c>
    </row>
    <row r="153" spans="2:19" ht="14.1" customHeight="1" x14ac:dyDescent="0.3">
      <c r="B153" s="137">
        <f t="shared" si="7"/>
        <v>81</v>
      </c>
      <c r="C153" s="148">
        <v>344</v>
      </c>
      <c r="D153" s="149"/>
      <c r="E153" s="159" t="s">
        <v>439</v>
      </c>
      <c r="F153" s="149"/>
      <c r="G153" s="149"/>
      <c r="H153" s="149"/>
      <c r="I153" s="151" t="s">
        <v>307</v>
      </c>
      <c r="J153" s="152">
        <v>0.4</v>
      </c>
      <c r="K153"/>
      <c r="L153"/>
      <c r="M153"/>
      <c r="N153"/>
      <c r="O153" s="740"/>
      <c r="P153" s="727"/>
      <c r="R153" s="61">
        <v>344</v>
      </c>
      <c r="S153" s="61">
        <f t="shared" si="6"/>
        <v>0</v>
      </c>
    </row>
    <row r="154" spans="2:19" ht="14.1" customHeight="1" x14ac:dyDescent="0.3">
      <c r="B154" s="137">
        <f t="shared" si="7"/>
        <v>82</v>
      </c>
      <c r="C154" s="154">
        <v>351</v>
      </c>
      <c r="D154" s="155"/>
      <c r="E154" s="156" t="s">
        <v>440</v>
      </c>
      <c r="F154" s="155"/>
      <c r="G154" s="155"/>
      <c r="H154" s="155"/>
      <c r="I154" s="157" t="s">
        <v>307</v>
      </c>
      <c r="J154" s="158">
        <v>0.4</v>
      </c>
      <c r="K154"/>
      <c r="L154"/>
      <c r="M154"/>
      <c r="N154"/>
      <c r="O154" s="699" t="s">
        <v>441</v>
      </c>
      <c r="P154" s="727"/>
      <c r="R154" s="61">
        <v>351</v>
      </c>
      <c r="S154" s="61">
        <f t="shared" si="6"/>
        <v>0</v>
      </c>
    </row>
    <row r="155" spans="2:19" ht="14.1" customHeight="1" x14ac:dyDescent="0.3">
      <c r="B155" s="137">
        <f t="shared" si="7"/>
        <v>83</v>
      </c>
      <c r="C155" s="154">
        <v>352</v>
      </c>
      <c r="D155" s="155"/>
      <c r="E155" s="156" t="s">
        <v>442</v>
      </c>
      <c r="F155" s="155"/>
      <c r="G155" s="155"/>
      <c r="H155" s="155"/>
      <c r="I155" s="157" t="s">
        <v>307</v>
      </c>
      <c r="J155" s="158">
        <v>0.4</v>
      </c>
      <c r="K155"/>
      <c r="L155"/>
      <c r="M155"/>
      <c r="N155"/>
      <c r="O155" s="699"/>
      <c r="P155" s="727"/>
      <c r="R155" s="61">
        <v>352</v>
      </c>
      <c r="S155" s="61">
        <f t="shared" si="6"/>
        <v>0</v>
      </c>
    </row>
    <row r="156" spans="2:19" ht="14.1" customHeight="1" x14ac:dyDescent="0.3">
      <c r="B156" s="137">
        <f t="shared" si="7"/>
        <v>84</v>
      </c>
      <c r="C156" s="154">
        <v>353</v>
      </c>
      <c r="D156" s="155"/>
      <c r="E156" s="156" t="s">
        <v>309</v>
      </c>
      <c r="F156" s="155"/>
      <c r="G156" s="155"/>
      <c r="H156" s="155"/>
      <c r="I156" s="157" t="s">
        <v>307</v>
      </c>
      <c r="J156" s="158">
        <v>0.4</v>
      </c>
      <c r="K156"/>
      <c r="L156"/>
      <c r="M156"/>
      <c r="N156"/>
      <c r="O156" s="699"/>
      <c r="P156" s="727"/>
      <c r="R156" s="61">
        <v>353</v>
      </c>
      <c r="S156" s="61">
        <f t="shared" si="6"/>
        <v>0</v>
      </c>
    </row>
    <row r="157" spans="2:19" ht="14.1" customHeight="1" x14ac:dyDescent="0.3">
      <c r="B157" s="137">
        <f t="shared" si="7"/>
        <v>85</v>
      </c>
      <c r="C157" s="154">
        <v>354</v>
      </c>
      <c r="D157" s="155"/>
      <c r="E157" s="156" t="s">
        <v>443</v>
      </c>
      <c r="F157" s="155"/>
      <c r="G157" s="155"/>
      <c r="H157" s="155"/>
      <c r="I157" s="157" t="s">
        <v>307</v>
      </c>
      <c r="J157" s="158">
        <v>0.4</v>
      </c>
      <c r="K157"/>
      <c r="L157"/>
      <c r="M157"/>
      <c r="N157"/>
      <c r="O157" s="699"/>
      <c r="P157" s="727"/>
      <c r="R157" s="61">
        <v>354</v>
      </c>
    </row>
    <row r="158" spans="2:19" ht="14.1" customHeight="1" x14ac:dyDescent="0.3">
      <c r="B158" s="137">
        <f t="shared" si="7"/>
        <v>86</v>
      </c>
      <c r="C158" s="161">
        <v>355</v>
      </c>
      <c r="D158" s="162"/>
      <c r="E158" s="163" t="s">
        <v>310</v>
      </c>
      <c r="F158" s="162"/>
      <c r="G158" s="162"/>
      <c r="H158" s="162"/>
      <c r="I158" s="164" t="s">
        <v>307</v>
      </c>
      <c r="J158" s="165">
        <v>0.4</v>
      </c>
      <c r="K158"/>
      <c r="L158"/>
      <c r="M158"/>
      <c r="N158"/>
      <c r="O158" s="700"/>
      <c r="P158" s="727"/>
    </row>
    <row r="159" spans="2:19" ht="14.1" customHeight="1" x14ac:dyDescent="0.3">
      <c r="B159" s="137">
        <f t="shared" si="7"/>
        <v>87</v>
      </c>
      <c r="C159" s="148">
        <v>371</v>
      </c>
      <c r="D159" s="149"/>
      <c r="E159" s="150" t="s">
        <v>444</v>
      </c>
      <c r="F159" s="149"/>
      <c r="G159" s="149"/>
      <c r="H159" s="149"/>
      <c r="I159" s="151" t="s">
        <v>308</v>
      </c>
      <c r="J159" s="152">
        <v>0.4</v>
      </c>
      <c r="K159" s="115"/>
      <c r="L159"/>
      <c r="M159"/>
      <c r="N159" s="116"/>
      <c r="O159" s="712" t="s">
        <v>445</v>
      </c>
      <c r="P159" s="727"/>
      <c r="R159" s="61">
        <v>371</v>
      </c>
    </row>
    <row r="160" spans="2:19" ht="14.1" customHeight="1" thickBot="1" x14ac:dyDescent="0.35">
      <c r="B160" s="137">
        <f t="shared" si="7"/>
        <v>88</v>
      </c>
      <c r="C160" s="166">
        <v>372</v>
      </c>
      <c r="D160" s="167"/>
      <c r="E160" s="168" t="s">
        <v>311</v>
      </c>
      <c r="F160" s="167"/>
      <c r="G160" s="167"/>
      <c r="H160" s="167"/>
      <c r="I160" s="169" t="s">
        <v>308</v>
      </c>
      <c r="J160" s="170">
        <v>0.4</v>
      </c>
      <c r="K160" s="185"/>
      <c r="L160" s="171"/>
      <c r="M160" s="171"/>
      <c r="N160" s="186"/>
      <c r="O160" s="713"/>
      <c r="P160" s="728"/>
      <c r="R160" s="61">
        <v>372</v>
      </c>
    </row>
    <row r="161" spans="2:19" ht="14.1" customHeight="1" x14ac:dyDescent="0.3">
      <c r="B161" s="137">
        <f t="shared" si="7"/>
        <v>89</v>
      </c>
      <c r="C161" s="187">
        <v>401</v>
      </c>
      <c r="D161" s="188"/>
      <c r="E161" s="189" t="s">
        <v>446</v>
      </c>
      <c r="F161" s="188"/>
      <c r="G161" s="188"/>
      <c r="H161" s="188"/>
      <c r="I161" s="190" t="s">
        <v>307</v>
      </c>
      <c r="J161" s="191">
        <v>0.6</v>
      </c>
      <c r="K161"/>
      <c r="L161"/>
      <c r="M161"/>
      <c r="N161"/>
      <c r="O161"/>
      <c r="P161" s="714" t="s">
        <v>447</v>
      </c>
      <c r="R161" s="61">
        <v>401</v>
      </c>
      <c r="S161" s="61">
        <f>+R161-C161</f>
        <v>0</v>
      </c>
    </row>
    <row r="162" spans="2:19" ht="14.1" customHeight="1" x14ac:dyDescent="0.3">
      <c r="B162" s="137">
        <f t="shared" si="7"/>
        <v>90</v>
      </c>
      <c r="C162" s="192">
        <v>402</v>
      </c>
      <c r="D162" s="193"/>
      <c r="E162" s="194" t="s">
        <v>448</v>
      </c>
      <c r="F162" s="193"/>
      <c r="G162" s="193"/>
      <c r="H162" s="193"/>
      <c r="I162" s="195" t="s">
        <v>307</v>
      </c>
      <c r="J162" s="196">
        <v>0.6</v>
      </c>
      <c r="K162"/>
      <c r="L162"/>
      <c r="M162"/>
      <c r="N162"/>
      <c r="O162"/>
      <c r="P162" s="715"/>
      <c r="R162" s="61">
        <v>402</v>
      </c>
      <c r="S162" s="61">
        <f t="shared" ref="S162:S171" si="8">+R162-C162</f>
        <v>0</v>
      </c>
    </row>
    <row r="163" spans="2:19" ht="14.1" customHeight="1" x14ac:dyDescent="0.3">
      <c r="B163" s="137">
        <f t="shared" si="7"/>
        <v>91</v>
      </c>
      <c r="C163" s="192">
        <v>403</v>
      </c>
      <c r="D163" s="193"/>
      <c r="E163" s="194" t="s">
        <v>449</v>
      </c>
      <c r="F163" s="193"/>
      <c r="G163" s="193"/>
      <c r="H163" s="193"/>
      <c r="I163" s="195" t="s">
        <v>329</v>
      </c>
      <c r="J163" s="196">
        <v>0.6</v>
      </c>
      <c r="K163"/>
      <c r="L163"/>
      <c r="M163"/>
      <c r="N163"/>
      <c r="O163"/>
      <c r="P163" s="715"/>
      <c r="S163" s="61">
        <f t="shared" si="8"/>
        <v>-403</v>
      </c>
    </row>
    <row r="164" spans="2:19" ht="14.1" customHeight="1" x14ac:dyDescent="0.3">
      <c r="B164" s="137">
        <f t="shared" si="7"/>
        <v>92</v>
      </c>
      <c r="C164" s="192">
        <v>404</v>
      </c>
      <c r="D164" s="193"/>
      <c r="E164" s="194" t="s">
        <v>450</v>
      </c>
      <c r="F164" s="193"/>
      <c r="G164" s="193"/>
      <c r="H164" s="193"/>
      <c r="I164" s="195" t="s">
        <v>307</v>
      </c>
      <c r="J164" s="196">
        <v>0.6</v>
      </c>
      <c r="K164"/>
      <c r="L164"/>
      <c r="M164"/>
      <c r="N164"/>
      <c r="O164"/>
      <c r="P164" s="715"/>
      <c r="S164" s="61">
        <f t="shared" si="8"/>
        <v>-404</v>
      </c>
    </row>
    <row r="165" spans="2:19" ht="14.1" customHeight="1" x14ac:dyDescent="0.3">
      <c r="B165" s="137">
        <f t="shared" si="7"/>
        <v>93</v>
      </c>
      <c r="C165" s="192">
        <v>405</v>
      </c>
      <c r="D165" s="193"/>
      <c r="E165" s="194" t="s">
        <v>451</v>
      </c>
      <c r="F165" s="193"/>
      <c r="G165" s="193"/>
      <c r="H165" s="193"/>
      <c r="I165" s="195" t="s">
        <v>307</v>
      </c>
      <c r="J165" s="196">
        <v>0.6</v>
      </c>
      <c r="K165"/>
      <c r="L165"/>
      <c r="M165"/>
      <c r="N165"/>
      <c r="O165"/>
      <c r="P165" s="715"/>
      <c r="S165" s="61">
        <f t="shared" si="8"/>
        <v>-405</v>
      </c>
    </row>
    <row r="166" spans="2:19" ht="14.1" customHeight="1" x14ac:dyDescent="0.3">
      <c r="B166" s="137">
        <f t="shared" si="7"/>
        <v>94</v>
      </c>
      <c r="C166" s="192">
        <v>406</v>
      </c>
      <c r="D166" s="193"/>
      <c r="E166" s="194" t="s">
        <v>313</v>
      </c>
      <c r="F166" s="193"/>
      <c r="G166" s="193"/>
      <c r="H166" s="193"/>
      <c r="I166" s="195" t="s">
        <v>307</v>
      </c>
      <c r="J166" s="196">
        <v>0.6</v>
      </c>
      <c r="K166"/>
      <c r="L166"/>
      <c r="M166"/>
      <c r="N166"/>
      <c r="O166"/>
      <c r="P166" s="715"/>
      <c r="R166" s="61">
        <v>406</v>
      </c>
      <c r="S166" s="61">
        <f t="shared" si="8"/>
        <v>0</v>
      </c>
    </row>
    <row r="167" spans="2:19" ht="14.1" customHeight="1" x14ac:dyDescent="0.3">
      <c r="B167" s="137">
        <f t="shared" si="7"/>
        <v>95</v>
      </c>
      <c r="C167" s="192">
        <v>407</v>
      </c>
      <c r="D167" s="193"/>
      <c r="E167" s="194" t="s">
        <v>452</v>
      </c>
      <c r="F167" s="193"/>
      <c r="G167" s="193"/>
      <c r="H167" s="193"/>
      <c r="I167" s="195" t="s">
        <v>354</v>
      </c>
      <c r="J167" s="196">
        <v>0.6</v>
      </c>
      <c r="K167"/>
      <c r="L167"/>
      <c r="M167"/>
      <c r="N167"/>
      <c r="O167"/>
      <c r="P167" s="715"/>
      <c r="S167" s="61">
        <f t="shared" si="8"/>
        <v>-407</v>
      </c>
    </row>
    <row r="168" spans="2:19" ht="14.1" customHeight="1" x14ac:dyDescent="0.3">
      <c r="B168" s="137">
        <f t="shared" si="7"/>
        <v>96</v>
      </c>
      <c r="C168" s="192">
        <v>410</v>
      </c>
      <c r="D168" s="193"/>
      <c r="E168" s="194" t="s">
        <v>453</v>
      </c>
      <c r="F168" s="193"/>
      <c r="G168" s="193"/>
      <c r="H168" s="193"/>
      <c r="I168" s="195" t="s">
        <v>354</v>
      </c>
      <c r="J168" s="196">
        <v>0.2</v>
      </c>
      <c r="K168"/>
      <c r="L168"/>
      <c r="M168"/>
      <c r="N168"/>
      <c r="O168"/>
      <c r="P168" s="715"/>
      <c r="R168" s="61">
        <v>410</v>
      </c>
      <c r="S168" s="61">
        <f t="shared" si="8"/>
        <v>0</v>
      </c>
    </row>
    <row r="169" spans="2:19" ht="14.1" customHeight="1" x14ac:dyDescent="0.3">
      <c r="B169" s="137">
        <f t="shared" si="7"/>
        <v>97</v>
      </c>
      <c r="C169" s="192">
        <v>411</v>
      </c>
      <c r="D169" s="193"/>
      <c r="E169" s="194" t="s">
        <v>454</v>
      </c>
      <c r="F169" s="193"/>
      <c r="G169" s="193"/>
      <c r="H169" s="193"/>
      <c r="I169" s="195" t="s">
        <v>354</v>
      </c>
      <c r="J169" s="196">
        <v>0.2</v>
      </c>
      <c r="K169"/>
      <c r="L169"/>
      <c r="M169"/>
      <c r="N169"/>
      <c r="O169"/>
      <c r="P169" s="715"/>
      <c r="R169" s="61">
        <v>411</v>
      </c>
      <c r="S169" s="61">
        <f t="shared" si="8"/>
        <v>0</v>
      </c>
    </row>
    <row r="170" spans="2:19" ht="14.1" customHeight="1" x14ac:dyDescent="0.3">
      <c r="B170" s="137">
        <f t="shared" si="7"/>
        <v>98</v>
      </c>
      <c r="C170" s="192">
        <v>412</v>
      </c>
      <c r="D170" s="193"/>
      <c r="E170" s="194" t="s">
        <v>455</v>
      </c>
      <c r="F170" s="193"/>
      <c r="G170" s="193"/>
      <c r="H170" s="193"/>
      <c r="I170" s="195" t="s">
        <v>354</v>
      </c>
      <c r="J170" s="196">
        <v>0.2</v>
      </c>
      <c r="K170"/>
      <c r="L170"/>
      <c r="M170"/>
      <c r="N170"/>
      <c r="O170"/>
      <c r="P170" s="715"/>
      <c r="R170" s="61">
        <v>412</v>
      </c>
      <c r="S170" s="61">
        <f t="shared" si="8"/>
        <v>0</v>
      </c>
    </row>
    <row r="171" spans="2:19" ht="14.1" customHeight="1" thickBot="1" x14ac:dyDescent="0.35">
      <c r="B171" s="137">
        <f t="shared" si="7"/>
        <v>99</v>
      </c>
      <c r="C171" s="197">
        <v>413</v>
      </c>
      <c r="D171" s="198"/>
      <c r="E171" s="199" t="s">
        <v>456</v>
      </c>
      <c r="F171" s="198"/>
      <c r="G171" s="198"/>
      <c r="H171" s="198"/>
      <c r="I171" s="200" t="s">
        <v>354</v>
      </c>
      <c r="J171" s="201">
        <v>0.2</v>
      </c>
      <c r="K171" s="171"/>
      <c r="L171" s="171"/>
      <c r="M171" s="171"/>
      <c r="N171" s="171"/>
      <c r="O171" s="171"/>
      <c r="P171" s="716"/>
      <c r="R171" s="61">
        <v>413</v>
      </c>
      <c r="S171" s="61">
        <f t="shared" si="8"/>
        <v>0</v>
      </c>
    </row>
    <row r="172" spans="2:19" ht="14.1" customHeight="1" x14ac:dyDescent="0.3">
      <c r="B172" s="137">
        <f t="shared" si="7"/>
        <v>100</v>
      </c>
      <c r="C172" s="202">
        <v>501</v>
      </c>
      <c r="D172" s="203"/>
      <c r="E172" s="204" t="s">
        <v>457</v>
      </c>
      <c r="F172" s="203"/>
      <c r="G172" s="203"/>
      <c r="H172" s="203"/>
      <c r="I172" s="205" t="s">
        <v>308</v>
      </c>
      <c r="J172" s="206">
        <v>0.2</v>
      </c>
      <c r="K172" s="136"/>
      <c r="L172" s="136"/>
      <c r="M172" s="136"/>
      <c r="N172" s="136"/>
      <c r="O172" s="136"/>
      <c r="P172" s="717" t="s">
        <v>458</v>
      </c>
    </row>
    <row r="173" spans="2:19" ht="14.1" customHeight="1" x14ac:dyDescent="0.3">
      <c r="B173" s="137">
        <f t="shared" si="7"/>
        <v>101</v>
      </c>
      <c r="C173" s="207">
        <v>502</v>
      </c>
      <c r="D173" s="208"/>
      <c r="E173" s="209" t="s">
        <v>459</v>
      </c>
      <c r="F173" s="208"/>
      <c r="G173" s="208"/>
      <c r="H173" s="208"/>
      <c r="I173" s="210" t="s">
        <v>354</v>
      </c>
      <c r="J173" s="211">
        <v>0.6</v>
      </c>
      <c r="K173"/>
      <c r="L173"/>
      <c r="M173"/>
      <c r="N173"/>
      <c r="O173"/>
      <c r="P173" s="718"/>
    </row>
    <row r="174" spans="2:19" ht="14.1" customHeight="1" x14ac:dyDescent="0.3">
      <c r="B174" s="137">
        <f t="shared" si="7"/>
        <v>102</v>
      </c>
      <c r="C174" s="212">
        <v>503</v>
      </c>
      <c r="D174" s="213"/>
      <c r="E174" s="214" t="s">
        <v>460</v>
      </c>
      <c r="F174" s="213"/>
      <c r="G174" s="213"/>
      <c r="H174" s="213"/>
      <c r="I174" s="215" t="s">
        <v>354</v>
      </c>
      <c r="J174" s="216">
        <v>0.6</v>
      </c>
      <c r="K174"/>
      <c r="L174"/>
      <c r="M174"/>
      <c r="N174"/>
      <c r="O174"/>
      <c r="P174" s="719"/>
      <c r="R174" s="61">
        <v>503</v>
      </c>
      <c r="S174" s="61">
        <f t="shared" ref="S174:S184" si="9">+R174-C174</f>
        <v>0</v>
      </c>
    </row>
    <row r="175" spans="2:19" ht="14.1" customHeight="1" x14ac:dyDescent="0.3">
      <c r="B175" s="137">
        <f t="shared" si="7"/>
        <v>103</v>
      </c>
      <c r="C175" s="212">
        <v>504</v>
      </c>
      <c r="D175" s="213"/>
      <c r="E175" s="214" t="s">
        <v>461</v>
      </c>
      <c r="F175" s="213"/>
      <c r="G175" s="213"/>
      <c r="H175" s="213"/>
      <c r="I175" s="215" t="s">
        <v>354</v>
      </c>
      <c r="J175" s="216">
        <v>0.6</v>
      </c>
      <c r="K175"/>
      <c r="L175"/>
      <c r="M175"/>
      <c r="N175"/>
      <c r="O175"/>
      <c r="P175" s="719"/>
      <c r="R175" s="61">
        <v>504</v>
      </c>
      <c r="S175" s="61">
        <f t="shared" si="9"/>
        <v>0</v>
      </c>
    </row>
    <row r="176" spans="2:19" ht="14.1" customHeight="1" x14ac:dyDescent="0.3">
      <c r="B176" s="137">
        <f t="shared" si="7"/>
        <v>104</v>
      </c>
      <c r="C176" s="212">
        <v>505</v>
      </c>
      <c r="D176" s="213"/>
      <c r="E176" s="214" t="s">
        <v>462</v>
      </c>
      <c r="F176" s="213"/>
      <c r="G176" s="213"/>
      <c r="H176" s="213"/>
      <c r="I176" s="215" t="s">
        <v>354</v>
      </c>
      <c r="J176" s="216">
        <v>0.6</v>
      </c>
      <c r="K176"/>
      <c r="L176"/>
      <c r="M176"/>
      <c r="N176"/>
      <c r="O176"/>
      <c r="P176" s="719"/>
      <c r="R176" s="61">
        <v>505</v>
      </c>
      <c r="S176" s="61">
        <f t="shared" si="9"/>
        <v>0</v>
      </c>
    </row>
    <row r="177" spans="2:19" ht="14.1" customHeight="1" x14ac:dyDescent="0.3">
      <c r="B177" s="137">
        <f t="shared" si="7"/>
        <v>105</v>
      </c>
      <c r="C177" s="212">
        <v>506</v>
      </c>
      <c r="D177" s="213"/>
      <c r="E177" s="214" t="s">
        <v>463</v>
      </c>
      <c r="F177" s="213"/>
      <c r="G177" s="213"/>
      <c r="H177" s="213"/>
      <c r="I177" s="215" t="s">
        <v>354</v>
      </c>
      <c r="J177" s="216">
        <v>0.6</v>
      </c>
      <c r="K177"/>
      <c r="L177"/>
      <c r="M177"/>
      <c r="N177"/>
      <c r="O177"/>
      <c r="P177" s="719"/>
      <c r="R177" s="61">
        <v>506</v>
      </c>
      <c r="S177" s="61">
        <f t="shared" si="9"/>
        <v>0</v>
      </c>
    </row>
    <row r="178" spans="2:19" ht="14.1" customHeight="1" x14ac:dyDescent="0.3">
      <c r="B178" s="137">
        <f t="shared" si="7"/>
        <v>106</v>
      </c>
      <c r="C178" s="217">
        <v>510</v>
      </c>
      <c r="D178" s="218"/>
      <c r="E178" s="219" t="s">
        <v>310</v>
      </c>
      <c r="F178" s="218"/>
      <c r="G178" s="218"/>
      <c r="H178" s="218"/>
      <c r="I178" s="220" t="s">
        <v>307</v>
      </c>
      <c r="J178" s="221">
        <v>0.4</v>
      </c>
      <c r="K178"/>
      <c r="L178"/>
      <c r="M178"/>
      <c r="N178"/>
      <c r="O178"/>
      <c r="P178" s="720"/>
      <c r="S178" s="61">
        <f t="shared" si="9"/>
        <v>-510</v>
      </c>
    </row>
    <row r="179" spans="2:19" ht="14.1" customHeight="1" x14ac:dyDescent="0.3">
      <c r="B179" s="137">
        <f t="shared" si="7"/>
        <v>107</v>
      </c>
      <c r="C179" s="217">
        <v>511</v>
      </c>
      <c r="D179" s="218"/>
      <c r="E179" s="219" t="s">
        <v>464</v>
      </c>
      <c r="F179" s="218"/>
      <c r="G179" s="218"/>
      <c r="H179" s="218"/>
      <c r="I179" s="220" t="s">
        <v>329</v>
      </c>
      <c r="J179" s="221">
        <v>0.2</v>
      </c>
      <c r="K179"/>
      <c r="L179"/>
      <c r="M179"/>
      <c r="N179"/>
      <c r="O179"/>
      <c r="P179" s="720"/>
      <c r="S179" s="61">
        <f t="shared" si="9"/>
        <v>-511</v>
      </c>
    </row>
    <row r="180" spans="2:19" ht="14.1" customHeight="1" x14ac:dyDescent="0.3">
      <c r="B180" s="137">
        <f t="shared" si="7"/>
        <v>108</v>
      </c>
      <c r="C180" s="217">
        <v>520</v>
      </c>
      <c r="D180" s="218"/>
      <c r="E180" s="219" t="s">
        <v>465</v>
      </c>
      <c r="F180" s="218"/>
      <c r="G180" s="218"/>
      <c r="H180" s="218"/>
      <c r="I180" s="220" t="s">
        <v>307</v>
      </c>
      <c r="J180" s="221">
        <v>0.2</v>
      </c>
      <c r="K180"/>
      <c r="L180"/>
      <c r="M180"/>
      <c r="N180"/>
      <c r="O180"/>
      <c r="P180" s="720"/>
      <c r="S180" s="61">
        <f t="shared" si="9"/>
        <v>-520</v>
      </c>
    </row>
    <row r="181" spans="2:19" ht="14.1" customHeight="1" x14ac:dyDescent="0.3">
      <c r="B181" s="137">
        <f t="shared" si="7"/>
        <v>109</v>
      </c>
      <c r="C181" s="217">
        <v>521</v>
      </c>
      <c r="D181" s="218"/>
      <c r="E181" s="219" t="s">
        <v>466</v>
      </c>
      <c r="F181" s="218"/>
      <c r="G181" s="218"/>
      <c r="H181" s="218"/>
      <c r="I181" s="220" t="s">
        <v>307</v>
      </c>
      <c r="J181" s="221">
        <v>0.2</v>
      </c>
      <c r="K181"/>
      <c r="L181"/>
      <c r="M181"/>
      <c r="N181"/>
      <c r="O181"/>
      <c r="P181" s="720"/>
      <c r="S181" s="61">
        <f t="shared" si="9"/>
        <v>-521</v>
      </c>
    </row>
    <row r="182" spans="2:19" ht="14.1" customHeight="1" x14ac:dyDescent="0.3">
      <c r="B182" s="137">
        <f t="shared" si="7"/>
        <v>110</v>
      </c>
      <c r="C182" s="217">
        <v>525</v>
      </c>
      <c r="D182" s="218"/>
      <c r="E182" s="219" t="s">
        <v>467</v>
      </c>
      <c r="F182" s="218"/>
      <c r="G182" s="218"/>
      <c r="H182" s="218"/>
      <c r="I182" s="220" t="s">
        <v>307</v>
      </c>
      <c r="J182" s="221">
        <v>0.2</v>
      </c>
      <c r="K182"/>
      <c r="L182"/>
      <c r="M182"/>
      <c r="N182"/>
      <c r="O182"/>
      <c r="P182" s="720"/>
      <c r="S182" s="61">
        <f t="shared" si="9"/>
        <v>-525</v>
      </c>
    </row>
    <row r="183" spans="2:19" ht="14.1" customHeight="1" x14ac:dyDescent="0.3">
      <c r="B183" s="137">
        <f t="shared" si="7"/>
        <v>111</v>
      </c>
      <c r="C183" s="217">
        <v>526</v>
      </c>
      <c r="D183" s="218"/>
      <c r="E183" s="219" t="s">
        <v>468</v>
      </c>
      <c r="F183" s="218"/>
      <c r="G183" s="218"/>
      <c r="H183" s="218"/>
      <c r="I183" s="220" t="s">
        <v>307</v>
      </c>
      <c r="J183" s="221">
        <v>0.2</v>
      </c>
      <c r="K183"/>
      <c r="L183"/>
      <c r="M183"/>
      <c r="N183"/>
      <c r="O183"/>
      <c r="P183" s="720"/>
      <c r="R183" s="61">
        <v>526</v>
      </c>
      <c r="S183" s="61">
        <f t="shared" si="9"/>
        <v>0</v>
      </c>
    </row>
    <row r="184" spans="2:19" ht="14.1" customHeight="1" thickBot="1" x14ac:dyDescent="0.35">
      <c r="B184" s="137">
        <f t="shared" si="7"/>
        <v>112</v>
      </c>
      <c r="C184" s="222">
        <v>530</v>
      </c>
      <c r="D184" s="223"/>
      <c r="E184" s="224" t="s">
        <v>206</v>
      </c>
      <c r="F184" s="223"/>
      <c r="G184" s="223"/>
      <c r="H184" s="223"/>
      <c r="I184" s="225" t="s">
        <v>307</v>
      </c>
      <c r="J184" s="226">
        <v>0.2</v>
      </c>
      <c r="K184" s="171"/>
      <c r="L184" s="171"/>
      <c r="M184" s="171"/>
      <c r="N184" s="171"/>
      <c r="O184" s="171"/>
      <c r="P184" s="721"/>
      <c r="S184" s="61">
        <f t="shared" si="9"/>
        <v>-530</v>
      </c>
    </row>
    <row r="188" spans="2:19" ht="14.1" customHeight="1" x14ac:dyDescent="0.25">
      <c r="G188" s="61">
        <v>101</v>
      </c>
    </row>
    <row r="189" spans="2:19" ht="14.1" customHeight="1" x14ac:dyDescent="0.25">
      <c r="G189" s="61">
        <v>102</v>
      </c>
    </row>
    <row r="190" spans="2:19" ht="14.1" customHeight="1" x14ac:dyDescent="0.25">
      <c r="G190" s="61">
        <v>103</v>
      </c>
    </row>
    <row r="191" spans="2:19" ht="14.1" customHeight="1" x14ac:dyDescent="0.25">
      <c r="G191" s="61">
        <v>104</v>
      </c>
    </row>
    <row r="192" spans="2:19" ht="14.1" customHeight="1" x14ac:dyDescent="0.25">
      <c r="G192" s="61">
        <v>105</v>
      </c>
    </row>
    <row r="193" spans="7:7" ht="14.1" customHeight="1" x14ac:dyDescent="0.25">
      <c r="G193" s="61">
        <v>106</v>
      </c>
    </row>
    <row r="194" spans="7:7" ht="14.1" customHeight="1" x14ac:dyDescent="0.25">
      <c r="G194" s="61">
        <v>107</v>
      </c>
    </row>
    <row r="195" spans="7:7" ht="14.1" customHeight="1" x14ac:dyDescent="0.25">
      <c r="G195" s="61">
        <v>110</v>
      </c>
    </row>
    <row r="196" spans="7:7" ht="14.1" customHeight="1" x14ac:dyDescent="0.25">
      <c r="G196" s="61">
        <v>111</v>
      </c>
    </row>
    <row r="197" spans="7:7" ht="14.1" customHeight="1" x14ac:dyDescent="0.25">
      <c r="G197" s="61">
        <v>112</v>
      </c>
    </row>
    <row r="198" spans="7:7" ht="14.1" customHeight="1" x14ac:dyDescent="0.25">
      <c r="G198" s="61">
        <v>113</v>
      </c>
    </row>
    <row r="199" spans="7:7" ht="14.1" customHeight="1" x14ac:dyDescent="0.25">
      <c r="G199" s="61">
        <v>114</v>
      </c>
    </row>
    <row r="200" spans="7:7" ht="14.1" customHeight="1" x14ac:dyDescent="0.25">
      <c r="G200" s="61">
        <v>115</v>
      </c>
    </row>
    <row r="201" spans="7:7" ht="14.1" customHeight="1" x14ac:dyDescent="0.25">
      <c r="G201" s="61">
        <v>116</v>
      </c>
    </row>
    <row r="202" spans="7:7" ht="14.1" customHeight="1" x14ac:dyDescent="0.25">
      <c r="G202" s="61">
        <v>131</v>
      </c>
    </row>
    <row r="203" spans="7:7" ht="14.1" customHeight="1" x14ac:dyDescent="0.25">
      <c r="G203" s="61">
        <v>132</v>
      </c>
    </row>
    <row r="204" spans="7:7" ht="14.1" customHeight="1" x14ac:dyDescent="0.25">
      <c r="G204" s="61">
        <v>133</v>
      </c>
    </row>
    <row r="205" spans="7:7" ht="14.1" customHeight="1" x14ac:dyDescent="0.25">
      <c r="G205" s="61">
        <v>134</v>
      </c>
    </row>
    <row r="206" spans="7:7" ht="14.1" customHeight="1" x14ac:dyDescent="0.25">
      <c r="G206" s="61">
        <v>135</v>
      </c>
    </row>
    <row r="207" spans="7:7" ht="14.1" customHeight="1" x14ac:dyDescent="0.25">
      <c r="G207" s="61">
        <v>136</v>
      </c>
    </row>
    <row r="208" spans="7:7" ht="14.1" customHeight="1" x14ac:dyDescent="0.25">
      <c r="G208" s="61">
        <v>145</v>
      </c>
    </row>
    <row r="209" spans="7:7" ht="14.1" customHeight="1" x14ac:dyDescent="0.25">
      <c r="G209" s="61">
        <v>146</v>
      </c>
    </row>
    <row r="210" spans="7:7" ht="14.1" customHeight="1" x14ac:dyDescent="0.25">
      <c r="G210" s="61">
        <v>161</v>
      </c>
    </row>
    <row r="211" spans="7:7" ht="14.1" customHeight="1" x14ac:dyDescent="0.25">
      <c r="G211" s="61">
        <v>168</v>
      </c>
    </row>
    <row r="212" spans="7:7" ht="14.1" customHeight="1" x14ac:dyDescent="0.25">
      <c r="G212" s="61">
        <v>180</v>
      </c>
    </row>
    <row r="213" spans="7:7" ht="14.1" customHeight="1" x14ac:dyDescent="0.25">
      <c r="G213" s="61">
        <v>181</v>
      </c>
    </row>
    <row r="214" spans="7:7" ht="14.1" customHeight="1" x14ac:dyDescent="0.25">
      <c r="G214" s="61">
        <v>182</v>
      </c>
    </row>
    <row r="215" spans="7:7" ht="14.1" customHeight="1" x14ac:dyDescent="0.25">
      <c r="G215" s="61">
        <v>183</v>
      </c>
    </row>
    <row r="216" spans="7:7" ht="14.1" customHeight="1" x14ac:dyDescent="0.25">
      <c r="G216" s="61">
        <v>184</v>
      </c>
    </row>
    <row r="217" spans="7:7" ht="14.1" customHeight="1" x14ac:dyDescent="0.25">
      <c r="G217" s="61">
        <v>185</v>
      </c>
    </row>
    <row r="218" spans="7:7" ht="14.1" customHeight="1" x14ac:dyDescent="0.25">
      <c r="G218" s="61">
        <v>186</v>
      </c>
    </row>
    <row r="219" spans="7:7" ht="14.1" customHeight="1" x14ac:dyDescent="0.25">
      <c r="G219" s="61">
        <v>190</v>
      </c>
    </row>
    <row r="220" spans="7:7" ht="14.1" customHeight="1" x14ac:dyDescent="0.25">
      <c r="G220" s="61">
        <v>191</v>
      </c>
    </row>
    <row r="221" spans="7:7" ht="14.1" customHeight="1" x14ac:dyDescent="0.25">
      <c r="G221" s="61">
        <v>192</v>
      </c>
    </row>
    <row r="222" spans="7:7" ht="14.1" customHeight="1" x14ac:dyDescent="0.25">
      <c r="G222" s="61">
        <v>193</v>
      </c>
    </row>
    <row r="223" spans="7:7" ht="14.1" customHeight="1" x14ac:dyDescent="0.25">
      <c r="G223" s="61">
        <v>196</v>
      </c>
    </row>
    <row r="224" spans="7:7" ht="14.1" customHeight="1" x14ac:dyDescent="0.25">
      <c r="G224" s="61">
        <v>201</v>
      </c>
    </row>
    <row r="225" spans="7:7" ht="14.1" customHeight="1" x14ac:dyDescent="0.25">
      <c r="G225" s="61">
        <v>202</v>
      </c>
    </row>
    <row r="226" spans="7:7" ht="14.1" customHeight="1" x14ac:dyDescent="0.25">
      <c r="G226" s="61">
        <v>203</v>
      </c>
    </row>
    <row r="227" spans="7:7" ht="14.1" customHeight="1" x14ac:dyDescent="0.25">
      <c r="G227" s="61">
        <v>204</v>
      </c>
    </row>
    <row r="228" spans="7:7" ht="14.1" customHeight="1" x14ac:dyDescent="0.25">
      <c r="G228" s="61">
        <v>205</v>
      </c>
    </row>
    <row r="229" spans="7:7" ht="14.1" customHeight="1" x14ac:dyDescent="0.25">
      <c r="G229" s="61">
        <v>206</v>
      </c>
    </row>
    <row r="230" spans="7:7" ht="14.1" customHeight="1" x14ac:dyDescent="0.25">
      <c r="G230" s="61">
        <v>207</v>
      </c>
    </row>
    <row r="231" spans="7:7" ht="14.1" customHeight="1" x14ac:dyDescent="0.25">
      <c r="G231" s="61">
        <v>208</v>
      </c>
    </row>
    <row r="232" spans="7:7" ht="14.1" customHeight="1" x14ac:dyDescent="0.25">
      <c r="G232" s="61">
        <v>215</v>
      </c>
    </row>
    <row r="233" spans="7:7" ht="14.1" customHeight="1" x14ac:dyDescent="0.25">
      <c r="G233" s="61">
        <v>216</v>
      </c>
    </row>
    <row r="234" spans="7:7" ht="14.1" customHeight="1" x14ac:dyDescent="0.25">
      <c r="G234" s="61">
        <v>217</v>
      </c>
    </row>
    <row r="235" spans="7:7" ht="14.1" customHeight="1" x14ac:dyDescent="0.25">
      <c r="G235" s="61">
        <v>220</v>
      </c>
    </row>
    <row r="236" spans="7:7" ht="14.1" customHeight="1" x14ac:dyDescent="0.25">
      <c r="G236" s="61">
        <v>221</v>
      </c>
    </row>
    <row r="237" spans="7:7" ht="14.1" customHeight="1" x14ac:dyDescent="0.25">
      <c r="G237" s="61">
        <v>230</v>
      </c>
    </row>
    <row r="238" spans="7:7" ht="14.1" customHeight="1" x14ac:dyDescent="0.25">
      <c r="G238" s="61">
        <v>231</v>
      </c>
    </row>
    <row r="239" spans="7:7" ht="14.1" customHeight="1" x14ac:dyDescent="0.25">
      <c r="G239" s="61">
        <v>232</v>
      </c>
    </row>
    <row r="240" spans="7:7" ht="14.1" customHeight="1" x14ac:dyDescent="0.25">
      <c r="G240" s="61">
        <v>241</v>
      </c>
    </row>
    <row r="241" spans="7:7" ht="14.1" customHeight="1" x14ac:dyDescent="0.25">
      <c r="G241" s="61">
        <v>242</v>
      </c>
    </row>
    <row r="242" spans="7:7" ht="14.1" customHeight="1" x14ac:dyDescent="0.25">
      <c r="G242" s="61">
        <v>301</v>
      </c>
    </row>
    <row r="243" spans="7:7" ht="14.1" customHeight="1" x14ac:dyDescent="0.25">
      <c r="G243" s="61">
        <v>302</v>
      </c>
    </row>
    <row r="244" spans="7:7" ht="14.1" customHeight="1" x14ac:dyDescent="0.25">
      <c r="G244" s="61">
        <v>302</v>
      </c>
    </row>
    <row r="245" spans="7:7" ht="14.1" customHeight="1" x14ac:dyDescent="0.25">
      <c r="G245" s="61">
        <v>303</v>
      </c>
    </row>
    <row r="246" spans="7:7" ht="14.1" customHeight="1" x14ac:dyDescent="0.25">
      <c r="G246" s="61">
        <v>311</v>
      </c>
    </row>
    <row r="247" spans="7:7" ht="14.1" customHeight="1" x14ac:dyDescent="0.25">
      <c r="G247" s="61">
        <v>313</v>
      </c>
    </row>
    <row r="248" spans="7:7" ht="14.1" customHeight="1" x14ac:dyDescent="0.25">
      <c r="G248" s="61">
        <v>321</v>
      </c>
    </row>
    <row r="249" spans="7:7" ht="14.1" customHeight="1" x14ac:dyDescent="0.25">
      <c r="G249" s="61">
        <v>322</v>
      </c>
    </row>
    <row r="250" spans="7:7" ht="14.1" customHeight="1" x14ac:dyDescent="0.25">
      <c r="G250" s="61">
        <v>323</v>
      </c>
    </row>
    <row r="251" spans="7:7" ht="14.1" customHeight="1" x14ac:dyDescent="0.25">
      <c r="G251" s="61">
        <v>324</v>
      </c>
    </row>
    <row r="252" spans="7:7" ht="14.1" customHeight="1" x14ac:dyDescent="0.25">
      <c r="G252" s="61">
        <v>325</v>
      </c>
    </row>
    <row r="253" spans="7:7" ht="14.1" customHeight="1" x14ac:dyDescent="0.25">
      <c r="G253" s="61">
        <v>326</v>
      </c>
    </row>
    <row r="254" spans="7:7" ht="14.1" customHeight="1" x14ac:dyDescent="0.25">
      <c r="G254" s="61">
        <v>327</v>
      </c>
    </row>
    <row r="255" spans="7:7" ht="14.1" customHeight="1" x14ac:dyDescent="0.25">
      <c r="G255" s="61">
        <v>328</v>
      </c>
    </row>
    <row r="256" spans="7:7" ht="14.1" customHeight="1" x14ac:dyDescent="0.25">
      <c r="G256" s="61">
        <v>329</v>
      </c>
    </row>
    <row r="257" spans="7:7" ht="14.1" customHeight="1" x14ac:dyDescent="0.25">
      <c r="G257" s="61">
        <v>341</v>
      </c>
    </row>
    <row r="258" spans="7:7" ht="14.1" customHeight="1" x14ac:dyDescent="0.25">
      <c r="G258" s="61">
        <v>342</v>
      </c>
    </row>
    <row r="259" spans="7:7" ht="14.1" customHeight="1" x14ac:dyDescent="0.25">
      <c r="G259" s="61">
        <v>343</v>
      </c>
    </row>
    <row r="260" spans="7:7" ht="14.1" customHeight="1" x14ac:dyDescent="0.25">
      <c r="G260" s="61">
        <v>344</v>
      </c>
    </row>
    <row r="261" spans="7:7" ht="14.1" customHeight="1" x14ac:dyDescent="0.25">
      <c r="G261" s="61">
        <v>351</v>
      </c>
    </row>
    <row r="262" spans="7:7" ht="14.1" customHeight="1" x14ac:dyDescent="0.25">
      <c r="G262" s="61">
        <v>352</v>
      </c>
    </row>
    <row r="263" spans="7:7" ht="14.1" customHeight="1" x14ac:dyDescent="0.25">
      <c r="G263" s="61">
        <v>353</v>
      </c>
    </row>
    <row r="264" spans="7:7" ht="14.1" customHeight="1" x14ac:dyDescent="0.25">
      <c r="G264" s="61">
        <v>354</v>
      </c>
    </row>
    <row r="265" spans="7:7" ht="14.1" customHeight="1" x14ac:dyDescent="0.25">
      <c r="G265" s="61">
        <v>371</v>
      </c>
    </row>
    <row r="266" spans="7:7" ht="14.1" customHeight="1" x14ac:dyDescent="0.25">
      <c r="G266" s="61">
        <v>372</v>
      </c>
    </row>
    <row r="267" spans="7:7" ht="14.1" customHeight="1" x14ac:dyDescent="0.25">
      <c r="G267" s="61">
        <v>401</v>
      </c>
    </row>
    <row r="268" spans="7:7" ht="14.1" customHeight="1" x14ac:dyDescent="0.25">
      <c r="G268" s="61">
        <v>402</v>
      </c>
    </row>
    <row r="269" spans="7:7" ht="14.1" customHeight="1" x14ac:dyDescent="0.25">
      <c r="G269" s="61">
        <v>406</v>
      </c>
    </row>
    <row r="270" spans="7:7" ht="14.1" customHeight="1" x14ac:dyDescent="0.25">
      <c r="G270" s="61">
        <v>410</v>
      </c>
    </row>
    <row r="271" spans="7:7" ht="14.1" customHeight="1" x14ac:dyDescent="0.25">
      <c r="G271" s="61">
        <v>411</v>
      </c>
    </row>
    <row r="272" spans="7:7" ht="14.1" customHeight="1" x14ac:dyDescent="0.25">
      <c r="G272" s="61">
        <v>412</v>
      </c>
    </row>
    <row r="273" spans="7:7" ht="14.1" customHeight="1" x14ac:dyDescent="0.25">
      <c r="G273" s="61">
        <v>413</v>
      </c>
    </row>
    <row r="274" spans="7:7" ht="14.1" customHeight="1" x14ac:dyDescent="0.25">
      <c r="G274" s="61">
        <v>503</v>
      </c>
    </row>
    <row r="275" spans="7:7" ht="14.1" customHeight="1" x14ac:dyDescent="0.25">
      <c r="G275" s="61">
        <v>504</v>
      </c>
    </row>
    <row r="276" spans="7:7" ht="14.1" customHeight="1" x14ac:dyDescent="0.25">
      <c r="G276" s="61">
        <v>505</v>
      </c>
    </row>
    <row r="277" spans="7:7" ht="14.1" customHeight="1" x14ac:dyDescent="0.25">
      <c r="G277" s="61">
        <v>506</v>
      </c>
    </row>
    <row r="278" spans="7:7" ht="14.1" customHeight="1" x14ac:dyDescent="0.25">
      <c r="G278" s="61">
        <v>526</v>
      </c>
    </row>
  </sheetData>
  <mergeCells count="28">
    <mergeCell ref="L11:L12"/>
    <mergeCell ref="K11:K12"/>
    <mergeCell ref="B71:J71"/>
    <mergeCell ref="D72:H72"/>
    <mergeCell ref="Q43:X43"/>
    <mergeCell ref="O159:O160"/>
    <mergeCell ref="P161:P171"/>
    <mergeCell ref="P172:P184"/>
    <mergeCell ref="M11:M12"/>
    <mergeCell ref="N11:N12"/>
    <mergeCell ref="O135:O137"/>
    <mergeCell ref="P135:P160"/>
    <mergeCell ref="O138:O140"/>
    <mergeCell ref="P115:P134"/>
    <mergeCell ref="O141:O149"/>
    <mergeCell ref="O131:O134"/>
    <mergeCell ref="O73:O87"/>
    <mergeCell ref="P73:P114"/>
    <mergeCell ref="O88:O94"/>
    <mergeCell ref="O95:O97"/>
    <mergeCell ref="O150:O153"/>
    <mergeCell ref="O154:O158"/>
    <mergeCell ref="N75:N87"/>
    <mergeCell ref="N73:N74"/>
    <mergeCell ref="O109:O113"/>
    <mergeCell ref="O115:O130"/>
    <mergeCell ref="O98:O100"/>
    <mergeCell ref="O102:O108"/>
  </mergeCells>
  <printOptions horizontalCentered="1"/>
  <pageMargins left="0.31496062992125984" right="0.31496062992125984" top="0.74803149606299213" bottom="0.35433070866141736" header="0.31496062992125984" footer="0.31496062992125984"/>
  <pageSetup paperSize="9" scale="83" fitToHeight="0" orientation="portrait" r:id="rId1"/>
  <rowBreaks count="1" manualBreakCount="1">
    <brk id="37" min="1" max="13"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B4:P41"/>
  <sheetViews>
    <sheetView view="pageBreakPreview" topLeftCell="A37" zoomScaleNormal="100" zoomScaleSheetLayoutView="100" workbookViewId="0">
      <selection activeCell="F4" sqref="F4"/>
    </sheetView>
  </sheetViews>
  <sheetFormatPr baseColWidth="10" defaultRowHeight="14.4" x14ac:dyDescent="0.3"/>
  <cols>
    <col min="1" max="1" width="3.109375" customWidth="1"/>
    <col min="2" max="2" width="5" customWidth="1"/>
    <col min="4" max="4" width="5.33203125" customWidth="1"/>
    <col min="5" max="5" width="13.6640625" customWidth="1"/>
    <col min="6" max="6" width="16.44140625" customWidth="1"/>
    <col min="7" max="7" width="4.44140625" customWidth="1"/>
    <col min="8" max="8" width="13" customWidth="1"/>
    <col min="9" max="9" width="8.88671875" customWidth="1"/>
    <col min="10" max="10" width="4" customWidth="1"/>
    <col min="11" max="11" width="16" customWidth="1"/>
    <col min="12" max="12" width="3.44140625" customWidth="1"/>
  </cols>
  <sheetData>
    <row r="4" spans="2:12" ht="19.5" customHeight="1" x14ac:dyDescent="0.35">
      <c r="C4" s="126" t="s">
        <v>889</v>
      </c>
      <c r="D4" s="111"/>
      <c r="E4" s="111"/>
      <c r="F4" s="111"/>
      <c r="G4" s="111"/>
      <c r="H4" s="111"/>
      <c r="I4" s="111"/>
      <c r="J4" s="111"/>
      <c r="K4" s="111"/>
    </row>
    <row r="5" spans="2:12" ht="18.75" customHeight="1" x14ac:dyDescent="0.35">
      <c r="F5" s="341"/>
      <c r="G5" s="111"/>
      <c r="H5" s="111"/>
      <c r="I5" s="111"/>
      <c r="J5" s="111"/>
      <c r="K5" s="111"/>
    </row>
    <row r="6" spans="2:12" ht="18.75" customHeight="1" x14ac:dyDescent="0.35">
      <c r="C6" s="340" t="s">
        <v>582</v>
      </c>
      <c r="D6" s="340" t="str">
        <f>+'F.- ELEMENTOS'!E7</f>
        <v>PUENTE AGUA BLANCA</v>
      </c>
      <c r="E6" s="341"/>
      <c r="F6" s="352" t="s">
        <v>589</v>
      </c>
      <c r="G6" s="340" t="str">
        <f>+'A-D.- FICHA'!P15</f>
        <v>MO-100</v>
      </c>
      <c r="H6" s="341"/>
      <c r="I6" s="340" t="s">
        <v>590</v>
      </c>
      <c r="K6" s="353">
        <f>+'A-D.- FICHA'!P17</f>
        <v>30298</v>
      </c>
    </row>
    <row r="7" spans="2:12" ht="6.75" customHeight="1" thickBot="1" x14ac:dyDescent="0.4">
      <c r="C7" s="339"/>
      <c r="D7" s="339"/>
      <c r="E7" s="111"/>
      <c r="F7" s="111"/>
      <c r="G7" s="111"/>
      <c r="H7" s="111"/>
      <c r="I7" s="111"/>
      <c r="J7" s="111"/>
      <c r="K7" s="111"/>
    </row>
    <row r="8" spans="2:12" ht="15" thickTop="1" x14ac:dyDescent="0.3">
      <c r="B8" s="120"/>
      <c r="C8" s="746" t="s">
        <v>545</v>
      </c>
      <c r="D8" s="747"/>
      <c r="E8" s="747"/>
      <c r="F8" s="748"/>
      <c r="G8" s="119"/>
      <c r="H8" s="109"/>
      <c r="I8" s="109"/>
      <c r="J8" s="109"/>
      <c r="K8" s="109"/>
      <c r="L8" s="109"/>
    </row>
    <row r="9" spans="2:12" ht="10.5" customHeight="1" thickBot="1" x14ac:dyDescent="0.35">
      <c r="B9" s="112"/>
      <c r="C9" s="749"/>
      <c r="D9" s="750"/>
      <c r="E9" s="750"/>
      <c r="F9" s="751"/>
      <c r="G9" s="113"/>
      <c r="H9" s="113"/>
      <c r="I9" s="113"/>
      <c r="J9" s="113"/>
      <c r="K9" s="113"/>
      <c r="L9" s="114"/>
    </row>
    <row r="10" spans="2:12" ht="15" thickTop="1" x14ac:dyDescent="0.3">
      <c r="B10" s="115"/>
      <c r="L10" s="116"/>
    </row>
    <row r="11" spans="2:12" x14ac:dyDescent="0.3">
      <c r="B11" s="115"/>
      <c r="D11" s="329">
        <v>1</v>
      </c>
      <c r="E11" t="s">
        <v>322</v>
      </c>
      <c r="G11" s="329">
        <v>3</v>
      </c>
      <c r="H11" t="s">
        <v>492</v>
      </c>
      <c r="J11" s="329">
        <v>5</v>
      </c>
      <c r="K11" t="s">
        <v>341</v>
      </c>
      <c r="L11" s="116"/>
    </row>
    <row r="12" spans="2:12" x14ac:dyDescent="0.3">
      <c r="B12" s="115"/>
      <c r="D12" s="330"/>
      <c r="G12" s="330"/>
      <c r="J12" s="330"/>
      <c r="L12" s="116"/>
    </row>
    <row r="13" spans="2:12" x14ac:dyDescent="0.3">
      <c r="B13" s="115"/>
      <c r="D13" s="329">
        <v>0</v>
      </c>
      <c r="E13" t="s">
        <v>340</v>
      </c>
      <c r="G13" s="329">
        <v>2</v>
      </c>
      <c r="H13" t="s">
        <v>207</v>
      </c>
      <c r="J13" s="329">
        <v>4</v>
      </c>
      <c r="K13" t="s">
        <v>342</v>
      </c>
      <c r="L13" s="116"/>
    </row>
    <row r="14" spans="2:12" x14ac:dyDescent="0.3">
      <c r="B14" s="115"/>
      <c r="L14" s="116"/>
    </row>
    <row r="15" spans="2:12" x14ac:dyDescent="0.3">
      <c r="B15" s="115"/>
      <c r="C15" t="s">
        <v>343</v>
      </c>
      <c r="D15" s="109" t="s">
        <v>933</v>
      </c>
      <c r="E15" s="109"/>
      <c r="F15" s="109"/>
      <c r="H15" t="s">
        <v>344</v>
      </c>
      <c r="J15" s="109"/>
      <c r="K15" s="612">
        <f>'A-D.- FICHA'!N31</f>
        <v>45715</v>
      </c>
      <c r="L15" s="116"/>
    </row>
    <row r="16" spans="2:12" ht="25.5" customHeight="1" x14ac:dyDescent="0.3">
      <c r="B16" s="115"/>
      <c r="C16" t="s">
        <v>558</v>
      </c>
      <c r="D16" s="109"/>
      <c r="E16" s="109"/>
      <c r="F16" s="110"/>
      <c r="H16" t="s">
        <v>345</v>
      </c>
      <c r="J16" s="110"/>
      <c r="K16" s="110"/>
      <c r="L16" s="116"/>
    </row>
    <row r="17" spans="2:16" x14ac:dyDescent="0.3">
      <c r="B17" s="117"/>
      <c r="C17" s="109"/>
      <c r="D17" s="109"/>
      <c r="E17" s="109"/>
      <c r="F17" s="109"/>
      <c r="G17" s="109"/>
      <c r="H17" s="109"/>
      <c r="I17" s="109"/>
      <c r="J17" s="109"/>
      <c r="K17" s="109"/>
      <c r="L17" s="118"/>
    </row>
    <row r="19" spans="2:16" ht="26.25" customHeight="1" x14ac:dyDescent="0.35">
      <c r="B19" s="121"/>
      <c r="C19" s="350" t="s">
        <v>346</v>
      </c>
      <c r="D19" s="122"/>
      <c r="E19" s="122"/>
      <c r="F19" s="123" t="s">
        <v>347</v>
      </c>
      <c r="G19" s="124"/>
      <c r="H19" s="124"/>
      <c r="I19" s="124"/>
      <c r="J19" s="124"/>
      <c r="K19" s="124"/>
      <c r="L19" s="125"/>
    </row>
    <row r="20" spans="2:16" x14ac:dyDescent="0.3">
      <c r="B20" s="112"/>
      <c r="C20" s="113"/>
      <c r="D20" s="113"/>
      <c r="E20" s="113"/>
      <c r="F20" s="112"/>
      <c r="G20" s="113"/>
      <c r="H20" s="113"/>
      <c r="I20" s="113"/>
      <c r="J20" s="113"/>
      <c r="K20" s="113"/>
      <c r="L20" s="114"/>
    </row>
    <row r="21" spans="2:16" x14ac:dyDescent="0.3">
      <c r="B21" s="351" t="s">
        <v>298</v>
      </c>
      <c r="C21" s="319"/>
      <c r="F21" s="754"/>
      <c r="G21" s="755"/>
      <c r="H21" s="755"/>
      <c r="I21" s="755"/>
      <c r="J21" s="755"/>
      <c r="K21" s="755"/>
      <c r="L21" s="756"/>
    </row>
    <row r="22" spans="2:16" ht="36.75" customHeight="1" x14ac:dyDescent="0.3">
      <c r="B22" s="354">
        <v>104</v>
      </c>
      <c r="C22" s="752" t="str">
        <f>+VLOOKUP(B22,elementos,3,FALSE)</f>
        <v xml:space="preserve">Losa de concreto armado (Refuerzo Transversal) </v>
      </c>
      <c r="D22" s="752"/>
      <c r="E22" s="753"/>
      <c r="F22" s="757" t="s">
        <v>868</v>
      </c>
      <c r="G22" s="758"/>
      <c r="H22" s="758"/>
      <c r="I22" s="758"/>
      <c r="J22" s="758"/>
      <c r="K22" s="758"/>
      <c r="L22" s="759"/>
    </row>
    <row r="23" spans="2:16" ht="36.75" customHeight="1" x14ac:dyDescent="0.3">
      <c r="B23" s="354">
        <v>110</v>
      </c>
      <c r="C23" s="752" t="str">
        <f>+VLOOKUP(B23,elementos,3,FALSE)</f>
        <v>Viga Principales concreto armado</v>
      </c>
      <c r="D23" s="752"/>
      <c r="E23" s="753"/>
      <c r="F23" s="757" t="s">
        <v>869</v>
      </c>
      <c r="G23" s="758"/>
      <c r="H23" s="758"/>
      <c r="I23" s="758"/>
      <c r="J23" s="758"/>
      <c r="K23" s="758"/>
      <c r="L23" s="759"/>
    </row>
    <row r="24" spans="2:16" ht="28.5" customHeight="1" x14ac:dyDescent="0.3">
      <c r="B24" s="354">
        <v>111</v>
      </c>
      <c r="C24" s="752" t="str">
        <f>+VLOOKUP(B24,elementos,3,FALSE)</f>
        <v>Vigas Secundarias de concreto armado</v>
      </c>
      <c r="D24" s="752"/>
      <c r="E24" s="753"/>
      <c r="F24" s="757" t="s">
        <v>870</v>
      </c>
      <c r="G24" s="758"/>
      <c r="H24" s="758"/>
      <c r="I24" s="758"/>
      <c r="J24" s="758"/>
      <c r="K24" s="758"/>
      <c r="L24" s="759"/>
    </row>
    <row r="25" spans="2:16" x14ac:dyDescent="0.3">
      <c r="B25" s="351" t="s">
        <v>301</v>
      </c>
      <c r="F25" s="115"/>
      <c r="L25" s="116"/>
    </row>
    <row r="26" spans="2:16" ht="32.25" customHeight="1" x14ac:dyDescent="0.3">
      <c r="B26" s="354">
        <v>202</v>
      </c>
      <c r="C26" s="752" t="str">
        <f>+VLOOKUP(B26,elementos,3,FALSE)</f>
        <v>Elevación Cuerpo del Estribo de Concreto Armado</v>
      </c>
      <c r="D26" s="752"/>
      <c r="E26" s="753"/>
      <c r="F26" s="757" t="s">
        <v>899</v>
      </c>
      <c r="G26" s="758"/>
      <c r="H26" s="758"/>
      <c r="I26" s="758"/>
      <c r="J26" s="758"/>
      <c r="K26" s="758"/>
      <c r="L26" s="759"/>
    </row>
    <row r="27" spans="2:16" ht="32.25" customHeight="1" x14ac:dyDescent="0.3">
      <c r="B27" s="354">
        <v>205</v>
      </c>
      <c r="C27" s="752" t="str">
        <f>+VLOOKUP(B27,elementos,3,FALSE)</f>
        <v>Elevación Alas del Estribo de Concreto Armado</v>
      </c>
      <c r="D27" s="752"/>
      <c r="E27" s="753"/>
      <c r="F27" s="757" t="s">
        <v>871</v>
      </c>
      <c r="G27" s="758"/>
      <c r="H27" s="758"/>
      <c r="I27" s="758"/>
      <c r="J27" s="758"/>
      <c r="K27" s="758"/>
      <c r="L27" s="759"/>
    </row>
    <row r="28" spans="2:16" x14ac:dyDescent="0.3">
      <c r="B28" s="351" t="s">
        <v>305</v>
      </c>
      <c r="C28" s="115"/>
      <c r="F28" s="115"/>
      <c r="L28" s="116"/>
      <c r="P28" t="s">
        <v>304</v>
      </c>
    </row>
    <row r="29" spans="2:16" ht="36.75" customHeight="1" x14ac:dyDescent="0.3">
      <c r="B29" s="355">
        <v>302</v>
      </c>
      <c r="C29" s="752" t="str">
        <f t="shared" ref="C29:C31" si="0">+VLOOKUP(B29,elementos,3,FALSE)</f>
        <v>Capa Concreto Pobre</v>
      </c>
      <c r="D29" s="752"/>
      <c r="E29" s="753"/>
      <c r="F29" s="757" t="s">
        <v>872</v>
      </c>
      <c r="G29" s="758"/>
      <c r="H29" s="758"/>
      <c r="I29" s="758"/>
      <c r="J29" s="758"/>
      <c r="K29" s="758"/>
      <c r="L29" s="759"/>
    </row>
    <row r="30" spans="2:16" ht="39" customHeight="1" x14ac:dyDescent="0.3">
      <c r="B30" s="355">
        <v>311</v>
      </c>
      <c r="C30" s="752" t="str">
        <f t="shared" si="0"/>
        <v>Vereda Concreto</v>
      </c>
      <c r="D30" s="752"/>
      <c r="E30" s="753"/>
      <c r="F30" s="757" t="s">
        <v>873</v>
      </c>
      <c r="G30" s="758"/>
      <c r="H30" s="758"/>
      <c r="I30" s="758"/>
      <c r="J30" s="758"/>
      <c r="K30" s="758"/>
      <c r="L30" s="759"/>
    </row>
    <row r="31" spans="2:16" ht="29.25" customHeight="1" x14ac:dyDescent="0.3">
      <c r="B31" s="355">
        <v>353</v>
      </c>
      <c r="C31" s="752" t="str">
        <f t="shared" si="0"/>
        <v>Barandas de Acero</v>
      </c>
      <c r="D31" s="752"/>
      <c r="E31" s="753"/>
      <c r="F31" s="757" t="s">
        <v>874</v>
      </c>
      <c r="G31" s="758"/>
      <c r="H31" s="758"/>
      <c r="I31" s="758"/>
      <c r="J31" s="758"/>
      <c r="K31" s="758"/>
      <c r="L31" s="759"/>
    </row>
    <row r="32" spans="2:16" ht="50.25" customHeight="1" x14ac:dyDescent="0.3">
      <c r="B32" s="355">
        <v>372</v>
      </c>
      <c r="C32" s="752" t="str">
        <f t="shared" ref="C32" si="1">+VLOOKUP(B32,elementos,3,FALSE)</f>
        <v>Tuberías PVC</v>
      </c>
      <c r="D32" s="752"/>
      <c r="E32" s="753"/>
      <c r="F32" s="757" t="s">
        <v>875</v>
      </c>
      <c r="G32" s="758"/>
      <c r="H32" s="758"/>
      <c r="I32" s="758"/>
      <c r="J32" s="758"/>
      <c r="K32" s="758"/>
      <c r="L32" s="759"/>
    </row>
    <row r="33" spans="2:12" x14ac:dyDescent="0.3">
      <c r="B33" s="351" t="s">
        <v>312</v>
      </c>
      <c r="C33" s="115"/>
      <c r="F33" s="760"/>
      <c r="G33" s="761"/>
      <c r="H33" s="761"/>
      <c r="I33" s="761"/>
      <c r="J33" s="761"/>
      <c r="K33" s="761"/>
      <c r="L33" s="762"/>
    </row>
    <row r="34" spans="2:12" ht="36.75" customHeight="1" x14ac:dyDescent="0.3">
      <c r="B34" s="355">
        <v>401</v>
      </c>
      <c r="C34" s="752" t="str">
        <f>+VLOOKUP(B34,elementos,3,FALSE)</f>
        <v>Márgenes del río</v>
      </c>
      <c r="D34" s="752"/>
      <c r="E34" s="753"/>
      <c r="F34" s="757" t="s">
        <v>876</v>
      </c>
      <c r="G34" s="758"/>
      <c r="H34" s="758"/>
      <c r="I34" s="758"/>
      <c r="J34" s="758"/>
      <c r="K34" s="758"/>
      <c r="L34" s="759"/>
    </row>
    <row r="35" spans="2:12" ht="30.75" customHeight="1" x14ac:dyDescent="0.3">
      <c r="B35" s="355">
        <v>402</v>
      </c>
      <c r="C35" s="752" t="str">
        <f>+VLOOKUP(B35,elementos,3,FALSE)</f>
        <v>Lecho del río</v>
      </c>
      <c r="D35" s="752"/>
      <c r="E35" s="753"/>
      <c r="F35" s="757" t="s">
        <v>877</v>
      </c>
      <c r="G35" s="758"/>
      <c r="H35" s="758"/>
      <c r="I35" s="758"/>
      <c r="J35" s="758"/>
      <c r="K35" s="758"/>
      <c r="L35" s="759"/>
    </row>
    <row r="36" spans="2:12" x14ac:dyDescent="0.3">
      <c r="B36" s="351" t="s">
        <v>314</v>
      </c>
      <c r="F36" s="760"/>
      <c r="G36" s="761"/>
      <c r="H36" s="761"/>
      <c r="I36" s="761"/>
      <c r="J36" s="761"/>
      <c r="K36" s="761"/>
      <c r="L36" s="762"/>
    </row>
    <row r="37" spans="2:12" ht="45" customHeight="1" x14ac:dyDescent="0.3">
      <c r="B37" s="355">
        <v>501</v>
      </c>
      <c r="C37" s="752" t="str">
        <f>+VLOOKUP(B37,elementos,3,FALSE)</f>
        <v>Señalización</v>
      </c>
      <c r="D37" s="752"/>
      <c r="E37" s="753"/>
      <c r="F37" s="757" t="s">
        <v>878</v>
      </c>
      <c r="G37" s="758"/>
      <c r="H37" s="758"/>
      <c r="I37" s="758"/>
      <c r="J37" s="758"/>
      <c r="K37" s="758"/>
      <c r="L37" s="759"/>
    </row>
    <row r="38" spans="2:12" ht="30" customHeight="1" x14ac:dyDescent="0.3">
      <c r="B38" s="355">
        <v>511</v>
      </c>
      <c r="C38" s="752" t="str">
        <f>+VLOOKUP(B38,elementos,3,FALSE)</f>
        <v>Pavimento/Afirmado</v>
      </c>
      <c r="D38" s="752"/>
      <c r="E38" s="753"/>
      <c r="F38" s="757" t="s">
        <v>879</v>
      </c>
      <c r="G38" s="758"/>
      <c r="H38" s="758"/>
      <c r="I38" s="758"/>
      <c r="J38" s="758"/>
      <c r="K38" s="758"/>
      <c r="L38" s="759"/>
    </row>
    <row r="39" spans="2:12" ht="32.25" customHeight="1" x14ac:dyDescent="0.3">
      <c r="B39" s="355">
        <v>530</v>
      </c>
      <c r="C39" s="752" t="str">
        <f>+VLOOKUP(B39,elementos,3,FALSE)</f>
        <v>Visibilidad</v>
      </c>
      <c r="D39" s="752"/>
      <c r="E39" s="753"/>
      <c r="F39" s="757" t="s">
        <v>880</v>
      </c>
      <c r="G39" s="758"/>
      <c r="H39" s="758"/>
      <c r="I39" s="758"/>
      <c r="J39" s="758"/>
      <c r="K39" s="758"/>
      <c r="L39" s="759"/>
    </row>
    <row r="40" spans="2:12" x14ac:dyDescent="0.3">
      <c r="B40" s="355"/>
      <c r="C40" s="763"/>
      <c r="D40" s="763"/>
      <c r="E40" s="764"/>
      <c r="F40" s="760"/>
      <c r="G40" s="761"/>
      <c r="H40" s="761"/>
      <c r="I40" s="761"/>
      <c r="J40" s="761"/>
      <c r="K40" s="761"/>
      <c r="L40" s="762"/>
    </row>
    <row r="41" spans="2:12" x14ac:dyDescent="0.3">
      <c r="B41" s="471" t="str">
        <f>+'A-D.- FICHA'!C47</f>
        <v>Evaluación : Ing. Martín Pichón</v>
      </c>
      <c r="C41" s="472"/>
      <c r="D41" s="473"/>
      <c r="E41" s="474"/>
      <c r="F41" s="534"/>
      <c r="G41" s="535"/>
      <c r="H41" s="535"/>
      <c r="I41" s="535"/>
      <c r="J41" s="535"/>
      <c r="K41" s="535"/>
      <c r="L41" s="536"/>
    </row>
  </sheetData>
  <mergeCells count="34">
    <mergeCell ref="F36:L36"/>
    <mergeCell ref="F33:L33"/>
    <mergeCell ref="C34:E34"/>
    <mergeCell ref="F34:L34"/>
    <mergeCell ref="C40:E40"/>
    <mergeCell ref="F40:L40"/>
    <mergeCell ref="C37:E37"/>
    <mergeCell ref="F37:L37"/>
    <mergeCell ref="C38:E38"/>
    <mergeCell ref="F38:L38"/>
    <mergeCell ref="C39:E39"/>
    <mergeCell ref="F39:L39"/>
    <mergeCell ref="C24:E24"/>
    <mergeCell ref="F24:L24"/>
    <mergeCell ref="C26:E26"/>
    <mergeCell ref="F26:L26"/>
    <mergeCell ref="C29:E29"/>
    <mergeCell ref="F29:L29"/>
    <mergeCell ref="C30:E30"/>
    <mergeCell ref="F30:L30"/>
    <mergeCell ref="F27:L27"/>
    <mergeCell ref="C27:E27"/>
    <mergeCell ref="C35:E35"/>
    <mergeCell ref="F35:L35"/>
    <mergeCell ref="C32:E32"/>
    <mergeCell ref="F32:L32"/>
    <mergeCell ref="C31:E31"/>
    <mergeCell ref="F31:L31"/>
    <mergeCell ref="C8:F9"/>
    <mergeCell ref="C22:E22"/>
    <mergeCell ref="F21:L21"/>
    <mergeCell ref="F22:L22"/>
    <mergeCell ref="C23:E23"/>
    <mergeCell ref="F23:L23"/>
  </mergeCells>
  <printOptions horizontalCentered="1"/>
  <pageMargins left="0.31496062992125984" right="0.31496062992125984" top="0.74803149606299213" bottom="0.98425196850393704" header="0.31496062992125984" footer="0.31496062992125984"/>
  <pageSetup paperSize="9" scale="78" orientation="portrait" r:id="rId1"/>
  <colBreaks count="1" manualBreakCount="1">
    <brk id="12" max="1048575" man="1"/>
  </col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9">
    <pageSetUpPr fitToPage="1"/>
  </sheetPr>
  <dimension ref="B1:XFD44"/>
  <sheetViews>
    <sheetView view="pageBreakPreview" topLeftCell="B1" zoomScaleNormal="100" zoomScaleSheetLayoutView="100" workbookViewId="0">
      <selection activeCell="B3" sqref="B3:E3"/>
    </sheetView>
  </sheetViews>
  <sheetFormatPr baseColWidth="10" defaultColWidth="11.44140625" defaultRowHeight="13.2" x14ac:dyDescent="0.3"/>
  <cols>
    <col min="1" max="1" width="7.33203125" style="267" customWidth="1"/>
    <col min="2" max="2" width="10.6640625" style="267" customWidth="1"/>
    <col min="3" max="3" width="12.6640625" style="267" customWidth="1"/>
    <col min="4" max="4" width="59.6640625" style="283" customWidth="1"/>
    <col min="5" max="5" width="46.6640625" style="267" customWidth="1"/>
    <col min="6" max="6" width="3.88671875" style="267" customWidth="1"/>
    <col min="7" max="7" width="23" style="267" customWidth="1"/>
    <col min="8" max="8" width="12.88671875" style="267" customWidth="1"/>
    <col min="9" max="16384" width="11.44140625" style="267"/>
  </cols>
  <sheetData>
    <row r="1" spans="2:8 16384:16384" ht="54.9" customHeight="1" x14ac:dyDescent="0.3">
      <c r="G1" s="601" t="s">
        <v>864</v>
      </c>
      <c r="H1" s="602">
        <v>2</v>
      </c>
    </row>
    <row r="3" spans="2:8 16384:16384" ht="21" x14ac:dyDescent="0.3">
      <c r="B3" s="767" t="s">
        <v>541</v>
      </c>
      <c r="C3" s="767"/>
      <c r="D3" s="767"/>
      <c r="E3" s="767"/>
      <c r="XFD3" s="267" t="s">
        <v>866</v>
      </c>
    </row>
    <row r="4" spans="2:8 16384:16384" ht="39.6" x14ac:dyDescent="0.3">
      <c r="B4" s="268"/>
      <c r="C4" s="268" t="s">
        <v>889</v>
      </c>
      <c r="D4" s="537"/>
      <c r="E4" s="268"/>
      <c r="G4" s="765" t="s">
        <v>865</v>
      </c>
      <c r="XFD4" s="267" t="s">
        <v>867</v>
      </c>
    </row>
    <row r="5" spans="2:8 16384:16384" ht="21" customHeight="1" x14ac:dyDescent="0.3">
      <c r="B5" s="768" t="s">
        <v>843</v>
      </c>
      <c r="C5" s="768"/>
      <c r="D5" s="768"/>
      <c r="E5" s="768"/>
      <c r="G5" s="765"/>
      <c r="H5" s="603" t="s">
        <v>867</v>
      </c>
    </row>
    <row r="6" spans="2:8 16384:16384" ht="18.75" customHeight="1" x14ac:dyDescent="0.3">
      <c r="G6" s="765"/>
    </row>
    <row r="7" spans="2:8 16384:16384" x14ac:dyDescent="0.2">
      <c r="B7" s="769" t="s">
        <v>584</v>
      </c>
      <c r="C7" s="769"/>
      <c r="D7" s="541" t="str">
        <f>+'A-D.- FICHA'!J9</f>
        <v>PUENTE AGUA BLANCA</v>
      </c>
      <c r="E7" s="269"/>
    </row>
    <row r="8" spans="2:8 16384:16384" x14ac:dyDescent="0.2">
      <c r="B8" s="769" t="s">
        <v>559</v>
      </c>
      <c r="C8" s="769"/>
      <c r="D8" s="541" t="str">
        <f>+'A-D.- FICHA'!P15</f>
        <v>MO-100</v>
      </c>
      <c r="E8" s="269"/>
    </row>
    <row r="9" spans="2:8 16384:16384" x14ac:dyDescent="0.2">
      <c r="B9" s="769" t="s">
        <v>560</v>
      </c>
      <c r="C9" s="769"/>
      <c r="D9" s="558">
        <f>+'A-D.- FICHA'!P17</f>
        <v>30298</v>
      </c>
      <c r="E9" s="318"/>
    </row>
    <row r="11" spans="2:8 16384:16384" x14ac:dyDescent="0.3">
      <c r="B11" s="766" t="s">
        <v>554</v>
      </c>
      <c r="C11" s="766"/>
      <c r="D11" s="766"/>
      <c r="E11" s="766"/>
    </row>
    <row r="12" spans="2:8 16384:16384" x14ac:dyDescent="0.3">
      <c r="B12" s="566" t="s">
        <v>506</v>
      </c>
      <c r="C12" s="566" t="s">
        <v>555</v>
      </c>
      <c r="D12" s="567" t="s">
        <v>507</v>
      </c>
      <c r="E12" s="566" t="s">
        <v>556</v>
      </c>
    </row>
    <row r="13" spans="2:8 16384:16384" ht="139.94999999999999" customHeight="1" x14ac:dyDescent="0.3">
      <c r="B13" s="543">
        <v>1</v>
      </c>
      <c r="C13" s="542">
        <v>45715</v>
      </c>
      <c r="D13" s="605" t="s">
        <v>890</v>
      </c>
      <c r="E13" s="568"/>
    </row>
    <row r="14" spans="2:8 16384:16384" ht="139.94999999999999" customHeight="1" x14ac:dyDescent="0.3">
      <c r="B14" s="543">
        <v>2</v>
      </c>
      <c r="C14" s="542">
        <v>45715</v>
      </c>
      <c r="D14" s="605" t="s">
        <v>891</v>
      </c>
      <c r="E14" s="568"/>
    </row>
    <row r="15" spans="2:8 16384:16384" ht="139.94999999999999" customHeight="1" x14ac:dyDescent="0.3">
      <c r="B15" s="543">
        <v>3</v>
      </c>
      <c r="C15" s="542">
        <v>45715</v>
      </c>
      <c r="D15" s="605" t="s">
        <v>915</v>
      </c>
      <c r="E15" s="568"/>
    </row>
    <row r="16" spans="2:8 16384:16384" ht="139.94999999999999" customHeight="1" x14ac:dyDescent="0.3">
      <c r="B16" s="543">
        <v>4</v>
      </c>
      <c r="C16" s="542">
        <v>45715</v>
      </c>
      <c r="D16" s="605" t="s">
        <v>916</v>
      </c>
      <c r="E16" s="568"/>
    </row>
    <row r="17" spans="2:5" ht="139.94999999999999" customHeight="1" x14ac:dyDescent="0.3">
      <c r="B17" s="543">
        <v>5</v>
      </c>
      <c r="C17" s="542">
        <v>45715</v>
      </c>
      <c r="D17" s="605" t="s">
        <v>892</v>
      </c>
      <c r="E17" s="568"/>
    </row>
    <row r="18" spans="2:5" ht="139.94999999999999" customHeight="1" x14ac:dyDescent="0.3">
      <c r="B18" s="543">
        <v>6</v>
      </c>
      <c r="C18" s="542">
        <v>45715</v>
      </c>
      <c r="D18" s="605" t="s">
        <v>893</v>
      </c>
      <c r="E18" s="568"/>
    </row>
    <row r="19" spans="2:5" ht="139.94999999999999" customHeight="1" x14ac:dyDescent="0.3">
      <c r="B19" s="543">
        <v>7</v>
      </c>
      <c r="C19" s="542">
        <v>45715</v>
      </c>
      <c r="D19" s="605" t="s">
        <v>894</v>
      </c>
      <c r="E19" s="568"/>
    </row>
    <row r="20" spans="2:5" ht="139.94999999999999" customHeight="1" x14ac:dyDescent="0.3">
      <c r="B20" s="543">
        <v>8</v>
      </c>
      <c r="C20" s="542">
        <v>45715</v>
      </c>
      <c r="D20" s="605" t="s">
        <v>895</v>
      </c>
      <c r="E20" s="568"/>
    </row>
    <row r="21" spans="2:5" ht="139.94999999999999" customHeight="1" x14ac:dyDescent="0.3">
      <c r="B21" s="543">
        <v>9</v>
      </c>
      <c r="C21" s="542">
        <v>45715</v>
      </c>
      <c r="D21" s="605" t="s">
        <v>896</v>
      </c>
      <c r="E21" s="568"/>
    </row>
    <row r="22" spans="2:5" ht="139.94999999999999" customHeight="1" x14ac:dyDescent="0.3">
      <c r="B22" s="543">
        <v>10</v>
      </c>
      <c r="C22" s="542">
        <v>45715</v>
      </c>
      <c r="D22" s="605" t="s">
        <v>897</v>
      </c>
      <c r="E22" s="568"/>
    </row>
    <row r="23" spans="2:5" ht="139.94999999999999" customHeight="1" x14ac:dyDescent="0.3">
      <c r="B23" s="543">
        <v>11</v>
      </c>
      <c r="C23" s="542">
        <v>45715</v>
      </c>
      <c r="D23" s="605" t="s">
        <v>898</v>
      </c>
      <c r="E23" s="568"/>
    </row>
    <row r="24" spans="2:5" ht="139.94999999999999" customHeight="1" x14ac:dyDescent="0.3">
      <c r="B24" s="543">
        <v>12</v>
      </c>
      <c r="C24" s="542">
        <v>45715</v>
      </c>
      <c r="D24" s="605" t="s">
        <v>900</v>
      </c>
      <c r="E24" s="568"/>
    </row>
    <row r="25" spans="2:5" ht="139.94999999999999" customHeight="1" x14ac:dyDescent="0.3">
      <c r="B25" s="543">
        <v>13</v>
      </c>
      <c r="C25" s="542">
        <v>45715</v>
      </c>
      <c r="D25" s="605" t="s">
        <v>922</v>
      </c>
      <c r="E25" s="568"/>
    </row>
    <row r="26" spans="2:5" ht="139.94999999999999" customHeight="1" x14ac:dyDescent="0.3">
      <c r="B26" s="543">
        <v>14</v>
      </c>
      <c r="C26" s="542">
        <v>45715</v>
      </c>
      <c r="D26" s="605" t="s">
        <v>924</v>
      </c>
      <c r="E26" s="568"/>
    </row>
    <row r="27" spans="2:5" ht="139.94999999999999" customHeight="1" x14ac:dyDescent="0.3">
      <c r="B27" s="543">
        <v>15</v>
      </c>
      <c r="C27" s="542">
        <v>45715</v>
      </c>
      <c r="D27" s="605" t="s">
        <v>901</v>
      </c>
      <c r="E27" s="568"/>
    </row>
    <row r="28" spans="2:5" ht="139.94999999999999" customHeight="1" x14ac:dyDescent="0.3">
      <c r="B28" s="543">
        <v>16</v>
      </c>
      <c r="C28" s="542">
        <v>45715</v>
      </c>
      <c r="D28" s="605" t="s">
        <v>902</v>
      </c>
      <c r="E28" s="568"/>
    </row>
    <row r="29" spans="2:5" ht="139.94999999999999" customHeight="1" x14ac:dyDescent="0.3">
      <c r="B29" s="543">
        <v>17</v>
      </c>
      <c r="C29" s="542">
        <v>45715</v>
      </c>
      <c r="D29" s="605" t="s">
        <v>903</v>
      </c>
      <c r="E29" s="568"/>
    </row>
    <row r="30" spans="2:5" ht="139.94999999999999" customHeight="1" x14ac:dyDescent="0.3">
      <c r="B30" s="543">
        <v>18</v>
      </c>
      <c r="C30" s="542">
        <v>45715</v>
      </c>
      <c r="D30" s="605" t="s">
        <v>923</v>
      </c>
      <c r="E30" s="568"/>
    </row>
    <row r="31" spans="2:5" ht="139.94999999999999" customHeight="1" x14ac:dyDescent="0.3">
      <c r="B31" s="543">
        <v>19</v>
      </c>
      <c r="C31" s="542">
        <v>45715</v>
      </c>
      <c r="D31" s="605" t="s">
        <v>904</v>
      </c>
      <c r="E31" s="568"/>
    </row>
    <row r="32" spans="2:5" ht="139.94999999999999" customHeight="1" x14ac:dyDescent="0.3">
      <c r="B32" s="543">
        <v>20</v>
      </c>
      <c r="C32" s="542">
        <v>45715</v>
      </c>
      <c r="D32" s="605" t="s">
        <v>929</v>
      </c>
      <c r="E32" s="568"/>
    </row>
    <row r="33" spans="2:5" ht="139.94999999999999" customHeight="1" x14ac:dyDescent="0.3">
      <c r="B33" s="543">
        <v>21</v>
      </c>
      <c r="C33" s="542">
        <v>45715</v>
      </c>
      <c r="D33" s="605" t="s">
        <v>905</v>
      </c>
      <c r="E33" s="568"/>
    </row>
    <row r="34" spans="2:5" ht="139.94999999999999" customHeight="1" x14ac:dyDescent="0.3">
      <c r="B34" s="543">
        <v>22</v>
      </c>
      <c r="C34" s="542">
        <v>45715</v>
      </c>
      <c r="D34" s="605" t="s">
        <v>918</v>
      </c>
      <c r="E34" s="568"/>
    </row>
    <row r="35" spans="2:5" ht="139.94999999999999" customHeight="1" x14ac:dyDescent="0.3">
      <c r="B35" s="543">
        <v>23</v>
      </c>
      <c r="C35" s="542">
        <v>45715</v>
      </c>
      <c r="D35" s="605" t="s">
        <v>921</v>
      </c>
      <c r="E35" s="568"/>
    </row>
    <row r="36" spans="2:5" ht="139.94999999999999" customHeight="1" x14ac:dyDescent="0.3">
      <c r="B36" s="543">
        <v>24</v>
      </c>
      <c r="C36" s="542">
        <v>45715</v>
      </c>
      <c r="D36" s="605" t="s">
        <v>906</v>
      </c>
      <c r="E36" s="568"/>
    </row>
    <row r="37" spans="2:5" customFormat="1" ht="139.94999999999999" customHeight="1" x14ac:dyDescent="0.3">
      <c r="B37" s="543">
        <v>25</v>
      </c>
      <c r="C37" s="542">
        <v>45715</v>
      </c>
      <c r="D37" s="605" t="s">
        <v>907</v>
      </c>
      <c r="E37" s="568"/>
    </row>
    <row r="38" spans="2:5" customFormat="1" ht="139.94999999999999" customHeight="1" x14ac:dyDescent="0.3">
      <c r="B38" s="543">
        <v>26</v>
      </c>
      <c r="C38" s="542">
        <v>45715</v>
      </c>
      <c r="D38" s="605" t="s">
        <v>908</v>
      </c>
      <c r="E38" s="568"/>
    </row>
    <row r="39" spans="2:5" ht="139.94999999999999" customHeight="1" x14ac:dyDescent="0.3">
      <c r="B39" s="543">
        <v>27</v>
      </c>
      <c r="C39" s="542">
        <v>45715</v>
      </c>
      <c r="D39" s="605" t="s">
        <v>909</v>
      </c>
      <c r="E39" s="568"/>
    </row>
    <row r="40" spans="2:5" ht="139.94999999999999" customHeight="1" x14ac:dyDescent="0.3">
      <c r="B40" s="543">
        <v>28</v>
      </c>
      <c r="C40" s="542">
        <v>45715</v>
      </c>
      <c r="D40" s="605" t="s">
        <v>920</v>
      </c>
      <c r="E40" s="568"/>
    </row>
    <row r="41" spans="2:5" ht="139.94999999999999" customHeight="1" x14ac:dyDescent="0.3">
      <c r="B41" s="543">
        <v>29</v>
      </c>
      <c r="C41" s="542">
        <v>45715</v>
      </c>
      <c r="D41" s="605" t="s">
        <v>919</v>
      </c>
      <c r="E41" s="568"/>
    </row>
    <row r="42" spans="2:5" ht="139.94999999999999" customHeight="1" x14ac:dyDescent="0.3">
      <c r="B42" s="543">
        <v>30</v>
      </c>
      <c r="C42" s="542">
        <v>45715</v>
      </c>
      <c r="D42" s="605" t="s">
        <v>910</v>
      </c>
      <c r="E42" s="568"/>
    </row>
    <row r="43" spans="2:5" ht="139.94999999999999" customHeight="1" x14ac:dyDescent="0.3">
      <c r="B43" s="543">
        <v>31</v>
      </c>
      <c r="C43" s="542">
        <v>45715</v>
      </c>
      <c r="D43" s="605" t="s">
        <v>911</v>
      </c>
      <c r="E43" s="568"/>
    </row>
    <row r="44" spans="2:5" ht="139.94999999999999" customHeight="1" x14ac:dyDescent="0.3">
      <c r="B44" s="543">
        <v>32</v>
      </c>
      <c r="C44" s="542">
        <v>45715</v>
      </c>
      <c r="D44" s="605" t="s">
        <v>925</v>
      </c>
      <c r="E44" s="568"/>
    </row>
  </sheetData>
  <mergeCells count="7">
    <mergeCell ref="G4:G6"/>
    <mergeCell ref="B11:E11"/>
    <mergeCell ref="B3:E3"/>
    <mergeCell ref="B5:E5"/>
    <mergeCell ref="B7:C7"/>
    <mergeCell ref="B8:C8"/>
    <mergeCell ref="B9:C9"/>
  </mergeCells>
  <dataValidations count="1">
    <dataValidation type="list" allowBlank="1" showInputMessage="1" showErrorMessage="1" sqref="H5" xr:uid="{CAAA2BF1-290F-4108-93FA-4899D5AB1DBB}">
      <formula1>$XFD$3:$XFD$4</formula1>
    </dataValidation>
  </dataValidations>
  <printOptions horizontalCentered="1"/>
  <pageMargins left="0.31496062992125984" right="0.31496062992125984" top="0.74803149606299213" bottom="0.94488188976377963" header="0.31496062992125984" footer="0.31496062992125984"/>
  <pageSetup paperSize="9" scale="69"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Button 1">
              <controlPr defaultSize="0" print="0" autoFill="0" autoPict="0" macro="[0]!IMPORTAR_FOTOS">
                <anchor moveWithCells="1" sizeWithCells="1">
                  <from>
                    <xdr:col>8</xdr:col>
                    <xdr:colOff>457200</xdr:colOff>
                    <xdr:row>0</xdr:row>
                    <xdr:rowOff>388620</xdr:rowOff>
                  </from>
                  <to>
                    <xdr:col>11</xdr:col>
                    <xdr:colOff>198120</xdr:colOff>
                    <xdr:row>4</xdr:row>
                    <xdr:rowOff>99060</xdr:rowOff>
                  </to>
                </anchor>
              </controlPr>
            </control>
          </mc:Choice>
        </mc:AlternateContent>
        <mc:AlternateContent xmlns:mc="http://schemas.openxmlformats.org/markup-compatibility/2006">
          <mc:Choice Requires="x14">
            <control shapeId="5125" r:id="rId5" name="Button 5">
              <controlPr defaultSize="0" print="0" autoFill="0" autoPict="0" macro="[0]!BORRAR_FOTOS">
                <anchor moveWithCells="1" sizeWithCells="1">
                  <from>
                    <xdr:col>11</xdr:col>
                    <xdr:colOff>525780</xdr:colOff>
                    <xdr:row>0</xdr:row>
                    <xdr:rowOff>563880</xdr:rowOff>
                  </from>
                  <to>
                    <xdr:col>14</xdr:col>
                    <xdr:colOff>266700</xdr:colOff>
                    <xdr:row>2</xdr:row>
                    <xdr:rowOff>182880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11">
    <pageSetUpPr fitToPage="1"/>
  </sheetPr>
  <dimension ref="A1:Z199"/>
  <sheetViews>
    <sheetView view="pageBreakPreview" zoomScaleNormal="100" zoomScaleSheetLayoutView="100" workbookViewId="0">
      <selection activeCell="G6" sqref="G6"/>
    </sheetView>
  </sheetViews>
  <sheetFormatPr baseColWidth="10" defaultColWidth="11.44140625" defaultRowHeight="13.2" outlineLevelRow="1" x14ac:dyDescent="0.3"/>
  <cols>
    <col min="1" max="1" width="6.6640625" style="267" customWidth="1"/>
    <col min="2" max="2" width="35" style="267" customWidth="1"/>
    <col min="3" max="3" width="8.6640625" style="267" customWidth="1"/>
    <col min="4" max="4" width="5.88671875" style="267" customWidth="1"/>
    <col min="5" max="10" width="7.109375" style="267" customWidth="1"/>
    <col min="11" max="11" width="7.44140625" style="267" customWidth="1"/>
    <col min="12" max="12" width="11" style="267" customWidth="1"/>
    <col min="13" max="13" width="9.6640625" style="267" customWidth="1"/>
    <col min="14" max="14" width="8.6640625" style="267" customWidth="1"/>
    <col min="15" max="15" width="10.88671875" style="267" customWidth="1"/>
    <col min="16" max="20" width="3.33203125" style="267" customWidth="1"/>
    <col min="21" max="21" width="5" style="267" customWidth="1"/>
    <col min="22" max="22" width="5.88671875" style="267" customWidth="1"/>
    <col min="23" max="23" width="4.33203125" style="267" customWidth="1"/>
    <col min="24" max="24" width="6.109375" style="267" customWidth="1"/>
    <col min="25" max="16384" width="11.44140625" style="267"/>
  </cols>
  <sheetData>
    <row r="1" spans="1:26" ht="54.9" customHeight="1" x14ac:dyDescent="0.3"/>
    <row r="3" spans="1:26" ht="18" x14ac:dyDescent="0.3">
      <c r="A3" s="770" t="str">
        <f>+'A-D.- FICHA'!C4</f>
        <v>PUENTE AGUA BLANCA</v>
      </c>
      <c r="B3" s="771"/>
      <c r="C3" s="771"/>
      <c r="D3" s="771"/>
      <c r="E3" s="771"/>
      <c r="F3" s="771"/>
      <c r="G3" s="771"/>
      <c r="H3" s="771"/>
      <c r="I3" s="771"/>
      <c r="J3" s="771"/>
      <c r="K3" s="771"/>
      <c r="L3" s="772"/>
    </row>
    <row r="4" spans="1:26" ht="21" x14ac:dyDescent="0.3">
      <c r="A4" s="313"/>
      <c r="B4" s="314"/>
      <c r="C4" s="314" t="s">
        <v>889</v>
      </c>
      <c r="D4" s="314"/>
      <c r="E4" s="314"/>
      <c r="F4" s="314"/>
      <c r="G4" s="314"/>
      <c r="H4" s="314"/>
      <c r="I4" s="314"/>
      <c r="J4" s="314"/>
      <c r="K4" s="314"/>
      <c r="L4" s="314"/>
      <c r="M4" s="314"/>
    </row>
    <row r="5" spans="1:26" ht="14.4" x14ac:dyDescent="0.3">
      <c r="A5" s="315" t="s">
        <v>583</v>
      </c>
      <c r="B5" s="268"/>
      <c r="C5" s="268"/>
      <c r="D5" s="268"/>
      <c r="E5" s="268"/>
      <c r="F5" s="268"/>
      <c r="G5" s="268"/>
      <c r="H5" s="268"/>
      <c r="I5" s="268"/>
      <c r="J5" s="268"/>
      <c r="K5" s="268"/>
      <c r="L5" s="268"/>
      <c r="M5" s="268"/>
      <c r="Z5"/>
    </row>
    <row r="6" spans="1:26" ht="14.4" x14ac:dyDescent="0.3">
      <c r="Z6"/>
    </row>
    <row r="7" spans="1:26" ht="14.4" x14ac:dyDescent="0.3">
      <c r="A7" s="61" t="str">
        <f>+CONCATENATE("NOMBRE: ",'A-D.- FICHA'!J9)</f>
        <v>NOMBRE: PUENTE AGUA BLANCA</v>
      </c>
      <c r="B7" s="65"/>
      <c r="C7" s="269"/>
      <c r="D7" s="61" t="s">
        <v>587</v>
      </c>
      <c r="E7" s="61" t="str">
        <f>+'A-D.- FICHA'!P15</f>
        <v>MO-100</v>
      </c>
      <c r="F7" s="61"/>
      <c r="G7" s="61"/>
      <c r="H7" s="61"/>
      <c r="I7" s="61" t="s">
        <v>847</v>
      </c>
      <c r="J7" s="61"/>
      <c r="K7" s="61"/>
      <c r="L7" s="548">
        <f>+'A-D.- FICHA'!P17</f>
        <v>30298</v>
      </c>
      <c r="M7" s="269"/>
      <c r="Z7"/>
    </row>
    <row r="8" spans="1:26" ht="14.4" x14ac:dyDescent="0.3">
      <c r="Z8"/>
    </row>
    <row r="9" spans="1:26" ht="15" thickBot="1" x14ac:dyDescent="0.35">
      <c r="A9" s="322" t="s">
        <v>505</v>
      </c>
      <c r="B9" s="323"/>
      <c r="C9" s="323"/>
      <c r="D9" s="323"/>
      <c r="E9" s="323"/>
      <c r="F9" s="323"/>
      <c r="G9" s="323"/>
      <c r="H9" s="323"/>
      <c r="I9" s="323"/>
      <c r="J9" s="323"/>
      <c r="K9" s="323"/>
      <c r="L9" s="323"/>
      <c r="M9"/>
      <c r="Z9"/>
    </row>
    <row r="10" spans="1:26" ht="13.5" customHeight="1" thickTop="1" x14ac:dyDescent="0.3">
      <c r="A10" s="791" t="s">
        <v>592</v>
      </c>
      <c r="B10" s="794" t="s">
        <v>507</v>
      </c>
      <c r="C10" s="797" t="s">
        <v>317</v>
      </c>
      <c r="D10" s="797" t="s">
        <v>297</v>
      </c>
      <c r="E10" s="786" t="s">
        <v>561</v>
      </c>
      <c r="F10" s="789" t="s">
        <v>591</v>
      </c>
      <c r="G10" s="790"/>
      <c r="H10" s="790"/>
      <c r="I10" s="790"/>
      <c r="J10" s="790"/>
      <c r="K10" s="790"/>
      <c r="L10" s="783" t="s">
        <v>593</v>
      </c>
      <c r="M10"/>
      <c r="Z10"/>
    </row>
    <row r="11" spans="1:26" ht="15" customHeight="1" x14ac:dyDescent="0.3">
      <c r="A11" s="792"/>
      <c r="B11" s="795"/>
      <c r="C11" s="798"/>
      <c r="D11" s="798"/>
      <c r="E11" s="787"/>
      <c r="F11" s="370">
        <v>0</v>
      </c>
      <c r="G11" s="371">
        <v>1</v>
      </c>
      <c r="H11" s="371">
        <v>2</v>
      </c>
      <c r="I11" s="371">
        <v>3</v>
      </c>
      <c r="J11" s="371">
        <v>4</v>
      </c>
      <c r="K11" s="371">
        <v>5</v>
      </c>
      <c r="L11" s="784"/>
      <c r="M11"/>
      <c r="N11" s="271"/>
      <c r="V11"/>
      <c r="Z11"/>
    </row>
    <row r="12" spans="1:26" ht="23.25" customHeight="1" thickBot="1" x14ac:dyDescent="0.35">
      <c r="A12" s="793"/>
      <c r="B12" s="796"/>
      <c r="C12" s="799"/>
      <c r="D12" s="799"/>
      <c r="E12" s="788"/>
      <c r="F12" s="377" t="s">
        <v>477</v>
      </c>
      <c r="G12" s="378" t="s">
        <v>322</v>
      </c>
      <c r="H12" s="378" t="s">
        <v>321</v>
      </c>
      <c r="I12" s="378" t="s">
        <v>320</v>
      </c>
      <c r="J12" s="378" t="s">
        <v>319</v>
      </c>
      <c r="K12" s="378" t="s">
        <v>557</v>
      </c>
      <c r="L12" s="785"/>
      <c r="M12" t="str">
        <f>IF(L13&gt;4,"MUY MALO",IF(L13&gt;3,"MALO",IF(L13&gt;2,"REGULAR","BUENO")))</f>
        <v>REGULAR</v>
      </c>
      <c r="N12" s="271"/>
      <c r="O12" s="272"/>
      <c r="P12" s="273"/>
      <c r="Q12" s="269"/>
      <c r="R12" s="269"/>
      <c r="S12" s="269"/>
      <c r="T12" s="269"/>
      <c r="U12" s="273"/>
      <c r="V12"/>
      <c r="W12" s="273"/>
      <c r="X12" s="273"/>
      <c r="Z12"/>
    </row>
    <row r="13" spans="1:26" ht="15" thickTop="1" x14ac:dyDescent="0.3">
      <c r="A13" s="411"/>
      <c r="B13" s="324"/>
      <c r="C13" s="332"/>
      <c r="D13" s="331"/>
      <c r="E13" s="333"/>
      <c r="F13" s="358"/>
      <c r="G13" s="359"/>
      <c r="H13" s="359"/>
      <c r="I13" s="359"/>
      <c r="J13" s="359"/>
      <c r="K13" s="359"/>
      <c r="L13" s="780">
        <f>+E191</f>
        <v>2.0700860438436695</v>
      </c>
      <c r="M13"/>
      <c r="N13" s="271" t="s">
        <v>649</v>
      </c>
      <c r="O13" s="272"/>
      <c r="P13" s="273"/>
      <c r="Q13" s="269"/>
      <c r="R13" s="269"/>
      <c r="S13" s="269"/>
      <c r="T13" s="269"/>
      <c r="U13" s="273"/>
      <c r="V13"/>
      <c r="W13" s="273"/>
      <c r="X13" s="273"/>
      <c r="Z13"/>
    </row>
    <row r="14" spans="1:26" ht="18.75" customHeight="1" x14ac:dyDescent="0.3">
      <c r="A14" s="411">
        <v>104</v>
      </c>
      <c r="B14" s="604" t="str">
        <f>+IF(A14=0," ",VLOOKUP(A14,'F.- ELEMENTOS'!$C$73:$E$184,3))</f>
        <v xml:space="preserve">Losa de concreto armado (Refuerzo Transversal) </v>
      </c>
      <c r="C14" s="609">
        <f>4.7*0.2*31.2</f>
        <v>29.327999999999999</v>
      </c>
      <c r="D14" s="327" t="str">
        <f>+IF(A14=0," ",VLOOKUP(A14,'F.- ELEMENTOS'!$C$73:$I$184,7))</f>
        <v>m3</v>
      </c>
      <c r="E14" s="356">
        <f>+IF(A14=0,,VLOOKUP(A14,'F.- ELEMENTOS'!$C$73:$J$184,8))</f>
        <v>0.6</v>
      </c>
      <c r="F14" s="360"/>
      <c r="G14" s="361">
        <v>100</v>
      </c>
      <c r="H14" s="361"/>
      <c r="I14" s="361"/>
      <c r="J14" s="361"/>
      <c r="K14" s="361"/>
      <c r="L14" s="781"/>
      <c r="M14"/>
      <c r="N14" s="276">
        <f>SUM(F14:K14)</f>
        <v>100</v>
      </c>
      <c r="O14" s="495" t="str">
        <f>+IF(N14&lt;=100,+IF(N14=100,"Ok",""),"se pasa")</f>
        <v>Ok</v>
      </c>
      <c r="P14" s="275"/>
      <c r="Q14" s="275"/>
      <c r="R14" s="275"/>
      <c r="S14" s="275"/>
      <c r="T14" s="275"/>
      <c r="U14"/>
      <c r="V14"/>
      <c r="W14" s="272"/>
      <c r="X14" s="276"/>
      <c r="Z14"/>
    </row>
    <row r="15" spans="1:26" ht="14.25" customHeight="1" x14ac:dyDescent="0.3">
      <c r="A15" s="411">
        <v>110</v>
      </c>
      <c r="B15" s="604" t="str">
        <f>+IF(A15=0," ",VLOOKUP(A15,'F.- ELEMENTOS'!$C$73:$E$184,3))</f>
        <v>Viga Principales concreto armado</v>
      </c>
      <c r="C15" s="609">
        <f>66.05*0.5*2</f>
        <v>66.05</v>
      </c>
      <c r="D15" s="327" t="str">
        <f>+IF(A15=0," ",VLOOKUP(A15,'F.- ELEMENTOS'!$C$73:$I$184,7))</f>
        <v>m3</v>
      </c>
      <c r="E15" s="356">
        <f>+IF(A15=0,,VLOOKUP(A15,'F.- ELEMENTOS'!$C$73:$J$184,8))</f>
        <v>1</v>
      </c>
      <c r="F15" s="362"/>
      <c r="G15" s="599">
        <v>90</v>
      </c>
      <c r="H15" s="599">
        <v>10</v>
      </c>
      <c r="I15" s="599"/>
      <c r="J15" s="363"/>
      <c r="K15" s="363"/>
      <c r="L15" s="781"/>
      <c r="M15"/>
      <c r="N15" s="276">
        <f t="shared" ref="N15:N36" si="0">SUM(F15:K15)</f>
        <v>100</v>
      </c>
      <c r="O15" s="495" t="str">
        <f t="shared" ref="O15:O36" si="1">+IF(N15&lt;=100,+IF(N15=100,"Ok",""),"se pasa")</f>
        <v>Ok</v>
      </c>
      <c r="P15" s="275"/>
      <c r="Q15" s="275"/>
      <c r="R15" s="275"/>
      <c r="S15" s="275"/>
      <c r="T15" s="275"/>
      <c r="U15"/>
      <c r="V15"/>
      <c r="W15" s="272"/>
      <c r="X15" s="276"/>
      <c r="Z15"/>
    </row>
    <row r="16" spans="1:26" ht="14.4" x14ac:dyDescent="0.3">
      <c r="A16" s="411">
        <v>111</v>
      </c>
      <c r="B16" s="604" t="str">
        <f>+IF(A16=0," ",VLOOKUP(A16,'F.- ELEMENTOS'!$C$73:$E$184,3))</f>
        <v>Vigas Secundarias de concreto armado</v>
      </c>
      <c r="C16" s="609">
        <f>0.375*5*3.5</f>
        <v>6.5625</v>
      </c>
      <c r="D16" s="327" t="str">
        <f>+IF(A16=0," ",VLOOKUP(A16,'F.- ELEMENTOS'!$C$73:$I$184,7))</f>
        <v>m3</v>
      </c>
      <c r="E16" s="356">
        <f>+IF(A16=0,,VLOOKUP(A16,'F.- ELEMENTOS'!$C$73:$J$184,8))</f>
        <v>0.8</v>
      </c>
      <c r="F16" s="360"/>
      <c r="G16" s="599">
        <v>100</v>
      </c>
      <c r="H16" s="599"/>
      <c r="I16" s="599"/>
      <c r="J16" s="361"/>
      <c r="K16" s="361"/>
      <c r="L16" s="781"/>
      <c r="M16"/>
      <c r="N16" s="276">
        <f t="shared" si="0"/>
        <v>100</v>
      </c>
      <c r="O16" s="495" t="str">
        <f t="shared" si="1"/>
        <v>Ok</v>
      </c>
      <c r="P16" s="275"/>
      <c r="Q16" s="275"/>
      <c r="R16" s="275"/>
      <c r="S16" s="275"/>
      <c r="T16" s="275"/>
      <c r="U16"/>
      <c r="V16"/>
      <c r="W16" s="272"/>
      <c r="X16" s="276"/>
      <c r="Z16"/>
    </row>
    <row r="17" spans="1:26" ht="14.4" x14ac:dyDescent="0.3">
      <c r="A17" s="411">
        <v>202</v>
      </c>
      <c r="B17" s="604" t="str">
        <f>+IF(A17=0," ",VLOOKUP(A17,'F.- ELEMENTOS'!$C$73:$E$184,3))</f>
        <v>Elevación Cuerpo del Estribo de Concreto Armado</v>
      </c>
      <c r="C17" s="609">
        <f>12.78*2*4.7</f>
        <v>120.13200000000001</v>
      </c>
      <c r="D17" s="327" t="str">
        <f>+IF(A17=0," ",VLOOKUP(A17,'F.- ELEMENTOS'!$C$73:$I$184,7))</f>
        <v>m3</v>
      </c>
      <c r="E17" s="356">
        <f>+IF(A17=0,,VLOOKUP(A17,'F.- ELEMENTOS'!$C$73:$J$184,8))</f>
        <v>1</v>
      </c>
      <c r="F17" s="360"/>
      <c r="G17" s="599">
        <v>100</v>
      </c>
      <c r="H17" s="599"/>
      <c r="I17" s="599"/>
      <c r="J17" s="361"/>
      <c r="K17" s="361"/>
      <c r="L17" s="781"/>
      <c r="M17"/>
      <c r="N17" s="276">
        <f t="shared" si="0"/>
        <v>100</v>
      </c>
      <c r="O17" s="495" t="str">
        <f t="shared" si="1"/>
        <v>Ok</v>
      </c>
      <c r="P17" s="275"/>
      <c r="Q17" s="275"/>
      <c r="R17" s="275"/>
      <c r="S17" s="275"/>
      <c r="T17" s="275"/>
      <c r="U17"/>
      <c r="V17"/>
      <c r="W17" s="272"/>
      <c r="X17" s="276"/>
      <c r="Z17"/>
    </row>
    <row r="18" spans="1:26" ht="15" customHeight="1" x14ac:dyDescent="0.3">
      <c r="A18" s="411">
        <v>205</v>
      </c>
      <c r="B18" s="604" t="str">
        <f>+IF(A18=0," ",VLOOKUP(A18,'F.- ELEMENTOS'!$C$73:$E$184,3))</f>
        <v>Elevación Alas del Estribo de Concreto Armado</v>
      </c>
      <c r="C18" s="609">
        <f>3.5*0.3*5.3*4</f>
        <v>22.26</v>
      </c>
      <c r="D18" s="327" t="str">
        <f>+IF(A18=0," ",VLOOKUP(A18,'F.- ELEMENTOS'!$C$73:$I$184,7))</f>
        <v>m3</v>
      </c>
      <c r="E18" s="356">
        <f>+IF(A18=0,,VLOOKUP(A18,'F.- ELEMENTOS'!$C$73:$J$184,8))</f>
        <v>0.6</v>
      </c>
      <c r="F18" s="360"/>
      <c r="G18" s="599">
        <v>100</v>
      </c>
      <c r="H18" s="600"/>
      <c r="I18" s="600"/>
      <c r="J18" s="361"/>
      <c r="K18" s="361"/>
      <c r="L18" s="781"/>
      <c r="M18"/>
      <c r="N18" s="276">
        <f t="shared" si="0"/>
        <v>100</v>
      </c>
      <c r="O18" s="495" t="str">
        <f t="shared" si="1"/>
        <v>Ok</v>
      </c>
      <c r="P18" s="275"/>
      <c r="Q18" s="275"/>
      <c r="R18" s="275"/>
      <c r="S18" s="275"/>
      <c r="T18" s="275"/>
      <c r="U18"/>
      <c r="V18"/>
      <c r="W18" s="272"/>
      <c r="X18" s="276"/>
      <c r="Z18"/>
    </row>
    <row r="19" spans="1:26" ht="15.75" customHeight="1" x14ac:dyDescent="0.3">
      <c r="A19" s="411">
        <v>302</v>
      </c>
      <c r="B19" s="604" t="str">
        <f>+IF(A19=0," ",VLOOKUP(A19,'F.- ELEMENTOS'!$C$73:$E$184,3))</f>
        <v>Capa Concreto Pobre</v>
      </c>
      <c r="C19" s="609">
        <f>31.2*3.5</f>
        <v>109.2</v>
      </c>
      <c r="D19" s="327" t="str">
        <f>+IF(A19=0," ",VLOOKUP(A19,'F.- ELEMENTOS'!$C$73:$I$184,7))</f>
        <v>m2</v>
      </c>
      <c r="E19" s="356">
        <f>+IF(A19=0,,VLOOKUP(A19,'F.- ELEMENTOS'!$C$73:$J$184,8))</f>
        <v>0.4</v>
      </c>
      <c r="F19" s="362"/>
      <c r="G19" s="599">
        <v>100</v>
      </c>
      <c r="H19" s="600"/>
      <c r="I19" s="600"/>
      <c r="J19" s="363"/>
      <c r="K19" s="363"/>
      <c r="L19" s="781"/>
      <c r="M19"/>
      <c r="N19" s="276">
        <f t="shared" si="0"/>
        <v>100</v>
      </c>
      <c r="O19" s="495" t="str">
        <f t="shared" si="1"/>
        <v>Ok</v>
      </c>
      <c r="S19" s="272"/>
      <c r="T19" s="272"/>
      <c r="U19"/>
      <c r="Z19"/>
    </row>
    <row r="20" spans="1:26" ht="13.5" customHeight="1" x14ac:dyDescent="0.3">
      <c r="A20" s="411">
        <v>311</v>
      </c>
      <c r="B20" s="604" t="str">
        <f>+IF(A20=0," ",VLOOKUP(A20,'F.- ELEMENTOS'!$C$73:$E$184,3))</f>
        <v>Vereda Concreto</v>
      </c>
      <c r="C20" s="609">
        <f>31.2*0.6*2</f>
        <v>37.44</v>
      </c>
      <c r="D20" s="327" t="str">
        <f>+IF(A20=0," ",VLOOKUP(A20,'F.- ELEMENTOS'!$C$73:$I$184,7))</f>
        <v>m2</v>
      </c>
      <c r="E20" s="356">
        <f>+IF(A20=0,,VLOOKUP(A20,'F.- ELEMENTOS'!$C$73:$J$184,8))</f>
        <v>0.2</v>
      </c>
      <c r="F20" s="360"/>
      <c r="G20" s="599">
        <v>90</v>
      </c>
      <c r="H20" s="599"/>
      <c r="I20" s="599">
        <v>10</v>
      </c>
      <c r="J20" s="361"/>
      <c r="K20" s="361"/>
      <c r="L20" s="781"/>
      <c r="M20"/>
      <c r="N20" s="276">
        <f t="shared" si="0"/>
        <v>100</v>
      </c>
      <c r="O20" s="495" t="str">
        <f t="shared" si="1"/>
        <v>Ok</v>
      </c>
      <c r="S20" s="272"/>
      <c r="T20" s="272"/>
      <c r="U20"/>
      <c r="Z20"/>
    </row>
    <row r="21" spans="1:26" ht="14.4" x14ac:dyDescent="0.3">
      <c r="A21" s="411">
        <v>353</v>
      </c>
      <c r="B21" s="604" t="str">
        <f>+IF(A21=0," ",VLOOKUP(A21,'F.- ELEMENTOS'!$C$73:$E$184,3))</f>
        <v>Barandas de Acero</v>
      </c>
      <c r="C21" s="609">
        <f>2*31.2</f>
        <v>62.4</v>
      </c>
      <c r="D21" s="327" t="str">
        <f>+IF(A21=0," ",VLOOKUP(A21,'F.- ELEMENTOS'!$C$73:$I$184,7))</f>
        <v>ml</v>
      </c>
      <c r="E21" s="356">
        <f>+IF(A21=0,,VLOOKUP(A21,'F.- ELEMENTOS'!$C$73:$J$184,8))</f>
        <v>0.4</v>
      </c>
      <c r="F21" s="362"/>
      <c r="G21" s="599">
        <v>100</v>
      </c>
      <c r="H21" s="600"/>
      <c r="I21" s="600"/>
      <c r="J21" s="363"/>
      <c r="K21" s="363"/>
      <c r="L21" s="781"/>
      <c r="M21"/>
      <c r="N21" s="276">
        <f t="shared" si="0"/>
        <v>100</v>
      </c>
      <c r="O21" s="495" t="str">
        <f t="shared" si="1"/>
        <v>Ok</v>
      </c>
      <c r="U21"/>
      <c r="Z21"/>
    </row>
    <row r="22" spans="1:26" ht="14.4" x14ac:dyDescent="0.3">
      <c r="A22" s="411">
        <v>372</v>
      </c>
      <c r="B22" s="604" t="str">
        <f>+IF(A22=0," ",VLOOKUP(A22,'F.- ELEMENTOS'!$C$73:$E$184,3))</f>
        <v>Tuberías PVC</v>
      </c>
      <c r="C22" s="609">
        <v>12</v>
      </c>
      <c r="D22" s="327" t="str">
        <f>+IF(A22=0," ",VLOOKUP(A22,'F.- ELEMENTOS'!$C$73:$I$184,7))</f>
        <v>und.</v>
      </c>
      <c r="E22" s="356">
        <f>+IF(A22=0,,VLOOKUP(A22,'F.- ELEMENTOS'!$C$73:$J$184,8))</f>
        <v>0.4</v>
      </c>
      <c r="F22" s="360"/>
      <c r="G22" s="599"/>
      <c r="H22" s="599"/>
      <c r="I22" s="599">
        <v>100</v>
      </c>
      <c r="J22" s="361"/>
      <c r="K22" s="361"/>
      <c r="L22" s="781"/>
      <c r="M22"/>
      <c r="N22" s="276">
        <f t="shared" si="0"/>
        <v>100</v>
      </c>
      <c r="O22" s="495" t="str">
        <f t="shared" si="1"/>
        <v>Ok</v>
      </c>
      <c r="U22"/>
      <c r="Z22"/>
    </row>
    <row r="23" spans="1:26" ht="12.75" customHeight="1" x14ac:dyDescent="0.3">
      <c r="A23" s="411">
        <v>401</v>
      </c>
      <c r="B23" s="604" t="str">
        <f>+IF(A23=0," ",VLOOKUP(A23,'F.- ELEMENTOS'!$C$73:$E$184,3))</f>
        <v>Márgenes del río</v>
      </c>
      <c r="C23" s="609">
        <v>500</v>
      </c>
      <c r="D23" s="327" t="str">
        <f>+IF(A23=0," ",VLOOKUP(A23,'F.- ELEMENTOS'!$C$73:$I$184,7))</f>
        <v>ml</v>
      </c>
      <c r="E23" s="356">
        <f>+IF(A23=0,,VLOOKUP(A23,'F.- ELEMENTOS'!$C$73:$J$184,8))</f>
        <v>0.6</v>
      </c>
      <c r="F23" s="362"/>
      <c r="G23" s="599">
        <v>75</v>
      </c>
      <c r="H23" s="600">
        <v>25</v>
      </c>
      <c r="I23" s="600"/>
      <c r="J23" s="363"/>
      <c r="K23" s="363"/>
      <c r="L23" s="781"/>
      <c r="M23"/>
      <c r="N23" s="276">
        <f t="shared" si="0"/>
        <v>100</v>
      </c>
      <c r="O23" s="495" t="str">
        <f t="shared" si="1"/>
        <v>Ok</v>
      </c>
      <c r="R23" s="65"/>
      <c r="U23"/>
      <c r="Z23"/>
    </row>
    <row r="24" spans="1:26" ht="14.4" x14ac:dyDescent="0.3">
      <c r="A24" s="411">
        <v>402</v>
      </c>
      <c r="B24" s="604" t="str">
        <f>+IF(A24=0," ",VLOOKUP(A24,'F.- ELEMENTOS'!$C$73:$E$184,3))</f>
        <v>Lecho del río</v>
      </c>
      <c r="C24" s="609">
        <v>250</v>
      </c>
      <c r="D24" s="327" t="str">
        <f>+IF(A24=0," ",VLOOKUP(A24,'F.- ELEMENTOS'!$C$73:$I$184,7))</f>
        <v>ml</v>
      </c>
      <c r="E24" s="356">
        <f>+IF(A24=0,,VLOOKUP(A24,'F.- ELEMENTOS'!$C$73:$J$184,8))</f>
        <v>0.6</v>
      </c>
      <c r="F24" s="360"/>
      <c r="G24" s="599">
        <v>100</v>
      </c>
      <c r="H24" s="599"/>
      <c r="I24" s="599"/>
      <c r="J24" s="361"/>
      <c r="K24" s="361"/>
      <c r="L24" s="781"/>
      <c r="M24"/>
      <c r="N24" s="276">
        <f t="shared" si="0"/>
        <v>100</v>
      </c>
      <c r="O24" s="495" t="str">
        <f t="shared" si="1"/>
        <v>Ok</v>
      </c>
      <c r="R24" s="65"/>
      <c r="U24"/>
      <c r="Z24"/>
    </row>
    <row r="25" spans="1:26" ht="14.4" x14ac:dyDescent="0.3">
      <c r="A25" s="411">
        <v>501</v>
      </c>
      <c r="B25" s="604" t="str">
        <f>+IF(A25=0," ",VLOOKUP(A25,'F.- ELEMENTOS'!$C$73:$E$184,3))</f>
        <v>Señalización</v>
      </c>
      <c r="C25" s="609">
        <v>1</v>
      </c>
      <c r="D25" s="327" t="str">
        <f>+IF(A25=0," ",VLOOKUP(A25,'F.- ELEMENTOS'!$C$73:$I$184,7))</f>
        <v>und.</v>
      </c>
      <c r="E25" s="356">
        <f>+IF(A25=0,,VLOOKUP(A25,'F.- ELEMENTOS'!$C$73:$J$184,8))</f>
        <v>0.2</v>
      </c>
      <c r="F25" s="360"/>
      <c r="G25" s="599">
        <v>100</v>
      </c>
      <c r="H25" s="599"/>
      <c r="I25" s="599"/>
      <c r="J25" s="361"/>
      <c r="K25" s="363"/>
      <c r="L25" s="781"/>
      <c r="M25"/>
      <c r="N25" s="276">
        <f t="shared" si="0"/>
        <v>100</v>
      </c>
      <c r="O25" s="495" t="str">
        <f t="shared" si="1"/>
        <v>Ok</v>
      </c>
      <c r="R25" s="65"/>
      <c r="U25"/>
      <c r="Z25"/>
    </row>
    <row r="26" spans="1:26" ht="14.4" x14ac:dyDescent="0.3">
      <c r="A26" s="411">
        <v>511</v>
      </c>
      <c r="B26" s="604" t="str">
        <f>+IF(A26=0," ",VLOOKUP(A26,'F.- ELEMENTOS'!$C$73:$E$184,3))</f>
        <v>Pavimento/Afirmado</v>
      </c>
      <c r="C26" s="609">
        <f>2*10*3.5</f>
        <v>70</v>
      </c>
      <c r="D26" s="327" t="str">
        <f>+IF(A26=0," ",VLOOKUP(A26,'F.- ELEMENTOS'!$C$73:$I$184,7))</f>
        <v>m2</v>
      </c>
      <c r="E26" s="356">
        <f>+IF(A26=0,,VLOOKUP(A26,'F.- ELEMENTOS'!$C$73:$J$184,8))</f>
        <v>0.2</v>
      </c>
      <c r="F26" s="360"/>
      <c r="G26" s="599">
        <v>50</v>
      </c>
      <c r="H26" s="599"/>
      <c r="I26" s="599">
        <v>50</v>
      </c>
      <c r="J26" s="361"/>
      <c r="K26" s="361"/>
      <c r="L26" s="781"/>
      <c r="M26"/>
      <c r="N26" s="276">
        <f t="shared" si="0"/>
        <v>100</v>
      </c>
      <c r="O26" s="495" t="str">
        <f t="shared" si="1"/>
        <v>Ok</v>
      </c>
      <c r="U26"/>
      <c r="Z26"/>
    </row>
    <row r="27" spans="1:26" ht="14.4" x14ac:dyDescent="0.3">
      <c r="A27" s="411">
        <v>530</v>
      </c>
      <c r="B27" s="604" t="str">
        <f>+IF(A27=0," ",VLOOKUP(A27,'F.- ELEMENTOS'!$C$73:$E$184,3))</f>
        <v>Visibilidad</v>
      </c>
      <c r="C27" s="609">
        <v>40</v>
      </c>
      <c r="D27" s="327" t="str">
        <f>+IF(A27=0," ",VLOOKUP(A27,'F.- ELEMENTOS'!$C$73:$I$184,7))</f>
        <v>ml</v>
      </c>
      <c r="E27" s="356">
        <f>+IF(A27=0,,VLOOKUP(A27,'F.- ELEMENTOS'!$C$73:$J$184,8))</f>
        <v>0.2</v>
      </c>
      <c r="F27" s="360"/>
      <c r="G27" s="599"/>
      <c r="H27" s="599">
        <v>100</v>
      </c>
      <c r="I27" s="599"/>
      <c r="J27" s="361"/>
      <c r="K27" s="361"/>
      <c r="L27" s="781"/>
      <c r="M27"/>
      <c r="N27" s="276">
        <f t="shared" si="0"/>
        <v>100</v>
      </c>
      <c r="O27" s="495" t="str">
        <f t="shared" si="1"/>
        <v>Ok</v>
      </c>
      <c r="U27"/>
      <c r="Z27"/>
    </row>
    <row r="28" spans="1:26" ht="14.4" x14ac:dyDescent="0.3">
      <c r="A28" s="411"/>
      <c r="B28" s="604"/>
      <c r="C28" s="321"/>
      <c r="D28" s="327"/>
      <c r="E28" s="356"/>
      <c r="F28" s="360"/>
      <c r="G28" s="599"/>
      <c r="H28" s="599"/>
      <c r="I28" s="599"/>
      <c r="J28" s="361"/>
      <c r="K28" s="361"/>
      <c r="L28" s="781"/>
      <c r="M28"/>
      <c r="N28" s="276">
        <f t="shared" si="0"/>
        <v>0</v>
      </c>
      <c r="O28" s="495" t="str">
        <f t="shared" si="1"/>
        <v/>
      </c>
      <c r="U28"/>
      <c r="Z28"/>
    </row>
    <row r="29" spans="1:26" ht="14.4" x14ac:dyDescent="0.3">
      <c r="A29" s="411"/>
      <c r="B29" s="604"/>
      <c r="C29" s="321"/>
      <c r="D29" s="327"/>
      <c r="E29" s="356"/>
      <c r="F29" s="360"/>
      <c r="G29" s="599"/>
      <c r="H29" s="599"/>
      <c r="I29" s="599"/>
      <c r="J29" s="361"/>
      <c r="K29" s="361"/>
      <c r="L29" s="781"/>
      <c r="M29"/>
      <c r="N29" s="276">
        <f t="shared" si="0"/>
        <v>0</v>
      </c>
      <c r="O29" s="495" t="str">
        <f t="shared" si="1"/>
        <v/>
      </c>
      <c r="U29"/>
      <c r="Z29"/>
    </row>
    <row r="30" spans="1:26" ht="14.4" x14ac:dyDescent="0.3">
      <c r="A30" s="411"/>
      <c r="B30" s="604"/>
      <c r="C30" s="321"/>
      <c r="D30" s="327"/>
      <c r="E30" s="356"/>
      <c r="F30" s="360"/>
      <c r="G30" s="361"/>
      <c r="H30" s="361"/>
      <c r="I30" s="361"/>
      <c r="J30" s="361"/>
      <c r="K30" s="361"/>
      <c r="L30" s="781"/>
      <c r="M30"/>
      <c r="N30" s="276">
        <f t="shared" si="0"/>
        <v>0</v>
      </c>
      <c r="O30" s="495" t="str">
        <f t="shared" si="1"/>
        <v/>
      </c>
      <c r="U30"/>
      <c r="Z30"/>
    </row>
    <row r="31" spans="1:26" ht="14.4" x14ac:dyDescent="0.3">
      <c r="A31" s="411"/>
      <c r="B31" s="604"/>
      <c r="C31" s="321"/>
      <c r="D31" s="327"/>
      <c r="E31" s="356"/>
      <c r="F31" s="360"/>
      <c r="G31" s="361"/>
      <c r="H31" s="361"/>
      <c r="I31" s="361"/>
      <c r="J31" s="361"/>
      <c r="K31" s="361"/>
      <c r="L31" s="781"/>
      <c r="M31"/>
      <c r="N31" s="276">
        <f t="shared" si="0"/>
        <v>0</v>
      </c>
      <c r="O31" s="495" t="str">
        <f t="shared" si="1"/>
        <v/>
      </c>
      <c r="U31"/>
      <c r="Z31"/>
    </row>
    <row r="32" spans="1:26" ht="14.4" x14ac:dyDescent="0.3">
      <c r="A32" s="411"/>
      <c r="B32" s="604"/>
      <c r="C32" s="321"/>
      <c r="D32" s="327"/>
      <c r="E32" s="356"/>
      <c r="F32" s="360"/>
      <c r="G32" s="361"/>
      <c r="H32" s="361"/>
      <c r="I32" s="361"/>
      <c r="J32" s="361"/>
      <c r="K32" s="361"/>
      <c r="L32" s="781"/>
      <c r="M32"/>
      <c r="N32" s="276">
        <f t="shared" si="0"/>
        <v>0</v>
      </c>
      <c r="O32" s="495" t="str">
        <f t="shared" si="1"/>
        <v/>
      </c>
      <c r="U32"/>
      <c r="Z32"/>
    </row>
    <row r="33" spans="1:26" ht="14.4" x14ac:dyDescent="0.3">
      <c r="A33" s="411"/>
      <c r="B33" s="376"/>
      <c r="C33" s="320"/>
      <c r="D33" s="327"/>
      <c r="E33" s="356"/>
      <c r="F33" s="360"/>
      <c r="G33" s="361"/>
      <c r="H33" s="361"/>
      <c r="I33" s="361"/>
      <c r="J33" s="361"/>
      <c r="K33" s="361"/>
      <c r="L33" s="781"/>
      <c r="M33"/>
      <c r="N33" s="276">
        <f t="shared" si="0"/>
        <v>0</v>
      </c>
      <c r="O33" s="495" t="str">
        <f t="shared" si="1"/>
        <v/>
      </c>
      <c r="U33"/>
      <c r="Z33"/>
    </row>
    <row r="34" spans="1:26" ht="14.4" x14ac:dyDescent="0.3">
      <c r="A34" s="411"/>
      <c r="B34" s="376"/>
      <c r="C34" s="320"/>
      <c r="D34" s="327"/>
      <c r="E34" s="356"/>
      <c r="F34" s="360"/>
      <c r="G34" s="361"/>
      <c r="H34" s="361"/>
      <c r="I34" s="361"/>
      <c r="J34" s="361"/>
      <c r="K34" s="361"/>
      <c r="L34" s="781"/>
      <c r="M34"/>
      <c r="N34" s="276">
        <f t="shared" si="0"/>
        <v>0</v>
      </c>
      <c r="O34" s="495" t="str">
        <f t="shared" si="1"/>
        <v/>
      </c>
      <c r="U34"/>
    </row>
    <row r="35" spans="1:26" ht="14.4" x14ac:dyDescent="0.3">
      <c r="A35" s="411"/>
      <c r="B35" s="376"/>
      <c r="C35" s="320"/>
      <c r="D35" s="327"/>
      <c r="E35" s="356"/>
      <c r="F35" s="360"/>
      <c r="G35" s="361"/>
      <c r="H35" s="361"/>
      <c r="I35" s="361"/>
      <c r="J35" s="361"/>
      <c r="K35" s="361"/>
      <c r="L35" s="781"/>
      <c r="M35"/>
      <c r="N35" s="276">
        <f t="shared" si="0"/>
        <v>0</v>
      </c>
      <c r="O35" s="495" t="str">
        <f t="shared" si="1"/>
        <v/>
      </c>
      <c r="U35"/>
    </row>
    <row r="36" spans="1:26" ht="14.4" x14ac:dyDescent="0.3">
      <c r="A36" s="411"/>
      <c r="B36" s="376" t="str">
        <f>+IF(A36=0," ",VLOOKUP(A36,'F.- ELEMENTOS'!$C$73:$E$184,3))</f>
        <v xml:space="preserve"> </v>
      </c>
      <c r="C36" s="320"/>
      <c r="D36" s="327" t="str">
        <f>+IF(A36=0," ",VLOOKUP(A36,'F.- ELEMENTOS'!$C$73:$I$184,7))</f>
        <v xml:space="preserve"> </v>
      </c>
      <c r="E36" s="356"/>
      <c r="F36" s="360"/>
      <c r="G36" s="361"/>
      <c r="H36" s="361"/>
      <c r="I36" s="361"/>
      <c r="J36" s="361"/>
      <c r="K36" s="361"/>
      <c r="L36" s="781"/>
      <c r="M36"/>
      <c r="N36" s="276">
        <f t="shared" si="0"/>
        <v>0</v>
      </c>
      <c r="O36" s="495" t="str">
        <f t="shared" si="1"/>
        <v/>
      </c>
      <c r="U36"/>
    </row>
    <row r="37" spans="1:26" ht="14.4" x14ac:dyDescent="0.3">
      <c r="A37" s="411"/>
      <c r="B37" s="376" t="str">
        <f>+IF(A37=0," ",VLOOKUP(A37,'F.- ELEMENTOS'!$C$73:$E$184,3))</f>
        <v xml:space="preserve"> </v>
      </c>
      <c r="C37" s="320"/>
      <c r="D37" s="327" t="str">
        <f>+IF(A37=0," ",VLOOKUP(A37,'F.- ELEMENTOS'!$C$73:$I$184,7))</f>
        <v xml:space="preserve"> </v>
      </c>
      <c r="E37" s="356"/>
      <c r="F37" s="360"/>
      <c r="G37" s="361"/>
      <c r="H37" s="361"/>
      <c r="I37" s="361"/>
      <c r="J37" s="361"/>
      <c r="K37" s="361"/>
      <c r="L37" s="781"/>
      <c r="M37"/>
      <c r="N37" s="272"/>
      <c r="O37" s="272"/>
      <c r="U37"/>
    </row>
    <row r="38" spans="1:26" ht="14.4" x14ac:dyDescent="0.3">
      <c r="A38" s="411"/>
      <c r="B38" s="376" t="str">
        <f>+IF(A38=0," ",VLOOKUP(A38,'F.- ELEMENTOS'!$C$73:$E$184,3))</f>
        <v xml:space="preserve"> </v>
      </c>
      <c r="C38" s="320"/>
      <c r="D38" s="327" t="str">
        <f>+IF(A38=0," ",VLOOKUP(A38,'F.- ELEMENTOS'!$C$73:$I$184,7))</f>
        <v xml:space="preserve"> </v>
      </c>
      <c r="E38" s="356"/>
      <c r="F38" s="360"/>
      <c r="G38" s="361"/>
      <c r="H38" s="361"/>
      <c r="I38" s="361"/>
      <c r="J38" s="361"/>
      <c r="K38" s="361"/>
      <c r="L38" s="781"/>
      <c r="M38"/>
      <c r="N38" s="272"/>
      <c r="O38" s="272"/>
    </row>
    <row r="39" spans="1:26" ht="14.4" x14ac:dyDescent="0.3">
      <c r="A39" s="411"/>
      <c r="B39" s="376" t="str">
        <f>+IF(A39=0," ",VLOOKUP(A39,'F.- ELEMENTOS'!$C$73:$E$184,3))</f>
        <v xml:space="preserve"> </v>
      </c>
      <c r="C39" s="320"/>
      <c r="D39" s="327" t="str">
        <f>+IF(A39=0," ",VLOOKUP(A39,'F.- ELEMENTOS'!$C$73:$I$184,7))</f>
        <v xml:space="preserve"> </v>
      </c>
      <c r="E39" s="356"/>
      <c r="F39" s="360"/>
      <c r="G39" s="361"/>
      <c r="H39" s="361"/>
      <c r="I39" s="361"/>
      <c r="J39" s="361"/>
      <c r="K39" s="361"/>
      <c r="L39" s="781"/>
      <c r="M39"/>
      <c r="N39" s="272"/>
      <c r="O39" s="272"/>
    </row>
    <row r="40" spans="1:26" ht="14.4" x14ac:dyDescent="0.3">
      <c r="A40" s="411"/>
      <c r="B40" s="376" t="str">
        <f>+IF(A40=0," ",VLOOKUP(A40,'F.- ELEMENTOS'!$C$73:$E$184,3))</f>
        <v xml:space="preserve"> </v>
      </c>
      <c r="C40" s="320"/>
      <c r="D40" s="327" t="str">
        <f>+IF(A40=0," ",VLOOKUP(A40,'F.- ELEMENTOS'!$C$73:$I$184,7))</f>
        <v xml:space="preserve"> </v>
      </c>
      <c r="E40" s="356"/>
      <c r="F40" s="360"/>
      <c r="G40" s="361"/>
      <c r="H40" s="361"/>
      <c r="I40" s="361"/>
      <c r="J40" s="361"/>
      <c r="K40" s="361"/>
      <c r="L40" s="781"/>
      <c r="M40"/>
      <c r="N40" s="272"/>
      <c r="O40" s="272"/>
    </row>
    <row r="41" spans="1:26" ht="14.4" x14ac:dyDescent="0.3">
      <c r="A41" s="411"/>
      <c r="B41" s="376" t="str">
        <f>+IF(A41=0," ",VLOOKUP(A41,'F.- ELEMENTOS'!$C$73:$E$184,3))</f>
        <v xml:space="preserve"> </v>
      </c>
      <c r="C41" s="320"/>
      <c r="D41" s="327" t="str">
        <f>+IF(A41=0," ",VLOOKUP(A41,'F.- ELEMENTOS'!$C$73:$I$184,7))</f>
        <v xml:space="preserve"> </v>
      </c>
      <c r="E41" s="356"/>
      <c r="F41" s="360"/>
      <c r="G41" s="361"/>
      <c r="H41" s="361"/>
      <c r="I41" s="361"/>
      <c r="J41" s="361"/>
      <c r="K41" s="361"/>
      <c r="L41" s="781"/>
      <c r="M41"/>
      <c r="N41" s="272"/>
      <c r="O41" s="272"/>
    </row>
    <row r="42" spans="1:26" ht="14.4" x14ac:dyDescent="0.3">
      <c r="A42" s="411"/>
      <c r="B42" s="376" t="str">
        <f>+IF(A42=0," ",VLOOKUP(A42,'F.- ELEMENTOS'!$C$73:$E$184,3))</f>
        <v xml:space="preserve"> </v>
      </c>
      <c r="C42" s="320"/>
      <c r="D42" s="327" t="str">
        <f>+IF(A42=0," ",VLOOKUP(A42,'F.- ELEMENTOS'!$C$73:$I$184,7))</f>
        <v xml:space="preserve"> </v>
      </c>
      <c r="E42" s="356"/>
      <c r="F42" s="360"/>
      <c r="G42" s="361"/>
      <c r="H42" s="361"/>
      <c r="I42" s="361"/>
      <c r="J42" s="361"/>
      <c r="K42" s="361"/>
      <c r="L42" s="781"/>
      <c r="M42"/>
      <c r="N42" s="272"/>
      <c r="O42" s="272"/>
    </row>
    <row r="43" spans="1:26" ht="14.4" x14ac:dyDescent="0.3">
      <c r="A43" s="411"/>
      <c r="B43" s="376" t="str">
        <f>+IF(A43=0," ",VLOOKUP(A43,'F.- ELEMENTOS'!$C$73:$E$184,3))</f>
        <v xml:space="preserve"> </v>
      </c>
      <c r="C43" s="320"/>
      <c r="D43" s="327" t="str">
        <f>+IF(A43=0," ",VLOOKUP(A43,'F.- ELEMENTOS'!$C$73:$I$184,7))</f>
        <v xml:space="preserve"> </v>
      </c>
      <c r="E43" s="356"/>
      <c r="F43" s="360"/>
      <c r="G43" s="361"/>
      <c r="H43" s="361"/>
      <c r="I43" s="361"/>
      <c r="J43" s="361"/>
      <c r="K43" s="361"/>
      <c r="L43" s="781"/>
      <c r="M43"/>
      <c r="N43" s="272"/>
      <c r="O43" s="272"/>
    </row>
    <row r="44" spans="1:26" ht="14.4" x14ac:dyDescent="0.3">
      <c r="A44" s="411"/>
      <c r="B44" s="376" t="str">
        <f>+IF(A44=0," ",VLOOKUP(A44,'F.- ELEMENTOS'!$C$73:$E$184,3))</f>
        <v xml:space="preserve"> </v>
      </c>
      <c r="C44" s="320"/>
      <c r="D44" s="327" t="str">
        <f>+IF(A44=0," ",VLOOKUP(A44,'F.- ELEMENTOS'!$C$73:$I$184,7))</f>
        <v xml:space="preserve"> </v>
      </c>
      <c r="E44" s="356"/>
      <c r="F44" s="360"/>
      <c r="G44" s="361"/>
      <c r="H44" s="361"/>
      <c r="I44" s="361"/>
      <c r="J44" s="361"/>
      <c r="K44" s="361"/>
      <c r="L44" s="781"/>
      <c r="M44"/>
      <c r="N44" s="272"/>
      <c r="O44" s="272"/>
    </row>
    <row r="45" spans="1:26" ht="15" thickBot="1" x14ac:dyDescent="0.35">
      <c r="A45" s="412"/>
      <c r="B45" s="325"/>
      <c r="C45" s="326"/>
      <c r="D45" s="328"/>
      <c r="E45" s="357"/>
      <c r="F45" s="364"/>
      <c r="G45" s="365"/>
      <c r="H45" s="365"/>
      <c r="I45" s="365"/>
      <c r="J45" s="365"/>
      <c r="K45" s="365"/>
      <c r="L45" s="782"/>
      <c r="M45"/>
      <c r="Q45" s="72"/>
    </row>
    <row r="46" spans="1:26" ht="15" thickTop="1" x14ac:dyDescent="0.3">
      <c r="A46" s="277"/>
      <c r="B46" s="277"/>
      <c r="C46" s="277"/>
      <c r="D46" s="277"/>
      <c r="E46" s="277"/>
      <c r="F46" s="277"/>
      <c r="G46" s="277"/>
      <c r="H46" s="277"/>
      <c r="I46" s="277"/>
      <c r="J46" s="277"/>
      <c r="M46"/>
      <c r="N46" s="272" t="s">
        <v>596</v>
      </c>
      <c r="Q46" s="72"/>
    </row>
    <row r="47" spans="1:26" hidden="1" outlineLevel="1" x14ac:dyDescent="0.25">
      <c r="A47" s="277"/>
      <c r="B47" s="277"/>
      <c r="C47" s="277"/>
      <c r="D47" s="277"/>
      <c r="E47" s="277"/>
      <c r="F47" s="277"/>
      <c r="G47" s="277"/>
      <c r="H47" s="277"/>
      <c r="I47" s="277"/>
      <c r="J47" s="277"/>
      <c r="Q47" s="72"/>
    </row>
    <row r="48" spans="1:26" hidden="1" outlineLevel="1" x14ac:dyDescent="0.25">
      <c r="A48" s="322" t="s">
        <v>511</v>
      </c>
      <c r="B48" s="277" t="s">
        <v>512</v>
      </c>
      <c r="C48" s="277"/>
      <c r="D48" s="277"/>
      <c r="E48" s="277"/>
      <c r="F48" s="278">
        <v>25</v>
      </c>
      <c r="G48" s="278">
        <v>25</v>
      </c>
      <c r="H48" s="278">
        <v>25</v>
      </c>
      <c r="I48" s="278">
        <v>25</v>
      </c>
      <c r="J48" s="278">
        <v>25</v>
      </c>
      <c r="K48" s="272">
        <v>3</v>
      </c>
      <c r="Q48" s="72"/>
    </row>
    <row r="49" spans="1:17" hidden="1" outlineLevel="1" x14ac:dyDescent="0.25">
      <c r="A49" s="778" t="s">
        <v>506</v>
      </c>
      <c r="B49" s="778" t="s">
        <v>507</v>
      </c>
      <c r="C49" s="778"/>
      <c r="D49" s="778"/>
      <c r="E49" s="270"/>
      <c r="F49" s="779" t="s">
        <v>508</v>
      </c>
      <c r="G49" s="779"/>
      <c r="H49" s="779"/>
      <c r="I49" s="779"/>
      <c r="J49" s="779"/>
      <c r="K49" s="779"/>
      <c r="L49" s="289" t="s">
        <v>509</v>
      </c>
      <c r="Q49" s="72"/>
    </row>
    <row r="50" spans="1:17" hidden="1" outlineLevel="1" x14ac:dyDescent="0.25">
      <c r="A50" s="778"/>
      <c r="B50" s="778"/>
      <c r="C50" s="778"/>
      <c r="D50" s="778"/>
      <c r="E50" s="270"/>
      <c r="F50" s="416">
        <v>0</v>
      </c>
      <c r="G50" s="416">
        <v>1</v>
      </c>
      <c r="H50" s="416">
        <v>2</v>
      </c>
      <c r="I50" s="416">
        <v>3</v>
      </c>
      <c r="J50" s="416">
        <v>4</v>
      </c>
      <c r="K50" s="416">
        <v>5</v>
      </c>
      <c r="L50" s="289"/>
      <c r="Q50" s="72"/>
    </row>
    <row r="51" spans="1:17" hidden="1" outlineLevel="1" x14ac:dyDescent="0.25">
      <c r="A51" s="391">
        <f t="shared" ref="A51:B65" si="2">+A14</f>
        <v>104</v>
      </c>
      <c r="B51" s="392" t="str">
        <f t="shared" si="2"/>
        <v xml:space="preserve">Losa de concreto armado (Refuerzo Transversal) </v>
      </c>
      <c r="C51" s="391"/>
      <c r="D51" s="391"/>
      <c r="E51" s="391"/>
      <c r="F51" s="391">
        <f t="shared" ref="F51:K65" si="3">+F14/F$48*100</f>
        <v>0</v>
      </c>
      <c r="G51" s="391">
        <f t="shared" si="3"/>
        <v>400</v>
      </c>
      <c r="H51" s="391">
        <f t="shared" si="3"/>
        <v>0</v>
      </c>
      <c r="I51" s="391">
        <f t="shared" si="3"/>
        <v>0</v>
      </c>
      <c r="J51" s="391">
        <f t="shared" si="3"/>
        <v>0</v>
      </c>
      <c r="K51" s="391">
        <f t="shared" si="3"/>
        <v>0</v>
      </c>
      <c r="L51" s="290"/>
      <c r="M51" s="291"/>
      <c r="Q51" s="72"/>
    </row>
    <row r="52" spans="1:17" hidden="1" outlineLevel="1" x14ac:dyDescent="0.25">
      <c r="A52" s="320">
        <f t="shared" si="2"/>
        <v>110</v>
      </c>
      <c r="B52" s="393" t="str">
        <f t="shared" si="2"/>
        <v>Viga Principales concreto armado</v>
      </c>
      <c r="C52" s="320"/>
      <c r="D52" s="320"/>
      <c r="E52" s="320"/>
      <c r="F52" s="320">
        <f t="shared" si="3"/>
        <v>0</v>
      </c>
      <c r="G52" s="320">
        <f t="shared" si="3"/>
        <v>360</v>
      </c>
      <c r="H52" s="320">
        <f t="shared" si="3"/>
        <v>40</v>
      </c>
      <c r="I52" s="320">
        <f t="shared" si="3"/>
        <v>0</v>
      </c>
      <c r="J52" s="320">
        <f t="shared" si="3"/>
        <v>0</v>
      </c>
      <c r="K52" s="320">
        <f t="shared" si="3"/>
        <v>0</v>
      </c>
      <c r="L52" s="290"/>
      <c r="M52" s="291"/>
      <c r="Q52" s="72"/>
    </row>
    <row r="53" spans="1:17" hidden="1" outlineLevel="1" x14ac:dyDescent="0.25">
      <c r="A53" s="320">
        <f t="shared" si="2"/>
        <v>111</v>
      </c>
      <c r="B53" s="393" t="str">
        <f t="shared" si="2"/>
        <v>Vigas Secundarias de concreto armado</v>
      </c>
      <c r="C53" s="320"/>
      <c r="D53" s="320"/>
      <c r="E53" s="320"/>
      <c r="F53" s="320">
        <f t="shared" si="3"/>
        <v>0</v>
      </c>
      <c r="G53" s="320">
        <f t="shared" si="3"/>
        <v>400</v>
      </c>
      <c r="H53" s="320">
        <f t="shared" si="3"/>
        <v>0</v>
      </c>
      <c r="I53" s="320">
        <f t="shared" si="3"/>
        <v>0</v>
      </c>
      <c r="J53" s="320">
        <f t="shared" si="3"/>
        <v>0</v>
      </c>
      <c r="K53" s="320">
        <f t="shared" si="3"/>
        <v>0</v>
      </c>
      <c r="L53" s="290"/>
      <c r="M53" s="291"/>
      <c r="Q53" s="76"/>
    </row>
    <row r="54" spans="1:17" hidden="1" outlineLevel="1" x14ac:dyDescent="0.2">
      <c r="A54" s="320">
        <f t="shared" si="2"/>
        <v>202</v>
      </c>
      <c r="B54" s="393" t="str">
        <f t="shared" si="2"/>
        <v>Elevación Cuerpo del Estribo de Concreto Armado</v>
      </c>
      <c r="C54" s="320"/>
      <c r="D54" s="320"/>
      <c r="E54" s="320"/>
      <c r="F54" s="320">
        <f t="shared" si="3"/>
        <v>0</v>
      </c>
      <c r="G54" s="320">
        <f t="shared" si="3"/>
        <v>400</v>
      </c>
      <c r="H54" s="320">
        <f t="shared" si="3"/>
        <v>0</v>
      </c>
      <c r="I54" s="320">
        <f t="shared" si="3"/>
        <v>0</v>
      </c>
      <c r="J54" s="320">
        <f t="shared" si="3"/>
        <v>0</v>
      </c>
      <c r="K54" s="320">
        <f t="shared" si="3"/>
        <v>0</v>
      </c>
      <c r="L54" s="290"/>
      <c r="M54" s="291"/>
    </row>
    <row r="55" spans="1:17" hidden="1" outlineLevel="1" x14ac:dyDescent="0.2">
      <c r="A55" s="320">
        <f t="shared" si="2"/>
        <v>205</v>
      </c>
      <c r="B55" s="393" t="str">
        <f t="shared" si="2"/>
        <v>Elevación Alas del Estribo de Concreto Armado</v>
      </c>
      <c r="C55" s="320"/>
      <c r="D55" s="320"/>
      <c r="E55" s="320"/>
      <c r="F55" s="320">
        <f t="shared" si="3"/>
        <v>0</v>
      </c>
      <c r="G55" s="320">
        <f t="shared" si="3"/>
        <v>400</v>
      </c>
      <c r="H55" s="320">
        <f t="shared" si="3"/>
        <v>0</v>
      </c>
      <c r="I55" s="320">
        <f t="shared" si="3"/>
        <v>0</v>
      </c>
      <c r="J55" s="320">
        <f t="shared" si="3"/>
        <v>0</v>
      </c>
      <c r="K55" s="320">
        <f t="shared" si="3"/>
        <v>0</v>
      </c>
      <c r="L55" s="290"/>
      <c r="M55" s="291"/>
    </row>
    <row r="56" spans="1:17" hidden="1" outlineLevel="1" x14ac:dyDescent="0.2">
      <c r="A56" s="320">
        <f t="shared" si="2"/>
        <v>302</v>
      </c>
      <c r="B56" s="393" t="str">
        <f t="shared" si="2"/>
        <v>Capa Concreto Pobre</v>
      </c>
      <c r="C56" s="320"/>
      <c r="D56" s="320"/>
      <c r="E56" s="320"/>
      <c r="F56" s="320">
        <f t="shared" si="3"/>
        <v>0</v>
      </c>
      <c r="G56" s="320">
        <f t="shared" si="3"/>
        <v>400</v>
      </c>
      <c r="H56" s="320">
        <f t="shared" si="3"/>
        <v>0</v>
      </c>
      <c r="I56" s="320">
        <f t="shared" si="3"/>
        <v>0</v>
      </c>
      <c r="J56" s="320">
        <f t="shared" si="3"/>
        <v>0</v>
      </c>
      <c r="K56" s="320">
        <f t="shared" si="3"/>
        <v>0</v>
      </c>
      <c r="L56" s="290"/>
      <c r="M56" s="291"/>
    </row>
    <row r="57" spans="1:17" hidden="1" outlineLevel="1" x14ac:dyDescent="0.2">
      <c r="A57" s="320">
        <f t="shared" si="2"/>
        <v>311</v>
      </c>
      <c r="B57" s="393" t="str">
        <f t="shared" si="2"/>
        <v>Vereda Concreto</v>
      </c>
      <c r="C57" s="321"/>
      <c r="D57" s="321"/>
      <c r="E57" s="321"/>
      <c r="F57" s="320">
        <f t="shared" si="3"/>
        <v>0</v>
      </c>
      <c r="G57" s="320">
        <f t="shared" si="3"/>
        <v>360</v>
      </c>
      <c r="H57" s="320">
        <f t="shared" si="3"/>
        <v>0</v>
      </c>
      <c r="I57" s="320">
        <f t="shared" si="3"/>
        <v>40</v>
      </c>
      <c r="J57" s="320">
        <f t="shared" si="3"/>
        <v>0</v>
      </c>
      <c r="K57" s="320">
        <f t="shared" si="3"/>
        <v>0</v>
      </c>
      <c r="L57" s="292"/>
      <c r="M57" s="293"/>
    </row>
    <row r="58" spans="1:17" hidden="1" outlineLevel="1" x14ac:dyDescent="0.2">
      <c r="A58" s="320">
        <f t="shared" si="2"/>
        <v>353</v>
      </c>
      <c r="B58" s="393" t="str">
        <f t="shared" si="2"/>
        <v>Barandas de Acero</v>
      </c>
      <c r="C58" s="320"/>
      <c r="D58" s="320"/>
      <c r="E58" s="320"/>
      <c r="F58" s="320">
        <f t="shared" si="3"/>
        <v>0</v>
      </c>
      <c r="G58" s="320">
        <f t="shared" si="3"/>
        <v>400</v>
      </c>
      <c r="H58" s="320">
        <f t="shared" si="3"/>
        <v>0</v>
      </c>
      <c r="I58" s="320">
        <f t="shared" si="3"/>
        <v>0</v>
      </c>
      <c r="J58" s="320">
        <f t="shared" si="3"/>
        <v>0</v>
      </c>
      <c r="K58" s="320">
        <f t="shared" si="3"/>
        <v>0</v>
      </c>
      <c r="L58" s="290"/>
      <c r="M58" s="291"/>
    </row>
    <row r="59" spans="1:17" hidden="1" outlineLevel="1" x14ac:dyDescent="0.2">
      <c r="A59" s="320">
        <f t="shared" si="2"/>
        <v>372</v>
      </c>
      <c r="B59" s="393" t="str">
        <f t="shared" si="2"/>
        <v>Tuberías PVC</v>
      </c>
      <c r="C59" s="320"/>
      <c r="D59" s="320"/>
      <c r="E59" s="320"/>
      <c r="F59" s="320">
        <f t="shared" si="3"/>
        <v>0</v>
      </c>
      <c r="G59" s="320">
        <f t="shared" si="3"/>
        <v>0</v>
      </c>
      <c r="H59" s="320">
        <f t="shared" si="3"/>
        <v>0</v>
      </c>
      <c r="I59" s="320">
        <f t="shared" si="3"/>
        <v>400</v>
      </c>
      <c r="J59" s="320">
        <f t="shared" si="3"/>
        <v>0</v>
      </c>
      <c r="K59" s="320">
        <f t="shared" si="3"/>
        <v>0</v>
      </c>
      <c r="L59" s="290"/>
      <c r="M59" s="291"/>
    </row>
    <row r="60" spans="1:17" hidden="1" outlineLevel="1" x14ac:dyDescent="0.2">
      <c r="A60" s="320">
        <f t="shared" si="2"/>
        <v>401</v>
      </c>
      <c r="B60" s="393" t="str">
        <f t="shared" si="2"/>
        <v>Márgenes del río</v>
      </c>
      <c r="C60" s="320"/>
      <c r="D60" s="320"/>
      <c r="E60" s="320"/>
      <c r="F60" s="320">
        <f t="shared" si="3"/>
        <v>0</v>
      </c>
      <c r="G60" s="320">
        <f t="shared" si="3"/>
        <v>300</v>
      </c>
      <c r="H60" s="320">
        <f t="shared" si="3"/>
        <v>100</v>
      </c>
      <c r="I60" s="320">
        <f t="shared" si="3"/>
        <v>0</v>
      </c>
      <c r="J60" s="320">
        <f t="shared" si="3"/>
        <v>0</v>
      </c>
      <c r="K60" s="320">
        <f t="shared" si="3"/>
        <v>0</v>
      </c>
      <c r="L60" s="290"/>
      <c r="M60" s="291"/>
    </row>
    <row r="61" spans="1:17" hidden="1" outlineLevel="1" x14ac:dyDescent="0.2">
      <c r="A61" s="320">
        <f t="shared" si="2"/>
        <v>402</v>
      </c>
      <c r="B61" s="393" t="str">
        <f t="shared" si="2"/>
        <v>Lecho del río</v>
      </c>
      <c r="C61" s="320"/>
      <c r="D61" s="320"/>
      <c r="E61" s="320"/>
      <c r="F61" s="320">
        <f t="shared" si="3"/>
        <v>0</v>
      </c>
      <c r="G61" s="320">
        <f t="shared" si="3"/>
        <v>400</v>
      </c>
      <c r="H61" s="320">
        <f t="shared" si="3"/>
        <v>0</v>
      </c>
      <c r="I61" s="320">
        <f t="shared" si="3"/>
        <v>0</v>
      </c>
      <c r="J61" s="320">
        <f t="shared" si="3"/>
        <v>0</v>
      </c>
      <c r="K61" s="320">
        <f t="shared" si="3"/>
        <v>0</v>
      </c>
      <c r="L61" s="290"/>
      <c r="M61" s="291"/>
    </row>
    <row r="62" spans="1:17" hidden="1" outlineLevel="1" x14ac:dyDescent="0.2">
      <c r="A62" s="320">
        <f t="shared" si="2"/>
        <v>501</v>
      </c>
      <c r="B62" s="393" t="str">
        <f t="shared" si="2"/>
        <v>Señalización</v>
      </c>
      <c r="C62" s="320"/>
      <c r="D62" s="320"/>
      <c r="E62" s="320"/>
      <c r="F62" s="320">
        <f t="shared" si="3"/>
        <v>0</v>
      </c>
      <c r="G62" s="320">
        <f t="shared" si="3"/>
        <v>400</v>
      </c>
      <c r="H62" s="320">
        <f t="shared" si="3"/>
        <v>0</v>
      </c>
      <c r="I62" s="320">
        <f t="shared" si="3"/>
        <v>0</v>
      </c>
      <c r="J62" s="320">
        <f t="shared" si="3"/>
        <v>0</v>
      </c>
      <c r="K62" s="320">
        <f t="shared" si="3"/>
        <v>0</v>
      </c>
      <c r="L62" s="290"/>
      <c r="M62" s="291"/>
    </row>
    <row r="63" spans="1:17" hidden="1" outlineLevel="1" x14ac:dyDescent="0.2">
      <c r="A63" s="320">
        <f t="shared" si="2"/>
        <v>511</v>
      </c>
      <c r="B63" s="393" t="str">
        <f t="shared" si="2"/>
        <v>Pavimento/Afirmado</v>
      </c>
      <c r="C63" s="320"/>
      <c r="D63" s="320"/>
      <c r="E63" s="320"/>
      <c r="F63" s="320">
        <f t="shared" si="3"/>
        <v>0</v>
      </c>
      <c r="G63" s="320">
        <f t="shared" si="3"/>
        <v>200</v>
      </c>
      <c r="H63" s="320">
        <f t="shared" si="3"/>
        <v>0</v>
      </c>
      <c r="I63" s="320">
        <f t="shared" si="3"/>
        <v>200</v>
      </c>
      <c r="J63" s="320">
        <f t="shared" si="3"/>
        <v>0</v>
      </c>
      <c r="K63" s="320">
        <f t="shared" si="3"/>
        <v>0</v>
      </c>
      <c r="L63" s="290"/>
      <c r="M63" s="291"/>
    </row>
    <row r="64" spans="1:17" hidden="1" outlineLevel="1" x14ac:dyDescent="0.2">
      <c r="A64" s="320">
        <f t="shared" si="2"/>
        <v>530</v>
      </c>
      <c r="B64" s="393" t="str">
        <f t="shared" si="2"/>
        <v>Visibilidad</v>
      </c>
      <c r="C64" s="320"/>
      <c r="D64" s="320"/>
      <c r="E64" s="320"/>
      <c r="F64" s="320">
        <f t="shared" si="3"/>
        <v>0</v>
      </c>
      <c r="G64" s="320">
        <f t="shared" si="3"/>
        <v>0</v>
      </c>
      <c r="H64" s="320">
        <f t="shared" si="3"/>
        <v>400</v>
      </c>
      <c r="I64" s="320">
        <f t="shared" si="3"/>
        <v>0</v>
      </c>
      <c r="J64" s="320">
        <f t="shared" si="3"/>
        <v>0</v>
      </c>
      <c r="K64" s="320">
        <f t="shared" si="3"/>
        <v>0</v>
      </c>
      <c r="L64" s="290"/>
      <c r="M64" s="291"/>
    </row>
    <row r="65" spans="1:13" hidden="1" outlineLevel="1" x14ac:dyDescent="0.2">
      <c r="A65" s="320">
        <f t="shared" si="2"/>
        <v>0</v>
      </c>
      <c r="B65" s="393">
        <f t="shared" si="2"/>
        <v>0</v>
      </c>
      <c r="C65" s="320"/>
      <c r="D65" s="320"/>
      <c r="E65" s="320"/>
      <c r="F65" s="320">
        <f t="shared" si="3"/>
        <v>0</v>
      </c>
      <c r="G65" s="320">
        <f t="shared" si="3"/>
        <v>0</v>
      </c>
      <c r="H65" s="320">
        <f t="shared" si="3"/>
        <v>0</v>
      </c>
      <c r="I65" s="320">
        <f t="shared" si="3"/>
        <v>0</v>
      </c>
      <c r="J65" s="320">
        <f t="shared" si="3"/>
        <v>0</v>
      </c>
      <c r="K65" s="320">
        <f t="shared" si="3"/>
        <v>0</v>
      </c>
      <c r="L65" s="290"/>
      <c r="M65" s="291"/>
    </row>
    <row r="66" spans="1:13" hidden="1" outlineLevel="1" x14ac:dyDescent="0.2">
      <c r="A66" s="320">
        <f t="shared" ref="A66:B80" si="4">+A30</f>
        <v>0</v>
      </c>
      <c r="B66" s="393">
        <f t="shared" si="4"/>
        <v>0</v>
      </c>
      <c r="C66" s="320"/>
      <c r="D66" s="320"/>
      <c r="E66" s="320"/>
      <c r="F66" s="320">
        <f t="shared" ref="F66:K66" si="5">+F30/F$48*100</f>
        <v>0</v>
      </c>
      <c r="G66" s="320">
        <f t="shared" si="5"/>
        <v>0</v>
      </c>
      <c r="H66" s="320">
        <f t="shared" si="5"/>
        <v>0</v>
      </c>
      <c r="I66" s="320">
        <f t="shared" si="5"/>
        <v>0</v>
      </c>
      <c r="J66" s="320">
        <f t="shared" si="5"/>
        <v>0</v>
      </c>
      <c r="K66" s="320">
        <f t="shared" si="5"/>
        <v>0</v>
      </c>
      <c r="L66" s="290"/>
      <c r="M66" s="291"/>
    </row>
    <row r="67" spans="1:13" hidden="1" outlineLevel="1" x14ac:dyDescent="0.2">
      <c r="A67" s="320">
        <f t="shared" si="4"/>
        <v>0</v>
      </c>
      <c r="B67" s="393">
        <f t="shared" si="4"/>
        <v>0</v>
      </c>
      <c r="C67" s="320"/>
      <c r="D67" s="320"/>
      <c r="E67" s="320"/>
      <c r="F67" s="320">
        <f t="shared" ref="F67:K67" si="6">+F31/F$48*100</f>
        <v>0</v>
      </c>
      <c r="G67" s="320">
        <f t="shared" si="6"/>
        <v>0</v>
      </c>
      <c r="H67" s="320">
        <f t="shared" si="6"/>
        <v>0</v>
      </c>
      <c r="I67" s="320">
        <f t="shared" si="6"/>
        <v>0</v>
      </c>
      <c r="J67" s="320">
        <f t="shared" si="6"/>
        <v>0</v>
      </c>
      <c r="K67" s="320">
        <f t="shared" si="6"/>
        <v>0</v>
      </c>
      <c r="L67" s="290"/>
      <c r="M67" s="291"/>
    </row>
    <row r="68" spans="1:13" hidden="1" outlineLevel="1" x14ac:dyDescent="0.2">
      <c r="A68" s="320">
        <f t="shared" si="4"/>
        <v>0</v>
      </c>
      <c r="B68" s="393">
        <f t="shared" si="4"/>
        <v>0</v>
      </c>
      <c r="C68" s="320"/>
      <c r="D68" s="320"/>
      <c r="E68" s="320"/>
      <c r="F68" s="320">
        <f t="shared" ref="F68:K68" si="7">+F32/F$48*100</f>
        <v>0</v>
      </c>
      <c r="G68" s="320">
        <f t="shared" si="7"/>
        <v>0</v>
      </c>
      <c r="H68" s="320">
        <f t="shared" si="7"/>
        <v>0</v>
      </c>
      <c r="I68" s="320">
        <f t="shared" si="7"/>
        <v>0</v>
      </c>
      <c r="J68" s="320">
        <f t="shared" si="7"/>
        <v>0</v>
      </c>
      <c r="K68" s="320">
        <f t="shared" si="7"/>
        <v>0</v>
      </c>
      <c r="L68" s="290"/>
      <c r="M68" s="291"/>
    </row>
    <row r="69" spans="1:13" hidden="1" outlineLevel="1" x14ac:dyDescent="0.2">
      <c r="A69" s="320">
        <f t="shared" si="4"/>
        <v>0</v>
      </c>
      <c r="B69" s="393">
        <f t="shared" si="4"/>
        <v>0</v>
      </c>
      <c r="C69" s="320"/>
      <c r="D69" s="320"/>
      <c r="E69" s="320"/>
      <c r="F69" s="320">
        <f t="shared" ref="F69:K69" si="8">+F33/F$48*100</f>
        <v>0</v>
      </c>
      <c r="G69" s="320">
        <f t="shared" si="8"/>
        <v>0</v>
      </c>
      <c r="H69" s="320">
        <f t="shared" si="8"/>
        <v>0</v>
      </c>
      <c r="I69" s="320">
        <f t="shared" si="8"/>
        <v>0</v>
      </c>
      <c r="J69" s="320">
        <f t="shared" si="8"/>
        <v>0</v>
      </c>
      <c r="K69" s="320">
        <f t="shared" si="8"/>
        <v>0</v>
      </c>
      <c r="L69" s="290"/>
      <c r="M69" s="291"/>
    </row>
    <row r="70" spans="1:13" hidden="1" outlineLevel="1" x14ac:dyDescent="0.2">
      <c r="A70" s="320">
        <f t="shared" si="4"/>
        <v>0</v>
      </c>
      <c r="B70" s="393">
        <f t="shared" si="4"/>
        <v>0</v>
      </c>
      <c r="C70" s="320"/>
      <c r="D70" s="320"/>
      <c r="E70" s="320"/>
      <c r="F70" s="320">
        <f t="shared" ref="F70:K70" si="9">+F34/F$48*100</f>
        <v>0</v>
      </c>
      <c r="G70" s="320">
        <f t="shared" si="9"/>
        <v>0</v>
      </c>
      <c r="H70" s="320">
        <f t="shared" si="9"/>
        <v>0</v>
      </c>
      <c r="I70" s="320">
        <f t="shared" si="9"/>
        <v>0</v>
      </c>
      <c r="J70" s="320">
        <f t="shared" si="9"/>
        <v>0</v>
      </c>
      <c r="K70" s="320">
        <f t="shared" si="9"/>
        <v>0</v>
      </c>
      <c r="L70" s="290"/>
      <c r="M70" s="291"/>
    </row>
    <row r="71" spans="1:13" hidden="1" outlineLevel="1" x14ac:dyDescent="0.2">
      <c r="A71" s="320">
        <f t="shared" si="4"/>
        <v>0</v>
      </c>
      <c r="B71" s="393">
        <f t="shared" si="4"/>
        <v>0</v>
      </c>
      <c r="C71" s="320"/>
      <c r="D71" s="320"/>
      <c r="E71" s="320"/>
      <c r="F71" s="320">
        <f t="shared" ref="F71:K71" si="10">+F35/F$48*100</f>
        <v>0</v>
      </c>
      <c r="G71" s="320">
        <f t="shared" si="10"/>
        <v>0</v>
      </c>
      <c r="H71" s="320">
        <f t="shared" si="10"/>
        <v>0</v>
      </c>
      <c r="I71" s="320">
        <f t="shared" si="10"/>
        <v>0</v>
      </c>
      <c r="J71" s="320">
        <f t="shared" si="10"/>
        <v>0</v>
      </c>
      <c r="K71" s="320">
        <f t="shared" si="10"/>
        <v>0</v>
      </c>
      <c r="L71" s="290"/>
      <c r="M71" s="291"/>
    </row>
    <row r="72" spans="1:13" hidden="1" outlineLevel="1" x14ac:dyDescent="0.2">
      <c r="A72" s="320">
        <f t="shared" si="4"/>
        <v>0</v>
      </c>
      <c r="B72" s="393" t="str">
        <f t="shared" si="4"/>
        <v xml:space="preserve"> </v>
      </c>
      <c r="C72" s="320"/>
      <c r="D72" s="320"/>
      <c r="E72" s="320"/>
      <c r="F72" s="320">
        <f t="shared" ref="F72:K72" si="11">+F36/F$48*100</f>
        <v>0</v>
      </c>
      <c r="G72" s="320">
        <f t="shared" si="11"/>
        <v>0</v>
      </c>
      <c r="H72" s="320">
        <f t="shared" si="11"/>
        <v>0</v>
      </c>
      <c r="I72" s="320">
        <f t="shared" si="11"/>
        <v>0</v>
      </c>
      <c r="J72" s="320">
        <f t="shared" si="11"/>
        <v>0</v>
      </c>
      <c r="K72" s="320">
        <f t="shared" si="11"/>
        <v>0</v>
      </c>
      <c r="L72" s="290"/>
      <c r="M72" s="291"/>
    </row>
    <row r="73" spans="1:13" hidden="1" outlineLevel="1" x14ac:dyDescent="0.2">
      <c r="A73" s="320">
        <f t="shared" si="4"/>
        <v>0</v>
      </c>
      <c r="B73" s="393" t="str">
        <f t="shared" si="4"/>
        <v xml:space="preserve"> </v>
      </c>
      <c r="C73" s="320"/>
      <c r="D73" s="320"/>
      <c r="E73" s="320"/>
      <c r="F73" s="320">
        <f t="shared" ref="F73:K73" si="12">+F37/F$48*100</f>
        <v>0</v>
      </c>
      <c r="G73" s="320">
        <f t="shared" si="12"/>
        <v>0</v>
      </c>
      <c r="H73" s="320">
        <f t="shared" si="12"/>
        <v>0</v>
      </c>
      <c r="I73" s="320">
        <f t="shared" si="12"/>
        <v>0</v>
      </c>
      <c r="J73" s="320">
        <f t="shared" si="12"/>
        <v>0</v>
      </c>
      <c r="K73" s="320">
        <f t="shared" si="12"/>
        <v>0</v>
      </c>
      <c r="L73" s="290"/>
      <c r="M73" s="291"/>
    </row>
    <row r="74" spans="1:13" hidden="1" outlineLevel="1" x14ac:dyDescent="0.2">
      <c r="A74" s="320">
        <f t="shared" si="4"/>
        <v>0</v>
      </c>
      <c r="B74" s="393" t="str">
        <f t="shared" si="4"/>
        <v xml:space="preserve"> </v>
      </c>
      <c r="C74" s="320"/>
      <c r="D74" s="320"/>
      <c r="E74" s="320"/>
      <c r="F74" s="320">
        <f t="shared" ref="F74:K74" si="13">+F38/F$48*100</f>
        <v>0</v>
      </c>
      <c r="G74" s="320">
        <f t="shared" si="13"/>
        <v>0</v>
      </c>
      <c r="H74" s="320">
        <f t="shared" si="13"/>
        <v>0</v>
      </c>
      <c r="I74" s="320">
        <f t="shared" si="13"/>
        <v>0</v>
      </c>
      <c r="J74" s="320">
        <f t="shared" si="13"/>
        <v>0</v>
      </c>
      <c r="K74" s="320">
        <f t="shared" si="13"/>
        <v>0</v>
      </c>
      <c r="L74" s="290"/>
      <c r="M74" s="291"/>
    </row>
    <row r="75" spans="1:13" hidden="1" outlineLevel="1" x14ac:dyDescent="0.2">
      <c r="A75" s="320">
        <f t="shared" si="4"/>
        <v>0</v>
      </c>
      <c r="B75" s="393" t="str">
        <f t="shared" si="4"/>
        <v xml:space="preserve"> </v>
      </c>
      <c r="C75" s="320"/>
      <c r="D75" s="320"/>
      <c r="E75" s="320"/>
      <c r="F75" s="320">
        <f t="shared" ref="F75:K75" si="14">+F39/F$48*100</f>
        <v>0</v>
      </c>
      <c r="G75" s="320">
        <f t="shared" si="14"/>
        <v>0</v>
      </c>
      <c r="H75" s="320">
        <f t="shared" si="14"/>
        <v>0</v>
      </c>
      <c r="I75" s="320">
        <f t="shared" si="14"/>
        <v>0</v>
      </c>
      <c r="J75" s="320">
        <f t="shared" si="14"/>
        <v>0</v>
      </c>
      <c r="K75" s="320">
        <f t="shared" si="14"/>
        <v>0</v>
      </c>
      <c r="L75" s="290"/>
      <c r="M75" s="291"/>
    </row>
    <row r="76" spans="1:13" hidden="1" outlineLevel="1" x14ac:dyDescent="0.2">
      <c r="A76" s="320">
        <f t="shared" si="4"/>
        <v>0</v>
      </c>
      <c r="B76" s="393" t="str">
        <f t="shared" si="4"/>
        <v xml:space="preserve"> </v>
      </c>
      <c r="C76" s="320"/>
      <c r="D76" s="320"/>
      <c r="E76" s="320"/>
      <c r="F76" s="320">
        <f t="shared" ref="F76:K76" si="15">+F40/F$48*100</f>
        <v>0</v>
      </c>
      <c r="G76" s="320">
        <f t="shared" si="15"/>
        <v>0</v>
      </c>
      <c r="H76" s="320">
        <f t="shared" si="15"/>
        <v>0</v>
      </c>
      <c r="I76" s="320">
        <f t="shared" si="15"/>
        <v>0</v>
      </c>
      <c r="J76" s="320">
        <f t="shared" si="15"/>
        <v>0</v>
      </c>
      <c r="K76" s="320">
        <f t="shared" si="15"/>
        <v>0</v>
      </c>
      <c r="L76" s="290"/>
      <c r="M76" s="291"/>
    </row>
    <row r="77" spans="1:13" hidden="1" outlineLevel="1" x14ac:dyDescent="0.2">
      <c r="A77" s="320">
        <f t="shared" si="4"/>
        <v>0</v>
      </c>
      <c r="B77" s="393" t="str">
        <f t="shared" si="4"/>
        <v xml:space="preserve"> </v>
      </c>
      <c r="C77" s="320"/>
      <c r="D77" s="320"/>
      <c r="E77" s="320"/>
      <c r="F77" s="320">
        <f t="shared" ref="F77:K77" si="16">+F41/F$48*100</f>
        <v>0</v>
      </c>
      <c r="G77" s="320">
        <f t="shared" si="16"/>
        <v>0</v>
      </c>
      <c r="H77" s="320">
        <f t="shared" si="16"/>
        <v>0</v>
      </c>
      <c r="I77" s="320">
        <f t="shared" si="16"/>
        <v>0</v>
      </c>
      <c r="J77" s="320">
        <f t="shared" si="16"/>
        <v>0</v>
      </c>
      <c r="K77" s="320">
        <f t="shared" si="16"/>
        <v>0</v>
      </c>
      <c r="L77" s="290"/>
      <c r="M77" s="291"/>
    </row>
    <row r="78" spans="1:13" hidden="1" outlineLevel="1" x14ac:dyDescent="0.2">
      <c r="A78" s="320">
        <f t="shared" si="4"/>
        <v>0</v>
      </c>
      <c r="B78" s="393" t="str">
        <f t="shared" si="4"/>
        <v xml:space="preserve"> </v>
      </c>
      <c r="C78" s="320"/>
      <c r="D78" s="320"/>
      <c r="E78" s="320"/>
      <c r="F78" s="320">
        <f t="shared" ref="F78:K78" si="17">+F42/F$48*100</f>
        <v>0</v>
      </c>
      <c r="G78" s="320">
        <f t="shared" si="17"/>
        <v>0</v>
      </c>
      <c r="H78" s="320">
        <f t="shared" si="17"/>
        <v>0</v>
      </c>
      <c r="I78" s="320">
        <f t="shared" si="17"/>
        <v>0</v>
      </c>
      <c r="J78" s="320">
        <f t="shared" si="17"/>
        <v>0</v>
      </c>
      <c r="K78" s="320">
        <f t="shared" si="17"/>
        <v>0</v>
      </c>
      <c r="L78" s="290"/>
      <c r="M78" s="291"/>
    </row>
    <row r="79" spans="1:13" hidden="1" outlineLevel="1" x14ac:dyDescent="0.2">
      <c r="A79" s="320">
        <f t="shared" si="4"/>
        <v>0</v>
      </c>
      <c r="B79" s="393" t="str">
        <f t="shared" si="4"/>
        <v xml:space="preserve"> </v>
      </c>
      <c r="C79" s="320"/>
      <c r="D79" s="320"/>
      <c r="E79" s="320"/>
      <c r="F79" s="320">
        <f t="shared" ref="F79:K79" si="18">+F43/F$48*100</f>
        <v>0</v>
      </c>
      <c r="G79" s="320">
        <f t="shared" si="18"/>
        <v>0</v>
      </c>
      <c r="H79" s="320">
        <f t="shared" si="18"/>
        <v>0</v>
      </c>
      <c r="I79" s="320">
        <f t="shared" si="18"/>
        <v>0</v>
      </c>
      <c r="J79" s="320">
        <f t="shared" si="18"/>
        <v>0</v>
      </c>
      <c r="K79" s="320">
        <f t="shared" si="18"/>
        <v>0</v>
      </c>
      <c r="L79" s="290"/>
      <c r="M79" s="291"/>
    </row>
    <row r="80" spans="1:13" hidden="1" outlineLevel="1" x14ac:dyDescent="0.2">
      <c r="A80" s="320">
        <f t="shared" si="4"/>
        <v>0</v>
      </c>
      <c r="B80" s="393" t="str">
        <f t="shared" si="4"/>
        <v xml:space="preserve"> </v>
      </c>
      <c r="C80" s="320"/>
      <c r="D80" s="320"/>
      <c r="E80" s="320"/>
      <c r="F80" s="320">
        <f t="shared" ref="F80:K80" si="19">+F44/F$48*100</f>
        <v>0</v>
      </c>
      <c r="G80" s="320">
        <f t="shared" si="19"/>
        <v>0</v>
      </c>
      <c r="H80" s="320">
        <f t="shared" si="19"/>
        <v>0</v>
      </c>
      <c r="I80" s="320">
        <f t="shared" si="19"/>
        <v>0</v>
      </c>
      <c r="J80" s="320">
        <f t="shared" si="19"/>
        <v>0</v>
      </c>
      <c r="K80" s="320">
        <f t="shared" si="19"/>
        <v>0</v>
      </c>
      <c r="L80" s="290"/>
      <c r="M80" s="291"/>
    </row>
    <row r="81" spans="1:20" hidden="1" outlineLevel="1" x14ac:dyDescent="0.2">
      <c r="A81" s="394"/>
      <c r="B81" s="395"/>
      <c r="C81" s="396"/>
      <c r="D81" s="396"/>
      <c r="E81" s="396"/>
      <c r="F81" s="396"/>
      <c r="G81" s="396"/>
      <c r="H81" s="396"/>
      <c r="I81" s="396"/>
      <c r="J81" s="396"/>
      <c r="K81" s="396"/>
      <c r="L81" s="290"/>
      <c r="M81" s="291"/>
    </row>
    <row r="82" spans="1:20" ht="7.5" hidden="1" customHeight="1" outlineLevel="1" x14ac:dyDescent="0.2">
      <c r="A82" s="280"/>
      <c r="B82" s="281"/>
      <c r="C82" s="282"/>
      <c r="D82" s="282"/>
      <c r="E82" s="282"/>
      <c r="F82" s="282"/>
      <c r="G82" s="282"/>
      <c r="H82" s="282"/>
      <c r="I82" s="282"/>
      <c r="J82" s="282"/>
      <c r="K82" s="282"/>
      <c r="L82" s="290"/>
      <c r="M82" s="291"/>
    </row>
    <row r="83" spans="1:20" hidden="1" outlineLevel="1" x14ac:dyDescent="0.2">
      <c r="A83" s="280"/>
      <c r="B83" s="281"/>
      <c r="C83" s="282"/>
      <c r="D83" s="282"/>
      <c r="E83" s="282"/>
      <c r="F83" s="282"/>
      <c r="G83" s="282"/>
      <c r="H83" s="282"/>
      <c r="I83" s="282"/>
      <c r="J83" s="282"/>
      <c r="K83" s="282"/>
      <c r="L83" s="281"/>
      <c r="M83" s="281"/>
    </row>
    <row r="84" spans="1:20" hidden="1" outlineLevel="1" x14ac:dyDescent="0.25">
      <c r="A84" s="322" t="s">
        <v>513</v>
      </c>
      <c r="B84" s="277" t="s">
        <v>514</v>
      </c>
      <c r="C84" s="277"/>
      <c r="D84" s="277"/>
      <c r="E84" s="277"/>
      <c r="F84" s="278"/>
      <c r="G84" s="278"/>
      <c r="H84" s="278"/>
      <c r="I84" s="278"/>
      <c r="J84" s="278"/>
      <c r="K84" s="272"/>
    </row>
    <row r="85" spans="1:20" hidden="1" outlineLevel="1" x14ac:dyDescent="0.3">
      <c r="A85" s="778" t="s">
        <v>506</v>
      </c>
      <c r="B85" s="778" t="s">
        <v>507</v>
      </c>
      <c r="C85" s="778"/>
      <c r="D85" s="778"/>
      <c r="E85" s="270"/>
      <c r="F85" s="779" t="s">
        <v>508</v>
      </c>
      <c r="G85" s="779"/>
      <c r="H85" s="779"/>
      <c r="I85" s="779"/>
      <c r="J85" s="779"/>
      <c r="K85" s="779"/>
    </row>
    <row r="86" spans="1:20" hidden="1" outlineLevel="1" x14ac:dyDescent="0.3">
      <c r="A86" s="778"/>
      <c r="B86" s="778"/>
      <c r="C86" s="778"/>
      <c r="D86" s="778"/>
      <c r="E86" s="270"/>
      <c r="F86" s="416">
        <v>0</v>
      </c>
      <c r="G86" s="416">
        <v>1</v>
      </c>
      <c r="H86" s="416">
        <v>2</v>
      </c>
      <c r="I86" s="416">
        <v>3</v>
      </c>
      <c r="J86" s="416">
        <v>4</v>
      </c>
      <c r="K86" s="416">
        <v>5</v>
      </c>
      <c r="N86" s="271"/>
      <c r="O86" s="283"/>
      <c r="P86" s="283"/>
      <c r="Q86" s="283"/>
      <c r="R86" s="283"/>
      <c r="S86" s="283"/>
      <c r="T86" s="283"/>
    </row>
    <row r="87" spans="1:20" hidden="1" outlineLevel="1" x14ac:dyDescent="0.2">
      <c r="A87" s="391">
        <f t="shared" ref="A87:B101" si="20">+A14</f>
        <v>104</v>
      </c>
      <c r="B87" s="397" t="str">
        <f t="shared" si="20"/>
        <v xml:space="preserve">Losa de concreto armado (Refuerzo Transversal) </v>
      </c>
      <c r="C87" s="391"/>
      <c r="D87" s="391"/>
      <c r="E87" s="391"/>
      <c r="F87" s="391">
        <f t="shared" ref="F87:F100" si="21">IF(OR(G87&gt;=100,H87&gt;=100,I87&gt;=100),0,+G87+F51)</f>
        <v>0</v>
      </c>
      <c r="G87" s="391">
        <f t="shared" ref="G87:G100" si="22">IF(OR(H87&gt;=100,I87&gt;=100),0,+H87+G51)</f>
        <v>400</v>
      </c>
      <c r="H87" s="391">
        <f t="shared" ref="H87:H100" si="23">IF(I87&gt;=100,0,+I87+H51)</f>
        <v>0</v>
      </c>
      <c r="I87" s="391">
        <f t="shared" ref="I87:J100" si="24">IF(J87&gt;100,0,+J87+I51)</f>
        <v>0</v>
      </c>
      <c r="J87" s="391">
        <f t="shared" si="24"/>
        <v>0</v>
      </c>
      <c r="K87" s="391">
        <f t="shared" ref="K87:K100" si="25">+K51</f>
        <v>0</v>
      </c>
      <c r="N87" s="272"/>
      <c r="O87" s="282"/>
      <c r="P87" s="282"/>
      <c r="Q87" s="282"/>
      <c r="R87" s="282"/>
      <c r="S87" s="282"/>
      <c r="T87" s="282"/>
    </row>
    <row r="88" spans="1:20" hidden="1" outlineLevel="1" x14ac:dyDescent="0.2">
      <c r="A88" s="320">
        <f t="shared" si="20"/>
        <v>110</v>
      </c>
      <c r="B88" s="398" t="str">
        <f t="shared" si="20"/>
        <v>Viga Principales concreto armado</v>
      </c>
      <c r="C88" s="320"/>
      <c r="D88" s="320"/>
      <c r="E88" s="320"/>
      <c r="F88" s="320">
        <f t="shared" si="21"/>
        <v>0</v>
      </c>
      <c r="G88" s="320">
        <f t="shared" si="22"/>
        <v>400</v>
      </c>
      <c r="H88" s="320">
        <f t="shared" si="23"/>
        <v>40</v>
      </c>
      <c r="I88" s="320">
        <f t="shared" si="24"/>
        <v>0</v>
      </c>
      <c r="J88" s="320">
        <f t="shared" si="24"/>
        <v>0</v>
      </c>
      <c r="K88" s="320">
        <f t="shared" si="25"/>
        <v>0</v>
      </c>
      <c r="N88" s="272"/>
      <c r="O88" s="282"/>
      <c r="P88" s="282"/>
      <c r="Q88" s="282"/>
      <c r="R88" s="282"/>
      <c r="S88" s="282"/>
      <c r="T88" s="282"/>
    </row>
    <row r="89" spans="1:20" hidden="1" outlineLevel="1" x14ac:dyDescent="0.2">
      <c r="A89" s="320">
        <f t="shared" si="20"/>
        <v>111</v>
      </c>
      <c r="B89" s="398" t="str">
        <f t="shared" si="20"/>
        <v>Vigas Secundarias de concreto armado</v>
      </c>
      <c r="C89" s="320"/>
      <c r="D89" s="320"/>
      <c r="E89" s="320"/>
      <c r="F89" s="320">
        <f t="shared" si="21"/>
        <v>0</v>
      </c>
      <c r="G89" s="320">
        <f t="shared" si="22"/>
        <v>400</v>
      </c>
      <c r="H89" s="320">
        <f t="shared" si="23"/>
        <v>0</v>
      </c>
      <c r="I89" s="320">
        <f t="shared" si="24"/>
        <v>0</v>
      </c>
      <c r="J89" s="320">
        <f t="shared" si="24"/>
        <v>0</v>
      </c>
      <c r="K89" s="320">
        <f t="shared" si="25"/>
        <v>0</v>
      </c>
      <c r="N89" s="272"/>
      <c r="O89" s="282"/>
      <c r="P89" s="282"/>
      <c r="Q89" s="282"/>
      <c r="R89" s="282"/>
      <c r="S89" s="282"/>
      <c r="T89" s="282"/>
    </row>
    <row r="90" spans="1:20" hidden="1" outlineLevel="1" x14ac:dyDescent="0.2">
      <c r="A90" s="320">
        <f t="shared" si="20"/>
        <v>202</v>
      </c>
      <c r="B90" s="398" t="str">
        <f t="shared" si="20"/>
        <v>Elevación Cuerpo del Estribo de Concreto Armado</v>
      </c>
      <c r="C90" s="320"/>
      <c r="D90" s="320"/>
      <c r="E90" s="320"/>
      <c r="F90" s="320">
        <f t="shared" si="21"/>
        <v>0</v>
      </c>
      <c r="G90" s="320">
        <f t="shared" si="22"/>
        <v>400</v>
      </c>
      <c r="H90" s="320">
        <f t="shared" si="23"/>
        <v>0</v>
      </c>
      <c r="I90" s="320">
        <f t="shared" si="24"/>
        <v>0</v>
      </c>
      <c r="J90" s="320">
        <f t="shared" si="24"/>
        <v>0</v>
      </c>
      <c r="K90" s="320">
        <f t="shared" si="25"/>
        <v>0</v>
      </c>
      <c r="N90" s="272"/>
      <c r="O90" s="282"/>
      <c r="P90" s="282"/>
      <c r="Q90" s="282"/>
      <c r="R90" s="282"/>
      <c r="S90" s="282"/>
      <c r="T90" s="282"/>
    </row>
    <row r="91" spans="1:20" hidden="1" outlineLevel="1" x14ac:dyDescent="0.2">
      <c r="A91" s="320">
        <f t="shared" si="20"/>
        <v>205</v>
      </c>
      <c r="B91" s="398" t="str">
        <f t="shared" si="20"/>
        <v>Elevación Alas del Estribo de Concreto Armado</v>
      </c>
      <c r="C91" s="320"/>
      <c r="D91" s="320"/>
      <c r="E91" s="320"/>
      <c r="F91" s="320">
        <f t="shared" si="21"/>
        <v>0</v>
      </c>
      <c r="G91" s="320">
        <f t="shared" si="22"/>
        <v>400</v>
      </c>
      <c r="H91" s="320">
        <f t="shared" si="23"/>
        <v>0</v>
      </c>
      <c r="I91" s="320">
        <f t="shared" si="24"/>
        <v>0</v>
      </c>
      <c r="J91" s="320">
        <f t="shared" si="24"/>
        <v>0</v>
      </c>
      <c r="K91" s="320">
        <f t="shared" si="25"/>
        <v>0</v>
      </c>
      <c r="N91" s="272"/>
      <c r="O91" s="282"/>
      <c r="P91" s="282"/>
      <c r="Q91" s="282"/>
      <c r="R91" s="282"/>
      <c r="S91" s="282"/>
      <c r="T91" s="282"/>
    </row>
    <row r="92" spans="1:20" hidden="1" outlineLevel="1" x14ac:dyDescent="0.2">
      <c r="A92" s="320">
        <f t="shared" si="20"/>
        <v>302</v>
      </c>
      <c r="B92" s="398" t="str">
        <f t="shared" si="20"/>
        <v>Capa Concreto Pobre</v>
      </c>
      <c r="C92" s="320"/>
      <c r="D92" s="320"/>
      <c r="E92" s="320"/>
      <c r="F92" s="320">
        <f t="shared" si="21"/>
        <v>0</v>
      </c>
      <c r="G92" s="320">
        <f t="shared" si="22"/>
        <v>400</v>
      </c>
      <c r="H92" s="320">
        <f t="shared" si="23"/>
        <v>0</v>
      </c>
      <c r="I92" s="320">
        <f t="shared" si="24"/>
        <v>0</v>
      </c>
      <c r="J92" s="320">
        <f t="shared" si="24"/>
        <v>0</v>
      </c>
      <c r="K92" s="320">
        <f t="shared" si="25"/>
        <v>0</v>
      </c>
      <c r="N92" s="272"/>
      <c r="O92" s="282"/>
      <c r="P92" s="282"/>
      <c r="Q92" s="282"/>
      <c r="R92" s="282"/>
      <c r="S92" s="282"/>
      <c r="T92" s="282"/>
    </row>
    <row r="93" spans="1:20" hidden="1" outlineLevel="1" x14ac:dyDescent="0.2">
      <c r="A93" s="320">
        <f t="shared" si="20"/>
        <v>311</v>
      </c>
      <c r="B93" s="398" t="str">
        <f t="shared" si="20"/>
        <v>Vereda Concreto</v>
      </c>
      <c r="C93" s="321"/>
      <c r="D93" s="321"/>
      <c r="E93" s="321"/>
      <c r="F93" s="320">
        <f t="shared" si="21"/>
        <v>0</v>
      </c>
      <c r="G93" s="320">
        <f t="shared" si="22"/>
        <v>400</v>
      </c>
      <c r="H93" s="320">
        <f t="shared" si="23"/>
        <v>40</v>
      </c>
      <c r="I93" s="320">
        <f t="shared" si="24"/>
        <v>40</v>
      </c>
      <c r="J93" s="320">
        <f t="shared" si="24"/>
        <v>0</v>
      </c>
      <c r="K93" s="320">
        <f t="shared" si="25"/>
        <v>0</v>
      </c>
      <c r="N93" s="272"/>
      <c r="O93" s="282"/>
      <c r="P93" s="282"/>
      <c r="Q93" s="282"/>
      <c r="R93" s="282"/>
      <c r="S93" s="282"/>
      <c r="T93" s="282"/>
    </row>
    <row r="94" spans="1:20" hidden="1" outlineLevel="1" x14ac:dyDescent="0.2">
      <c r="A94" s="320">
        <f t="shared" si="20"/>
        <v>353</v>
      </c>
      <c r="B94" s="398" t="str">
        <f t="shared" si="20"/>
        <v>Barandas de Acero</v>
      </c>
      <c r="C94" s="320"/>
      <c r="D94" s="320"/>
      <c r="E94" s="320"/>
      <c r="F94" s="320">
        <f t="shared" si="21"/>
        <v>0</v>
      </c>
      <c r="G94" s="320">
        <f t="shared" si="22"/>
        <v>400</v>
      </c>
      <c r="H94" s="320">
        <f t="shared" si="23"/>
        <v>0</v>
      </c>
      <c r="I94" s="320">
        <f t="shared" si="24"/>
        <v>0</v>
      </c>
      <c r="J94" s="320">
        <f t="shared" si="24"/>
        <v>0</v>
      </c>
      <c r="K94" s="320">
        <f t="shared" si="25"/>
        <v>0</v>
      </c>
      <c r="N94" s="272"/>
      <c r="O94" s="282"/>
      <c r="P94" s="282"/>
      <c r="Q94" s="282"/>
      <c r="R94" s="282"/>
      <c r="S94" s="282"/>
      <c r="T94" s="282"/>
    </row>
    <row r="95" spans="1:20" hidden="1" outlineLevel="1" x14ac:dyDescent="0.2">
      <c r="A95" s="320">
        <f t="shared" si="20"/>
        <v>372</v>
      </c>
      <c r="B95" s="398" t="str">
        <f t="shared" si="20"/>
        <v>Tuberías PVC</v>
      </c>
      <c r="C95" s="320"/>
      <c r="D95" s="320"/>
      <c r="E95" s="320"/>
      <c r="F95" s="320">
        <f t="shared" si="21"/>
        <v>0</v>
      </c>
      <c r="G95" s="320">
        <f t="shared" si="22"/>
        <v>0</v>
      </c>
      <c r="H95" s="320">
        <f t="shared" si="23"/>
        <v>0</v>
      </c>
      <c r="I95" s="320">
        <f t="shared" si="24"/>
        <v>400</v>
      </c>
      <c r="J95" s="320">
        <f t="shared" si="24"/>
        <v>0</v>
      </c>
      <c r="K95" s="320">
        <f t="shared" si="25"/>
        <v>0</v>
      </c>
      <c r="N95" s="272"/>
      <c r="O95" s="282"/>
      <c r="P95" s="282"/>
      <c r="Q95" s="282"/>
      <c r="R95" s="282"/>
      <c r="S95" s="282"/>
      <c r="T95" s="282"/>
    </row>
    <row r="96" spans="1:20" hidden="1" outlineLevel="1" x14ac:dyDescent="0.2">
      <c r="A96" s="320">
        <f t="shared" si="20"/>
        <v>401</v>
      </c>
      <c r="B96" s="398" t="str">
        <f t="shared" si="20"/>
        <v>Márgenes del río</v>
      </c>
      <c r="C96" s="320"/>
      <c r="D96" s="320"/>
      <c r="E96" s="320"/>
      <c r="F96" s="320">
        <f t="shared" si="21"/>
        <v>0</v>
      </c>
      <c r="G96" s="320">
        <f t="shared" si="22"/>
        <v>0</v>
      </c>
      <c r="H96" s="320">
        <f t="shared" si="23"/>
        <v>100</v>
      </c>
      <c r="I96" s="320">
        <f t="shared" si="24"/>
        <v>0</v>
      </c>
      <c r="J96" s="320">
        <f t="shared" si="24"/>
        <v>0</v>
      </c>
      <c r="K96" s="320">
        <f t="shared" si="25"/>
        <v>0</v>
      </c>
      <c r="N96" s="272"/>
      <c r="O96" s="282"/>
      <c r="P96" s="282"/>
      <c r="Q96" s="282"/>
      <c r="R96" s="282"/>
      <c r="S96" s="282"/>
      <c r="T96" s="282"/>
    </row>
    <row r="97" spans="1:20" hidden="1" outlineLevel="1" x14ac:dyDescent="0.2">
      <c r="A97" s="320">
        <f t="shared" si="20"/>
        <v>402</v>
      </c>
      <c r="B97" s="398" t="str">
        <f t="shared" si="20"/>
        <v>Lecho del río</v>
      </c>
      <c r="C97" s="320"/>
      <c r="D97" s="320"/>
      <c r="E97" s="320"/>
      <c r="F97" s="320">
        <f t="shared" si="21"/>
        <v>0</v>
      </c>
      <c r="G97" s="320">
        <f t="shared" si="22"/>
        <v>400</v>
      </c>
      <c r="H97" s="320">
        <f t="shared" si="23"/>
        <v>0</v>
      </c>
      <c r="I97" s="320">
        <f t="shared" si="24"/>
        <v>0</v>
      </c>
      <c r="J97" s="320">
        <f t="shared" si="24"/>
        <v>0</v>
      </c>
      <c r="K97" s="320">
        <f t="shared" si="25"/>
        <v>0</v>
      </c>
      <c r="N97" s="272"/>
      <c r="O97" s="282"/>
      <c r="P97" s="282"/>
      <c r="Q97" s="282"/>
      <c r="R97" s="282"/>
      <c r="S97" s="282"/>
      <c r="T97" s="282"/>
    </row>
    <row r="98" spans="1:20" hidden="1" outlineLevel="1" x14ac:dyDescent="0.2">
      <c r="A98" s="320">
        <f t="shared" si="20"/>
        <v>501</v>
      </c>
      <c r="B98" s="398" t="str">
        <f t="shared" si="20"/>
        <v>Señalización</v>
      </c>
      <c r="C98" s="320"/>
      <c r="D98" s="320"/>
      <c r="E98" s="320"/>
      <c r="F98" s="320">
        <f t="shared" si="21"/>
        <v>0</v>
      </c>
      <c r="G98" s="320">
        <f t="shared" si="22"/>
        <v>400</v>
      </c>
      <c r="H98" s="320">
        <f t="shared" si="23"/>
        <v>0</v>
      </c>
      <c r="I98" s="320">
        <f t="shared" si="24"/>
        <v>0</v>
      </c>
      <c r="J98" s="320">
        <f t="shared" si="24"/>
        <v>0</v>
      </c>
      <c r="K98" s="320">
        <f t="shared" si="25"/>
        <v>0</v>
      </c>
      <c r="N98" s="272"/>
      <c r="O98" s="282"/>
      <c r="P98" s="282"/>
      <c r="Q98" s="282"/>
      <c r="R98" s="282"/>
      <c r="S98" s="282"/>
      <c r="T98" s="282"/>
    </row>
    <row r="99" spans="1:20" hidden="1" outlineLevel="1" x14ac:dyDescent="0.2">
      <c r="A99" s="320">
        <f t="shared" si="20"/>
        <v>511</v>
      </c>
      <c r="B99" s="398" t="str">
        <f t="shared" si="20"/>
        <v>Pavimento/Afirmado</v>
      </c>
      <c r="C99" s="320"/>
      <c r="D99" s="320"/>
      <c r="E99" s="320"/>
      <c r="F99" s="320">
        <f t="shared" si="21"/>
        <v>0</v>
      </c>
      <c r="G99" s="320">
        <f t="shared" si="22"/>
        <v>0</v>
      </c>
      <c r="H99" s="320">
        <f t="shared" si="23"/>
        <v>0</v>
      </c>
      <c r="I99" s="320">
        <f t="shared" si="24"/>
        <v>200</v>
      </c>
      <c r="J99" s="320">
        <f t="shared" si="24"/>
        <v>0</v>
      </c>
      <c r="K99" s="320">
        <f t="shared" si="25"/>
        <v>0</v>
      </c>
      <c r="N99" s="272"/>
      <c r="O99" s="282"/>
      <c r="P99" s="282"/>
      <c r="Q99" s="282"/>
      <c r="R99" s="282"/>
      <c r="S99" s="282"/>
      <c r="T99" s="282"/>
    </row>
    <row r="100" spans="1:20" hidden="1" outlineLevel="1" x14ac:dyDescent="0.2">
      <c r="A100" s="320">
        <f t="shared" si="20"/>
        <v>530</v>
      </c>
      <c r="B100" s="398" t="str">
        <f t="shared" si="20"/>
        <v>Visibilidad</v>
      </c>
      <c r="C100" s="320"/>
      <c r="D100" s="320"/>
      <c r="E100" s="320"/>
      <c r="F100" s="320">
        <f t="shared" si="21"/>
        <v>0</v>
      </c>
      <c r="G100" s="320">
        <f t="shared" si="22"/>
        <v>0</v>
      </c>
      <c r="H100" s="320">
        <f t="shared" si="23"/>
        <v>400</v>
      </c>
      <c r="I100" s="320">
        <f t="shared" si="24"/>
        <v>0</v>
      </c>
      <c r="J100" s="320">
        <f t="shared" si="24"/>
        <v>0</v>
      </c>
      <c r="K100" s="320">
        <f t="shared" si="25"/>
        <v>0</v>
      </c>
      <c r="N100" s="272"/>
      <c r="O100" s="282"/>
      <c r="P100" s="282"/>
      <c r="Q100" s="282"/>
      <c r="R100" s="282"/>
      <c r="S100" s="282"/>
      <c r="T100" s="282"/>
    </row>
    <row r="101" spans="1:20" hidden="1" outlineLevel="1" x14ac:dyDescent="0.2">
      <c r="A101" s="320">
        <f t="shared" si="20"/>
        <v>0</v>
      </c>
      <c r="B101" s="398">
        <f t="shared" si="20"/>
        <v>0</v>
      </c>
      <c r="C101" s="320"/>
      <c r="D101" s="320"/>
      <c r="E101" s="320"/>
      <c r="F101" s="320">
        <f t="shared" ref="F101:F114" si="26">IF(OR(G101&gt;=100,H101&gt;=100,I101&gt;=100),0,+G101+F65)</f>
        <v>0</v>
      </c>
      <c r="G101" s="320">
        <f t="shared" ref="G101:G114" si="27">IF(OR(H101&gt;=100,I101&gt;=100),0,+H101+G65)</f>
        <v>0</v>
      </c>
      <c r="H101" s="320">
        <f t="shared" ref="H101:H116" si="28">IF(I101&gt;=100,0,+I101+H65)</f>
        <v>0</v>
      </c>
      <c r="I101" s="320">
        <f t="shared" ref="I101:J116" si="29">IF(J101&gt;100,0,+J101+I65)</f>
        <v>0</v>
      </c>
      <c r="J101" s="320">
        <f t="shared" si="29"/>
        <v>0</v>
      </c>
      <c r="K101" s="320">
        <f t="shared" ref="K101:K116" si="30">+K65</f>
        <v>0</v>
      </c>
      <c r="N101" s="272"/>
      <c r="O101" s="282"/>
      <c r="P101" s="282"/>
      <c r="Q101" s="282"/>
      <c r="R101" s="282"/>
      <c r="S101" s="282"/>
      <c r="T101" s="282"/>
    </row>
    <row r="102" spans="1:20" hidden="1" outlineLevel="1" x14ac:dyDescent="0.2">
      <c r="A102" s="320">
        <f t="shared" ref="A102:B116" si="31">+A30</f>
        <v>0</v>
      </c>
      <c r="B102" s="398">
        <f t="shared" si="31"/>
        <v>0</v>
      </c>
      <c r="C102" s="320"/>
      <c r="D102" s="320"/>
      <c r="E102" s="320"/>
      <c r="F102" s="320">
        <f t="shared" si="26"/>
        <v>0</v>
      </c>
      <c r="G102" s="320">
        <f t="shared" si="27"/>
        <v>0</v>
      </c>
      <c r="H102" s="320">
        <f t="shared" si="28"/>
        <v>0</v>
      </c>
      <c r="I102" s="320">
        <f t="shared" si="29"/>
        <v>0</v>
      </c>
      <c r="J102" s="320">
        <f t="shared" si="29"/>
        <v>0</v>
      </c>
      <c r="K102" s="320">
        <f t="shared" si="30"/>
        <v>0</v>
      </c>
      <c r="N102" s="272"/>
      <c r="O102" s="282"/>
      <c r="P102" s="282"/>
      <c r="Q102" s="282"/>
      <c r="R102" s="282"/>
      <c r="S102" s="282"/>
      <c r="T102" s="282"/>
    </row>
    <row r="103" spans="1:20" hidden="1" outlineLevel="1" x14ac:dyDescent="0.2">
      <c r="A103" s="320">
        <f t="shared" si="31"/>
        <v>0</v>
      </c>
      <c r="B103" s="398">
        <f t="shared" si="31"/>
        <v>0</v>
      </c>
      <c r="C103" s="320"/>
      <c r="D103" s="320"/>
      <c r="E103" s="320"/>
      <c r="F103" s="320">
        <f t="shared" si="26"/>
        <v>0</v>
      </c>
      <c r="G103" s="320">
        <f t="shared" si="27"/>
        <v>0</v>
      </c>
      <c r="H103" s="320">
        <f t="shared" si="28"/>
        <v>0</v>
      </c>
      <c r="I103" s="320">
        <f t="shared" si="29"/>
        <v>0</v>
      </c>
      <c r="J103" s="320">
        <f t="shared" si="29"/>
        <v>0</v>
      </c>
      <c r="K103" s="320">
        <f t="shared" si="30"/>
        <v>0</v>
      </c>
      <c r="N103" s="272"/>
      <c r="O103" s="282"/>
      <c r="P103" s="282"/>
      <c r="Q103" s="282"/>
      <c r="R103" s="282"/>
      <c r="S103" s="282"/>
      <c r="T103" s="282"/>
    </row>
    <row r="104" spans="1:20" hidden="1" outlineLevel="1" x14ac:dyDescent="0.2">
      <c r="A104" s="320">
        <f t="shared" si="31"/>
        <v>0</v>
      </c>
      <c r="B104" s="398">
        <f t="shared" si="31"/>
        <v>0</v>
      </c>
      <c r="C104" s="320"/>
      <c r="D104" s="320"/>
      <c r="E104" s="320"/>
      <c r="F104" s="320">
        <f t="shared" si="26"/>
        <v>0</v>
      </c>
      <c r="G104" s="320">
        <f t="shared" si="27"/>
        <v>0</v>
      </c>
      <c r="H104" s="320">
        <f t="shared" si="28"/>
        <v>0</v>
      </c>
      <c r="I104" s="320">
        <f t="shared" si="29"/>
        <v>0</v>
      </c>
      <c r="J104" s="320">
        <f t="shared" si="29"/>
        <v>0</v>
      </c>
      <c r="K104" s="320">
        <f t="shared" si="30"/>
        <v>0</v>
      </c>
      <c r="N104" s="272"/>
      <c r="O104" s="282"/>
      <c r="P104" s="282"/>
      <c r="Q104" s="282"/>
      <c r="R104" s="282"/>
      <c r="S104" s="282"/>
      <c r="T104" s="282"/>
    </row>
    <row r="105" spans="1:20" hidden="1" outlineLevel="1" x14ac:dyDescent="0.2">
      <c r="A105" s="320">
        <f t="shared" si="31"/>
        <v>0</v>
      </c>
      <c r="B105" s="398">
        <f t="shared" si="31"/>
        <v>0</v>
      </c>
      <c r="C105" s="320"/>
      <c r="D105" s="320"/>
      <c r="E105" s="320"/>
      <c r="F105" s="320">
        <f t="shared" si="26"/>
        <v>0</v>
      </c>
      <c r="G105" s="320">
        <f t="shared" si="27"/>
        <v>0</v>
      </c>
      <c r="H105" s="320">
        <f t="shared" si="28"/>
        <v>0</v>
      </c>
      <c r="I105" s="320">
        <f t="shared" si="29"/>
        <v>0</v>
      </c>
      <c r="J105" s="320">
        <f t="shared" si="29"/>
        <v>0</v>
      </c>
      <c r="K105" s="320">
        <f t="shared" si="30"/>
        <v>0</v>
      </c>
      <c r="N105" s="272"/>
      <c r="O105" s="282"/>
      <c r="P105" s="282"/>
      <c r="Q105" s="282"/>
      <c r="R105" s="282"/>
      <c r="S105" s="282"/>
      <c r="T105" s="282"/>
    </row>
    <row r="106" spans="1:20" hidden="1" outlineLevel="1" x14ac:dyDescent="0.2">
      <c r="A106" s="320">
        <f t="shared" si="31"/>
        <v>0</v>
      </c>
      <c r="B106" s="398">
        <f t="shared" si="31"/>
        <v>0</v>
      </c>
      <c r="C106" s="320"/>
      <c r="D106" s="320"/>
      <c r="E106" s="320"/>
      <c r="F106" s="320">
        <f t="shared" si="26"/>
        <v>0</v>
      </c>
      <c r="G106" s="320">
        <f t="shared" si="27"/>
        <v>0</v>
      </c>
      <c r="H106" s="320">
        <f t="shared" si="28"/>
        <v>0</v>
      </c>
      <c r="I106" s="320">
        <f t="shared" si="29"/>
        <v>0</v>
      </c>
      <c r="J106" s="320">
        <f t="shared" si="29"/>
        <v>0</v>
      </c>
      <c r="K106" s="320">
        <f t="shared" si="30"/>
        <v>0</v>
      </c>
      <c r="N106" s="272"/>
      <c r="O106" s="282"/>
      <c r="P106" s="282"/>
      <c r="Q106" s="282"/>
      <c r="R106" s="282"/>
      <c r="S106" s="282"/>
      <c r="T106" s="282"/>
    </row>
    <row r="107" spans="1:20" hidden="1" outlineLevel="1" x14ac:dyDescent="0.2">
      <c r="A107" s="320">
        <f t="shared" si="31"/>
        <v>0</v>
      </c>
      <c r="B107" s="398">
        <f t="shared" si="31"/>
        <v>0</v>
      </c>
      <c r="C107" s="320"/>
      <c r="D107" s="320"/>
      <c r="E107" s="320"/>
      <c r="F107" s="320">
        <f t="shared" si="26"/>
        <v>0</v>
      </c>
      <c r="G107" s="320">
        <f t="shared" si="27"/>
        <v>0</v>
      </c>
      <c r="H107" s="320">
        <f t="shared" si="28"/>
        <v>0</v>
      </c>
      <c r="I107" s="320">
        <f t="shared" si="29"/>
        <v>0</v>
      </c>
      <c r="J107" s="320">
        <f t="shared" si="29"/>
        <v>0</v>
      </c>
      <c r="K107" s="320">
        <f t="shared" si="30"/>
        <v>0</v>
      </c>
      <c r="N107" s="272"/>
      <c r="O107" s="282"/>
      <c r="P107" s="282"/>
      <c r="Q107" s="282"/>
      <c r="R107" s="282"/>
      <c r="S107" s="282"/>
      <c r="T107" s="282"/>
    </row>
    <row r="108" spans="1:20" hidden="1" outlineLevel="1" x14ac:dyDescent="0.2">
      <c r="A108" s="320">
        <f t="shared" si="31"/>
        <v>0</v>
      </c>
      <c r="B108" s="398" t="str">
        <f t="shared" si="31"/>
        <v xml:space="preserve"> </v>
      </c>
      <c r="C108" s="320"/>
      <c r="D108" s="320"/>
      <c r="E108" s="320"/>
      <c r="F108" s="320">
        <f t="shared" si="26"/>
        <v>0</v>
      </c>
      <c r="G108" s="320">
        <f t="shared" si="27"/>
        <v>0</v>
      </c>
      <c r="H108" s="320">
        <f t="shared" si="28"/>
        <v>0</v>
      </c>
      <c r="I108" s="320">
        <f t="shared" si="29"/>
        <v>0</v>
      </c>
      <c r="J108" s="320">
        <f t="shared" si="29"/>
        <v>0</v>
      </c>
      <c r="K108" s="320">
        <f t="shared" si="30"/>
        <v>0</v>
      </c>
      <c r="N108" s="272"/>
      <c r="O108" s="282"/>
      <c r="P108" s="282"/>
      <c r="Q108" s="282"/>
      <c r="R108" s="282"/>
      <c r="S108" s="282"/>
      <c r="T108" s="282"/>
    </row>
    <row r="109" spans="1:20" hidden="1" outlineLevel="1" x14ac:dyDescent="0.2">
      <c r="A109" s="320">
        <f t="shared" si="31"/>
        <v>0</v>
      </c>
      <c r="B109" s="398" t="str">
        <f t="shared" si="31"/>
        <v xml:space="preserve"> </v>
      </c>
      <c r="C109" s="320"/>
      <c r="D109" s="320"/>
      <c r="E109" s="320"/>
      <c r="F109" s="320">
        <f t="shared" si="26"/>
        <v>0</v>
      </c>
      <c r="G109" s="320">
        <f t="shared" si="27"/>
        <v>0</v>
      </c>
      <c r="H109" s="320">
        <f t="shared" si="28"/>
        <v>0</v>
      </c>
      <c r="I109" s="320">
        <f t="shared" si="29"/>
        <v>0</v>
      </c>
      <c r="J109" s="320">
        <f t="shared" si="29"/>
        <v>0</v>
      </c>
      <c r="K109" s="320">
        <f t="shared" si="30"/>
        <v>0</v>
      </c>
      <c r="N109" s="272"/>
      <c r="O109" s="282"/>
      <c r="P109" s="282"/>
      <c r="Q109" s="282"/>
      <c r="R109" s="282"/>
      <c r="S109" s="282"/>
      <c r="T109" s="282"/>
    </row>
    <row r="110" spans="1:20" hidden="1" outlineLevel="1" x14ac:dyDescent="0.2">
      <c r="A110" s="320">
        <f t="shared" si="31"/>
        <v>0</v>
      </c>
      <c r="B110" s="398" t="str">
        <f t="shared" si="31"/>
        <v xml:space="preserve"> </v>
      </c>
      <c r="C110" s="320"/>
      <c r="D110" s="320"/>
      <c r="E110" s="320"/>
      <c r="F110" s="320">
        <f t="shared" si="26"/>
        <v>0</v>
      </c>
      <c r="G110" s="320">
        <f t="shared" si="27"/>
        <v>0</v>
      </c>
      <c r="H110" s="320">
        <f t="shared" si="28"/>
        <v>0</v>
      </c>
      <c r="I110" s="320">
        <f t="shared" si="29"/>
        <v>0</v>
      </c>
      <c r="J110" s="320">
        <f t="shared" si="29"/>
        <v>0</v>
      </c>
      <c r="K110" s="320">
        <f t="shared" si="30"/>
        <v>0</v>
      </c>
      <c r="N110" s="272"/>
      <c r="O110" s="282"/>
      <c r="P110" s="282"/>
      <c r="Q110" s="282"/>
      <c r="R110" s="282"/>
      <c r="S110" s="282"/>
      <c r="T110" s="282"/>
    </row>
    <row r="111" spans="1:20" hidden="1" outlineLevel="1" x14ac:dyDescent="0.2">
      <c r="A111" s="320">
        <f t="shared" si="31"/>
        <v>0</v>
      </c>
      <c r="B111" s="398" t="str">
        <f t="shared" si="31"/>
        <v xml:space="preserve"> </v>
      </c>
      <c r="C111" s="320"/>
      <c r="D111" s="320"/>
      <c r="E111" s="320"/>
      <c r="F111" s="320">
        <f t="shared" si="26"/>
        <v>0</v>
      </c>
      <c r="G111" s="320">
        <f t="shared" si="27"/>
        <v>0</v>
      </c>
      <c r="H111" s="320">
        <f t="shared" si="28"/>
        <v>0</v>
      </c>
      <c r="I111" s="320">
        <f t="shared" si="29"/>
        <v>0</v>
      </c>
      <c r="J111" s="320">
        <f t="shared" si="29"/>
        <v>0</v>
      </c>
      <c r="K111" s="320">
        <f t="shared" si="30"/>
        <v>0</v>
      </c>
      <c r="N111" s="272"/>
      <c r="O111" s="282"/>
      <c r="P111" s="282"/>
      <c r="Q111" s="282"/>
      <c r="R111" s="282"/>
      <c r="S111" s="282"/>
      <c r="T111" s="282"/>
    </row>
    <row r="112" spans="1:20" hidden="1" outlineLevel="1" x14ac:dyDescent="0.2">
      <c r="A112" s="320">
        <f t="shared" si="31"/>
        <v>0</v>
      </c>
      <c r="B112" s="398" t="str">
        <f t="shared" si="31"/>
        <v xml:space="preserve"> </v>
      </c>
      <c r="C112" s="320"/>
      <c r="D112" s="320"/>
      <c r="E112" s="320"/>
      <c r="F112" s="320">
        <f t="shared" si="26"/>
        <v>0</v>
      </c>
      <c r="G112" s="320">
        <f t="shared" si="27"/>
        <v>0</v>
      </c>
      <c r="H112" s="320">
        <f t="shared" si="28"/>
        <v>0</v>
      </c>
      <c r="I112" s="320">
        <f t="shared" si="29"/>
        <v>0</v>
      </c>
      <c r="J112" s="320">
        <f t="shared" si="29"/>
        <v>0</v>
      </c>
      <c r="K112" s="320">
        <f t="shared" si="30"/>
        <v>0</v>
      </c>
      <c r="N112" s="272"/>
      <c r="O112" s="282"/>
      <c r="P112" s="282"/>
      <c r="Q112" s="282"/>
      <c r="R112" s="282"/>
      <c r="S112" s="282"/>
      <c r="T112" s="282"/>
    </row>
    <row r="113" spans="1:20" hidden="1" outlineLevel="1" x14ac:dyDescent="0.2">
      <c r="A113" s="320">
        <f t="shared" si="31"/>
        <v>0</v>
      </c>
      <c r="B113" s="398" t="str">
        <f t="shared" si="31"/>
        <v xml:space="preserve"> </v>
      </c>
      <c r="C113" s="320"/>
      <c r="D113" s="320"/>
      <c r="E113" s="320"/>
      <c r="F113" s="320">
        <f t="shared" si="26"/>
        <v>0</v>
      </c>
      <c r="G113" s="320">
        <f t="shared" si="27"/>
        <v>0</v>
      </c>
      <c r="H113" s="320">
        <f t="shared" si="28"/>
        <v>0</v>
      </c>
      <c r="I113" s="320">
        <f t="shared" si="29"/>
        <v>0</v>
      </c>
      <c r="J113" s="320">
        <f t="shared" si="29"/>
        <v>0</v>
      </c>
      <c r="K113" s="320">
        <f t="shared" si="30"/>
        <v>0</v>
      </c>
      <c r="N113" s="272"/>
      <c r="O113" s="282"/>
      <c r="P113" s="282"/>
      <c r="Q113" s="282"/>
      <c r="R113" s="282"/>
      <c r="S113" s="282"/>
      <c r="T113" s="282"/>
    </row>
    <row r="114" spans="1:20" hidden="1" outlineLevel="1" x14ac:dyDescent="0.2">
      <c r="A114" s="320">
        <f t="shared" si="31"/>
        <v>0</v>
      </c>
      <c r="B114" s="398" t="str">
        <f t="shared" si="31"/>
        <v xml:space="preserve"> </v>
      </c>
      <c r="C114" s="320"/>
      <c r="D114" s="320"/>
      <c r="E114" s="320"/>
      <c r="F114" s="320">
        <f t="shared" si="26"/>
        <v>0</v>
      </c>
      <c r="G114" s="320">
        <f t="shared" si="27"/>
        <v>0</v>
      </c>
      <c r="H114" s="320">
        <f t="shared" si="28"/>
        <v>0</v>
      </c>
      <c r="I114" s="320">
        <f t="shared" si="29"/>
        <v>0</v>
      </c>
      <c r="J114" s="320">
        <f t="shared" si="29"/>
        <v>0</v>
      </c>
      <c r="K114" s="320">
        <f t="shared" si="30"/>
        <v>0</v>
      </c>
      <c r="N114" s="272"/>
      <c r="O114" s="282"/>
      <c r="P114" s="282"/>
      <c r="Q114" s="282"/>
      <c r="R114" s="282"/>
      <c r="S114" s="282"/>
      <c r="T114" s="282"/>
    </row>
    <row r="115" spans="1:20" hidden="1" outlineLevel="1" x14ac:dyDescent="0.2">
      <c r="A115" s="320">
        <f t="shared" si="31"/>
        <v>0</v>
      </c>
      <c r="B115" s="398" t="str">
        <f t="shared" si="31"/>
        <v xml:space="preserve"> </v>
      </c>
      <c r="C115" s="320"/>
      <c r="D115" s="320"/>
      <c r="E115" s="320"/>
      <c r="F115" s="320">
        <f>IF(OR(G115&gt;=100,H115&gt;=100,I115&gt;=100),0,+G115+F79)</f>
        <v>0</v>
      </c>
      <c r="G115" s="320">
        <f>IF(OR(H115&gt;=100,I115&gt;=100),0,+H115+G79)</f>
        <v>0</v>
      </c>
      <c r="H115" s="320">
        <f t="shared" si="28"/>
        <v>0</v>
      </c>
      <c r="I115" s="320">
        <f t="shared" si="29"/>
        <v>0</v>
      </c>
      <c r="J115" s="320">
        <f t="shared" si="29"/>
        <v>0</v>
      </c>
      <c r="K115" s="320">
        <f t="shared" si="30"/>
        <v>0</v>
      </c>
      <c r="N115" s="272"/>
      <c r="O115" s="282"/>
      <c r="P115" s="282"/>
      <c r="Q115" s="282"/>
      <c r="R115" s="282"/>
      <c r="S115" s="282"/>
      <c r="T115" s="282"/>
    </row>
    <row r="116" spans="1:20" hidden="1" outlineLevel="1" x14ac:dyDescent="0.2">
      <c r="A116" s="320">
        <f t="shared" si="31"/>
        <v>0</v>
      </c>
      <c r="B116" s="398" t="str">
        <f t="shared" si="31"/>
        <v xml:space="preserve"> </v>
      </c>
      <c r="C116" s="320"/>
      <c r="D116" s="320"/>
      <c r="E116" s="320"/>
      <c r="F116" s="320">
        <f>IF(OR(G116&gt;=100,H116&gt;=100,I116&gt;=100),0,+G116+F80)</f>
        <v>0</v>
      </c>
      <c r="G116" s="320">
        <f>IF(OR(H116&gt;=100,I116&gt;=100),0,+H116+G80)</f>
        <v>0</v>
      </c>
      <c r="H116" s="320">
        <f t="shared" si="28"/>
        <v>0</v>
      </c>
      <c r="I116" s="320">
        <f t="shared" si="29"/>
        <v>0</v>
      </c>
      <c r="J116" s="320">
        <f t="shared" si="29"/>
        <v>0</v>
      </c>
      <c r="K116" s="320">
        <f t="shared" si="30"/>
        <v>0</v>
      </c>
      <c r="N116" s="272"/>
      <c r="O116" s="282"/>
      <c r="P116" s="282"/>
      <c r="Q116" s="282"/>
      <c r="R116" s="282"/>
      <c r="S116" s="282"/>
      <c r="T116" s="282"/>
    </row>
    <row r="117" spans="1:20" hidden="1" outlineLevel="1" x14ac:dyDescent="0.2">
      <c r="A117" s="394"/>
      <c r="B117" s="399"/>
      <c r="C117" s="396"/>
      <c r="D117" s="396"/>
      <c r="E117" s="396"/>
      <c r="F117" s="396"/>
      <c r="G117" s="396"/>
      <c r="H117" s="396"/>
      <c r="I117" s="396"/>
      <c r="J117" s="396"/>
      <c r="K117" s="396"/>
    </row>
    <row r="118" spans="1:20" hidden="1" outlineLevel="1" x14ac:dyDescent="0.2">
      <c r="A118" s="280"/>
      <c r="B118" s="281"/>
      <c r="C118" s="282"/>
      <c r="D118" s="282"/>
      <c r="E118" s="282"/>
      <c r="F118" s="282"/>
      <c r="G118" s="282"/>
      <c r="H118" s="282"/>
      <c r="I118" s="282"/>
      <c r="J118" s="282"/>
      <c r="K118" s="282"/>
      <c r="L118" s="281"/>
      <c r="M118" s="281"/>
    </row>
    <row r="119" spans="1:20" hidden="1" outlineLevel="1" x14ac:dyDescent="0.25">
      <c r="A119" s="322" t="s">
        <v>515</v>
      </c>
      <c r="B119" s="277" t="s">
        <v>516</v>
      </c>
      <c r="C119" s="277"/>
      <c r="D119" s="277"/>
      <c r="E119" s="277"/>
      <c r="F119" s="278"/>
      <c r="G119" s="278"/>
      <c r="H119" s="278"/>
      <c r="I119" s="278"/>
      <c r="J119" s="278"/>
      <c r="K119" s="272"/>
    </row>
    <row r="120" spans="1:20" hidden="1" outlineLevel="1" x14ac:dyDescent="0.3">
      <c r="A120" s="778" t="s">
        <v>506</v>
      </c>
      <c r="B120" s="778" t="s">
        <v>507</v>
      </c>
      <c r="C120" s="773"/>
      <c r="D120" s="773"/>
      <c r="E120" s="316"/>
      <c r="F120" s="779" t="s">
        <v>508</v>
      </c>
      <c r="G120" s="779"/>
      <c r="H120" s="779"/>
      <c r="I120" s="779"/>
      <c r="J120" s="779"/>
      <c r="K120" s="779"/>
      <c r="L120" s="290"/>
    </row>
    <row r="121" spans="1:20" hidden="1" outlineLevel="1" x14ac:dyDescent="0.3">
      <c r="A121" s="778"/>
      <c r="B121" s="778"/>
      <c r="C121" s="774"/>
      <c r="D121" s="774"/>
      <c r="E121" s="317"/>
      <c r="F121" s="416">
        <v>0</v>
      </c>
      <c r="G121" s="416">
        <v>1</v>
      </c>
      <c r="H121" s="416">
        <v>2</v>
      </c>
      <c r="I121" s="416">
        <v>3</v>
      </c>
      <c r="J121" s="416">
        <v>4</v>
      </c>
      <c r="K121" s="416">
        <v>5</v>
      </c>
      <c r="L121" s="290"/>
      <c r="N121" s="271" t="s">
        <v>510</v>
      </c>
      <c r="O121" s="270">
        <v>0</v>
      </c>
      <c r="P121" s="270">
        <v>1</v>
      </c>
      <c r="Q121" s="270">
        <v>2</v>
      </c>
      <c r="R121" s="270">
        <v>3</v>
      </c>
      <c r="S121" s="270">
        <v>4</v>
      </c>
      <c r="T121" s="270">
        <v>5</v>
      </c>
    </row>
    <row r="122" spans="1:20" hidden="1" outlineLevel="1" x14ac:dyDescent="0.2">
      <c r="A122" s="391">
        <f t="shared" ref="A122:B151" si="32">+A87</f>
        <v>104</v>
      </c>
      <c r="B122" s="397" t="str">
        <f t="shared" si="32"/>
        <v xml:space="preserve">Losa de concreto armado (Refuerzo Transversal) </v>
      </c>
      <c r="C122" s="391"/>
      <c r="D122" s="391"/>
      <c r="E122" s="391"/>
      <c r="F122" s="391">
        <f t="shared" ref="F122:J135" si="33">+IF(O122&gt;0,O122,0)</f>
        <v>0</v>
      </c>
      <c r="G122" s="391">
        <f t="shared" si="33"/>
        <v>100</v>
      </c>
      <c r="H122" s="391">
        <f t="shared" si="33"/>
        <v>0</v>
      </c>
      <c r="I122" s="391">
        <f t="shared" si="33"/>
        <v>0</v>
      </c>
      <c r="J122" s="391">
        <f>+IF(S122&gt;0,S122,0)</f>
        <v>0</v>
      </c>
      <c r="K122" s="391">
        <f t="shared" ref="K122:K135" si="34">+K87</f>
        <v>0</v>
      </c>
      <c r="L122" s="290"/>
      <c r="M122" s="291"/>
      <c r="N122" s="272">
        <f>+SUM(F122:K122)</f>
        <v>100</v>
      </c>
      <c r="O122" s="274">
        <f t="shared" ref="O122:O135" si="35">IF(F87+G87+H87+I87+J87+K87&gt;=100,100-G87-H87-I87-J87-K87,F87)</f>
        <v>-300</v>
      </c>
      <c r="P122" s="274">
        <f t="shared" ref="P122:P135" si="36">IF(G87+H87+I87+J87+K87&gt;=100,100-H87-I87-J87-K87,G87)</f>
        <v>100</v>
      </c>
      <c r="Q122" s="274">
        <f t="shared" ref="Q122:Q135" si="37">IF(H87+I87+J87+K87&gt;=100,100-I87-J87-K87,H87)</f>
        <v>0</v>
      </c>
      <c r="R122" s="274">
        <f t="shared" ref="R122:R135" si="38">IF(I87+J87+K87&gt;=100,100-J87-K87,I87)</f>
        <v>0</v>
      </c>
      <c r="S122" s="274">
        <f t="shared" ref="S122:S135" si="39">+IF(J87+K87&gt;100,100-K87,J87)</f>
        <v>0</v>
      </c>
      <c r="T122" s="274">
        <f t="shared" ref="T122:T135" si="40">+K87</f>
        <v>0</v>
      </c>
    </row>
    <row r="123" spans="1:20" hidden="1" outlineLevel="1" x14ac:dyDescent="0.2">
      <c r="A123" s="320">
        <f t="shared" si="32"/>
        <v>110</v>
      </c>
      <c r="B123" s="398" t="str">
        <f t="shared" si="32"/>
        <v>Viga Principales concreto armado</v>
      </c>
      <c r="C123" s="320"/>
      <c r="D123" s="320"/>
      <c r="E123" s="320"/>
      <c r="F123" s="320">
        <f t="shared" si="33"/>
        <v>0</v>
      </c>
      <c r="G123" s="320">
        <f t="shared" si="33"/>
        <v>60</v>
      </c>
      <c r="H123" s="320">
        <f t="shared" si="33"/>
        <v>40</v>
      </c>
      <c r="I123" s="320">
        <f t="shared" si="33"/>
        <v>0</v>
      </c>
      <c r="J123" s="320">
        <f t="shared" si="33"/>
        <v>0</v>
      </c>
      <c r="K123" s="320">
        <f t="shared" si="34"/>
        <v>0</v>
      </c>
      <c r="L123" s="290"/>
      <c r="M123" s="291"/>
      <c r="N123" s="272">
        <f t="shared" ref="N123:N135" si="41">+SUM(F123:K123)</f>
        <v>100</v>
      </c>
      <c r="O123" s="274">
        <f t="shared" si="35"/>
        <v>-340</v>
      </c>
      <c r="P123" s="274">
        <f t="shared" si="36"/>
        <v>60</v>
      </c>
      <c r="Q123" s="274">
        <f t="shared" si="37"/>
        <v>40</v>
      </c>
      <c r="R123" s="274">
        <f t="shared" si="38"/>
        <v>0</v>
      </c>
      <c r="S123" s="274">
        <f t="shared" si="39"/>
        <v>0</v>
      </c>
      <c r="T123" s="274">
        <f t="shared" si="40"/>
        <v>0</v>
      </c>
    </row>
    <row r="124" spans="1:20" hidden="1" outlineLevel="1" x14ac:dyDescent="0.2">
      <c r="A124" s="320">
        <f t="shared" si="32"/>
        <v>111</v>
      </c>
      <c r="B124" s="398" t="str">
        <f t="shared" si="32"/>
        <v>Vigas Secundarias de concreto armado</v>
      </c>
      <c r="C124" s="320"/>
      <c r="D124" s="320"/>
      <c r="E124" s="320"/>
      <c r="F124" s="320">
        <f t="shared" si="33"/>
        <v>0</v>
      </c>
      <c r="G124" s="320">
        <f t="shared" si="33"/>
        <v>100</v>
      </c>
      <c r="H124" s="320">
        <f t="shared" si="33"/>
        <v>0</v>
      </c>
      <c r="I124" s="320">
        <f t="shared" si="33"/>
        <v>0</v>
      </c>
      <c r="J124" s="320">
        <f t="shared" si="33"/>
        <v>0</v>
      </c>
      <c r="K124" s="320">
        <f t="shared" si="34"/>
        <v>0</v>
      </c>
      <c r="L124" s="290"/>
      <c r="M124" s="291"/>
      <c r="N124" s="272">
        <f t="shared" si="41"/>
        <v>100</v>
      </c>
      <c r="O124" s="274">
        <f t="shared" si="35"/>
        <v>-300</v>
      </c>
      <c r="P124" s="274">
        <f t="shared" si="36"/>
        <v>100</v>
      </c>
      <c r="Q124" s="274">
        <f t="shared" si="37"/>
        <v>0</v>
      </c>
      <c r="R124" s="274">
        <f t="shared" si="38"/>
        <v>0</v>
      </c>
      <c r="S124" s="274">
        <f t="shared" si="39"/>
        <v>0</v>
      </c>
      <c r="T124" s="274">
        <f t="shared" si="40"/>
        <v>0</v>
      </c>
    </row>
    <row r="125" spans="1:20" hidden="1" outlineLevel="1" x14ac:dyDescent="0.2">
      <c r="A125" s="320">
        <f t="shared" si="32"/>
        <v>202</v>
      </c>
      <c r="B125" s="398" t="str">
        <f t="shared" si="32"/>
        <v>Elevación Cuerpo del Estribo de Concreto Armado</v>
      </c>
      <c r="C125" s="320"/>
      <c r="D125" s="320"/>
      <c r="E125" s="320"/>
      <c r="F125" s="320">
        <f t="shared" si="33"/>
        <v>0</v>
      </c>
      <c r="G125" s="320">
        <f t="shared" si="33"/>
        <v>100</v>
      </c>
      <c r="H125" s="320">
        <f t="shared" si="33"/>
        <v>0</v>
      </c>
      <c r="I125" s="320">
        <f t="shared" si="33"/>
        <v>0</v>
      </c>
      <c r="J125" s="320">
        <f t="shared" si="33"/>
        <v>0</v>
      </c>
      <c r="K125" s="320">
        <f t="shared" si="34"/>
        <v>0</v>
      </c>
      <c r="L125" s="290"/>
      <c r="M125" s="291"/>
      <c r="N125" s="272">
        <f>+SUM(F125:K125)</f>
        <v>100</v>
      </c>
      <c r="O125" s="274">
        <f t="shared" si="35"/>
        <v>-300</v>
      </c>
      <c r="P125" s="274">
        <f t="shared" si="36"/>
        <v>100</v>
      </c>
      <c r="Q125" s="274">
        <f t="shared" si="37"/>
        <v>0</v>
      </c>
      <c r="R125" s="274">
        <f t="shared" si="38"/>
        <v>0</v>
      </c>
      <c r="S125" s="274">
        <f t="shared" si="39"/>
        <v>0</v>
      </c>
      <c r="T125" s="274">
        <f t="shared" si="40"/>
        <v>0</v>
      </c>
    </row>
    <row r="126" spans="1:20" hidden="1" outlineLevel="1" x14ac:dyDescent="0.2">
      <c r="A126" s="320">
        <f t="shared" si="32"/>
        <v>205</v>
      </c>
      <c r="B126" s="398" t="str">
        <f t="shared" si="32"/>
        <v>Elevación Alas del Estribo de Concreto Armado</v>
      </c>
      <c r="C126" s="320"/>
      <c r="D126" s="320"/>
      <c r="E126" s="320"/>
      <c r="F126" s="320">
        <f t="shared" si="33"/>
        <v>0</v>
      </c>
      <c r="G126" s="320">
        <f t="shared" si="33"/>
        <v>100</v>
      </c>
      <c r="H126" s="320">
        <f t="shared" si="33"/>
        <v>0</v>
      </c>
      <c r="I126" s="320">
        <f t="shared" si="33"/>
        <v>0</v>
      </c>
      <c r="J126" s="320">
        <f t="shared" si="33"/>
        <v>0</v>
      </c>
      <c r="K126" s="320">
        <f t="shared" si="34"/>
        <v>0</v>
      </c>
      <c r="L126" s="290"/>
      <c r="M126" s="291"/>
      <c r="N126" s="272">
        <f>+SUM(F126:K126)</f>
        <v>100</v>
      </c>
      <c r="O126" s="274">
        <f t="shared" si="35"/>
        <v>-300</v>
      </c>
      <c r="P126" s="274">
        <f t="shared" si="36"/>
        <v>100</v>
      </c>
      <c r="Q126" s="274">
        <f t="shared" si="37"/>
        <v>0</v>
      </c>
      <c r="R126" s="274">
        <f t="shared" si="38"/>
        <v>0</v>
      </c>
      <c r="S126" s="274">
        <f t="shared" si="39"/>
        <v>0</v>
      </c>
      <c r="T126" s="274">
        <f t="shared" si="40"/>
        <v>0</v>
      </c>
    </row>
    <row r="127" spans="1:20" hidden="1" outlineLevel="1" x14ac:dyDescent="0.2">
      <c r="A127" s="320">
        <f t="shared" si="32"/>
        <v>302</v>
      </c>
      <c r="B127" s="398" t="str">
        <f t="shared" si="32"/>
        <v>Capa Concreto Pobre</v>
      </c>
      <c r="C127" s="320"/>
      <c r="D127" s="320"/>
      <c r="E127" s="320"/>
      <c r="F127" s="320">
        <f t="shared" si="33"/>
        <v>0</v>
      </c>
      <c r="G127" s="320">
        <f t="shared" si="33"/>
        <v>100</v>
      </c>
      <c r="H127" s="320">
        <f t="shared" si="33"/>
        <v>0</v>
      </c>
      <c r="I127" s="320">
        <f t="shared" si="33"/>
        <v>0</v>
      </c>
      <c r="J127" s="320">
        <f t="shared" si="33"/>
        <v>0</v>
      </c>
      <c r="K127" s="320">
        <f t="shared" si="34"/>
        <v>0</v>
      </c>
      <c r="L127" s="290"/>
      <c r="M127" s="291"/>
      <c r="N127" s="272">
        <f t="shared" si="41"/>
        <v>100</v>
      </c>
      <c r="O127" s="274">
        <f t="shared" si="35"/>
        <v>-300</v>
      </c>
      <c r="P127" s="274">
        <f t="shared" si="36"/>
        <v>100</v>
      </c>
      <c r="Q127" s="274">
        <f t="shared" si="37"/>
        <v>0</v>
      </c>
      <c r="R127" s="274">
        <f t="shared" si="38"/>
        <v>0</v>
      </c>
      <c r="S127" s="274">
        <f t="shared" si="39"/>
        <v>0</v>
      </c>
      <c r="T127" s="274">
        <f t="shared" si="40"/>
        <v>0</v>
      </c>
    </row>
    <row r="128" spans="1:20" hidden="1" outlineLevel="1" x14ac:dyDescent="0.2">
      <c r="A128" s="320">
        <f t="shared" si="32"/>
        <v>311</v>
      </c>
      <c r="B128" s="398" t="str">
        <f t="shared" si="32"/>
        <v>Vereda Concreto</v>
      </c>
      <c r="C128" s="321"/>
      <c r="D128" s="321"/>
      <c r="E128" s="321"/>
      <c r="F128" s="320">
        <f t="shared" si="33"/>
        <v>0</v>
      </c>
      <c r="G128" s="320">
        <f t="shared" si="33"/>
        <v>20</v>
      </c>
      <c r="H128" s="320">
        <f t="shared" si="33"/>
        <v>40</v>
      </c>
      <c r="I128" s="320">
        <f t="shared" si="33"/>
        <v>40</v>
      </c>
      <c r="J128" s="320">
        <f t="shared" si="33"/>
        <v>0</v>
      </c>
      <c r="K128" s="320">
        <f t="shared" si="34"/>
        <v>0</v>
      </c>
      <c r="L128" s="290"/>
      <c r="M128" s="293"/>
      <c r="N128" s="272">
        <f t="shared" si="41"/>
        <v>100</v>
      </c>
      <c r="O128" s="274">
        <f t="shared" si="35"/>
        <v>-380</v>
      </c>
      <c r="P128" s="274">
        <f t="shared" si="36"/>
        <v>20</v>
      </c>
      <c r="Q128" s="274">
        <f t="shared" si="37"/>
        <v>40</v>
      </c>
      <c r="R128" s="274">
        <f t="shared" si="38"/>
        <v>40</v>
      </c>
      <c r="S128" s="274">
        <f t="shared" si="39"/>
        <v>0</v>
      </c>
      <c r="T128" s="274">
        <f t="shared" si="40"/>
        <v>0</v>
      </c>
    </row>
    <row r="129" spans="1:20" hidden="1" outlineLevel="1" x14ac:dyDescent="0.2">
      <c r="A129" s="320">
        <f t="shared" si="32"/>
        <v>353</v>
      </c>
      <c r="B129" s="398" t="str">
        <f t="shared" si="32"/>
        <v>Barandas de Acero</v>
      </c>
      <c r="C129" s="320"/>
      <c r="D129" s="320"/>
      <c r="E129" s="320"/>
      <c r="F129" s="320">
        <f t="shared" si="33"/>
        <v>0</v>
      </c>
      <c r="G129" s="320">
        <f t="shared" si="33"/>
        <v>100</v>
      </c>
      <c r="H129" s="320">
        <f t="shared" si="33"/>
        <v>0</v>
      </c>
      <c r="I129" s="320">
        <f t="shared" si="33"/>
        <v>0</v>
      </c>
      <c r="J129" s="320">
        <f t="shared" si="33"/>
        <v>0</v>
      </c>
      <c r="K129" s="320">
        <f t="shared" si="34"/>
        <v>0</v>
      </c>
      <c r="L129" s="290"/>
      <c r="M129" s="291"/>
      <c r="N129" s="272">
        <f t="shared" si="41"/>
        <v>100</v>
      </c>
      <c r="O129" s="274">
        <f t="shared" si="35"/>
        <v>-300</v>
      </c>
      <c r="P129" s="274">
        <f t="shared" si="36"/>
        <v>100</v>
      </c>
      <c r="Q129" s="274">
        <f t="shared" si="37"/>
        <v>0</v>
      </c>
      <c r="R129" s="274">
        <f t="shared" si="38"/>
        <v>0</v>
      </c>
      <c r="S129" s="274">
        <f t="shared" si="39"/>
        <v>0</v>
      </c>
      <c r="T129" s="274">
        <f t="shared" si="40"/>
        <v>0</v>
      </c>
    </row>
    <row r="130" spans="1:20" hidden="1" outlineLevel="1" x14ac:dyDescent="0.2">
      <c r="A130" s="320">
        <f t="shared" si="32"/>
        <v>372</v>
      </c>
      <c r="B130" s="398" t="str">
        <f t="shared" si="32"/>
        <v>Tuberías PVC</v>
      </c>
      <c r="C130" s="320"/>
      <c r="D130" s="320"/>
      <c r="E130" s="320"/>
      <c r="F130" s="320">
        <f t="shared" si="33"/>
        <v>0</v>
      </c>
      <c r="G130" s="320">
        <f t="shared" si="33"/>
        <v>0</v>
      </c>
      <c r="H130" s="320">
        <f t="shared" si="33"/>
        <v>0</v>
      </c>
      <c r="I130" s="320">
        <f t="shared" si="33"/>
        <v>100</v>
      </c>
      <c r="J130" s="320">
        <f t="shared" si="33"/>
        <v>0</v>
      </c>
      <c r="K130" s="320">
        <f t="shared" si="34"/>
        <v>0</v>
      </c>
      <c r="L130" s="290"/>
      <c r="M130" s="291"/>
      <c r="N130" s="272">
        <f t="shared" si="41"/>
        <v>100</v>
      </c>
      <c r="O130" s="274">
        <f t="shared" si="35"/>
        <v>-300</v>
      </c>
      <c r="P130" s="274">
        <f t="shared" si="36"/>
        <v>-300</v>
      </c>
      <c r="Q130" s="274">
        <f t="shared" si="37"/>
        <v>-300</v>
      </c>
      <c r="R130" s="274">
        <f t="shared" si="38"/>
        <v>100</v>
      </c>
      <c r="S130" s="274">
        <f t="shared" si="39"/>
        <v>0</v>
      </c>
      <c r="T130" s="274">
        <f t="shared" si="40"/>
        <v>0</v>
      </c>
    </row>
    <row r="131" spans="1:20" hidden="1" outlineLevel="1" x14ac:dyDescent="0.2">
      <c r="A131" s="320">
        <f t="shared" si="32"/>
        <v>401</v>
      </c>
      <c r="B131" s="398" t="str">
        <f t="shared" si="32"/>
        <v>Márgenes del río</v>
      </c>
      <c r="C131" s="320"/>
      <c r="D131" s="320"/>
      <c r="E131" s="320"/>
      <c r="F131" s="320">
        <f t="shared" si="33"/>
        <v>0</v>
      </c>
      <c r="G131" s="320">
        <f t="shared" si="33"/>
        <v>0</v>
      </c>
      <c r="H131" s="320">
        <f t="shared" si="33"/>
        <v>100</v>
      </c>
      <c r="I131" s="320">
        <f t="shared" si="33"/>
        <v>0</v>
      </c>
      <c r="J131" s="320">
        <f t="shared" si="33"/>
        <v>0</v>
      </c>
      <c r="K131" s="320">
        <f t="shared" si="34"/>
        <v>0</v>
      </c>
      <c r="L131" s="290"/>
      <c r="M131" s="291"/>
      <c r="N131" s="272">
        <f t="shared" si="41"/>
        <v>100</v>
      </c>
      <c r="O131" s="274">
        <f t="shared" si="35"/>
        <v>0</v>
      </c>
      <c r="P131" s="274">
        <f t="shared" si="36"/>
        <v>0</v>
      </c>
      <c r="Q131" s="274">
        <f t="shared" si="37"/>
        <v>100</v>
      </c>
      <c r="R131" s="274">
        <f t="shared" si="38"/>
        <v>0</v>
      </c>
      <c r="S131" s="274">
        <f t="shared" si="39"/>
        <v>0</v>
      </c>
      <c r="T131" s="274">
        <f t="shared" si="40"/>
        <v>0</v>
      </c>
    </row>
    <row r="132" spans="1:20" hidden="1" outlineLevel="1" x14ac:dyDescent="0.2">
      <c r="A132" s="320">
        <f t="shared" si="32"/>
        <v>402</v>
      </c>
      <c r="B132" s="398" t="str">
        <f t="shared" si="32"/>
        <v>Lecho del río</v>
      </c>
      <c r="C132" s="320"/>
      <c r="D132" s="320"/>
      <c r="E132" s="320"/>
      <c r="F132" s="320">
        <f t="shared" si="33"/>
        <v>0</v>
      </c>
      <c r="G132" s="320">
        <f t="shared" si="33"/>
        <v>100</v>
      </c>
      <c r="H132" s="320">
        <f t="shared" si="33"/>
        <v>0</v>
      </c>
      <c r="I132" s="320">
        <f t="shared" si="33"/>
        <v>0</v>
      </c>
      <c r="J132" s="320">
        <f t="shared" si="33"/>
        <v>0</v>
      </c>
      <c r="K132" s="320">
        <f t="shared" si="34"/>
        <v>0</v>
      </c>
      <c r="L132" s="290"/>
      <c r="M132" s="291"/>
      <c r="N132" s="272">
        <f t="shared" si="41"/>
        <v>100</v>
      </c>
      <c r="O132" s="274">
        <f t="shared" si="35"/>
        <v>-300</v>
      </c>
      <c r="P132" s="274">
        <f t="shared" si="36"/>
        <v>100</v>
      </c>
      <c r="Q132" s="274">
        <f t="shared" si="37"/>
        <v>0</v>
      </c>
      <c r="R132" s="274">
        <f t="shared" si="38"/>
        <v>0</v>
      </c>
      <c r="S132" s="274">
        <f t="shared" si="39"/>
        <v>0</v>
      </c>
      <c r="T132" s="274">
        <f t="shared" si="40"/>
        <v>0</v>
      </c>
    </row>
    <row r="133" spans="1:20" hidden="1" outlineLevel="1" x14ac:dyDescent="0.2">
      <c r="A133" s="320">
        <f t="shared" si="32"/>
        <v>501</v>
      </c>
      <c r="B133" s="398" t="str">
        <f t="shared" si="32"/>
        <v>Señalización</v>
      </c>
      <c r="C133" s="320"/>
      <c r="D133" s="320"/>
      <c r="E133" s="320"/>
      <c r="F133" s="320">
        <f t="shared" si="33"/>
        <v>0</v>
      </c>
      <c r="G133" s="320">
        <f t="shared" si="33"/>
        <v>100</v>
      </c>
      <c r="H133" s="320">
        <f t="shared" si="33"/>
        <v>0</v>
      </c>
      <c r="I133" s="320">
        <f t="shared" si="33"/>
        <v>0</v>
      </c>
      <c r="J133" s="320">
        <f t="shared" si="33"/>
        <v>0</v>
      </c>
      <c r="K133" s="320">
        <f t="shared" si="34"/>
        <v>0</v>
      </c>
      <c r="L133" s="290"/>
      <c r="M133" s="291"/>
      <c r="N133" s="272">
        <f>+SUM(F133:K133)</f>
        <v>100</v>
      </c>
      <c r="O133" s="274">
        <f t="shared" si="35"/>
        <v>-300</v>
      </c>
      <c r="P133" s="274">
        <f t="shared" si="36"/>
        <v>100</v>
      </c>
      <c r="Q133" s="274">
        <f t="shared" si="37"/>
        <v>0</v>
      </c>
      <c r="R133" s="274">
        <f t="shared" si="38"/>
        <v>0</v>
      </c>
      <c r="S133" s="274">
        <f t="shared" si="39"/>
        <v>0</v>
      </c>
      <c r="T133" s="274">
        <f t="shared" si="40"/>
        <v>0</v>
      </c>
    </row>
    <row r="134" spans="1:20" hidden="1" outlineLevel="1" x14ac:dyDescent="0.2">
      <c r="A134" s="320">
        <f t="shared" si="32"/>
        <v>511</v>
      </c>
      <c r="B134" s="398" t="str">
        <f t="shared" si="32"/>
        <v>Pavimento/Afirmado</v>
      </c>
      <c r="C134" s="320"/>
      <c r="D134" s="320"/>
      <c r="E134" s="320"/>
      <c r="F134" s="320">
        <f t="shared" si="33"/>
        <v>0</v>
      </c>
      <c r="G134" s="320">
        <f t="shared" si="33"/>
        <v>0</v>
      </c>
      <c r="H134" s="320">
        <f t="shared" si="33"/>
        <v>0</v>
      </c>
      <c r="I134" s="320">
        <f t="shared" si="33"/>
        <v>100</v>
      </c>
      <c r="J134" s="320">
        <f t="shared" si="33"/>
        <v>0</v>
      </c>
      <c r="K134" s="320">
        <f t="shared" si="34"/>
        <v>0</v>
      </c>
      <c r="L134" s="290"/>
      <c r="M134" s="291"/>
      <c r="N134" s="272">
        <f t="shared" si="41"/>
        <v>100</v>
      </c>
      <c r="O134" s="274">
        <f t="shared" si="35"/>
        <v>-100</v>
      </c>
      <c r="P134" s="274">
        <f t="shared" si="36"/>
        <v>-100</v>
      </c>
      <c r="Q134" s="274">
        <f t="shared" si="37"/>
        <v>-100</v>
      </c>
      <c r="R134" s="274">
        <f t="shared" si="38"/>
        <v>100</v>
      </c>
      <c r="S134" s="274">
        <f t="shared" si="39"/>
        <v>0</v>
      </c>
      <c r="T134" s="274">
        <f t="shared" si="40"/>
        <v>0</v>
      </c>
    </row>
    <row r="135" spans="1:20" hidden="1" outlineLevel="1" x14ac:dyDescent="0.2">
      <c r="A135" s="320">
        <f t="shared" si="32"/>
        <v>530</v>
      </c>
      <c r="B135" s="398" t="str">
        <f t="shared" si="32"/>
        <v>Visibilidad</v>
      </c>
      <c r="C135" s="320"/>
      <c r="D135" s="320"/>
      <c r="E135" s="320"/>
      <c r="F135" s="320">
        <f t="shared" si="33"/>
        <v>0</v>
      </c>
      <c r="G135" s="320">
        <f t="shared" si="33"/>
        <v>0</v>
      </c>
      <c r="H135" s="320">
        <f t="shared" si="33"/>
        <v>100</v>
      </c>
      <c r="I135" s="320">
        <f t="shared" si="33"/>
        <v>0</v>
      </c>
      <c r="J135" s="320">
        <f t="shared" si="33"/>
        <v>0</v>
      </c>
      <c r="K135" s="320">
        <f t="shared" si="34"/>
        <v>0</v>
      </c>
      <c r="L135" s="290"/>
      <c r="M135" s="291"/>
      <c r="N135" s="272">
        <f t="shared" si="41"/>
        <v>100</v>
      </c>
      <c r="O135" s="274">
        <f t="shared" si="35"/>
        <v>-300</v>
      </c>
      <c r="P135" s="274">
        <f t="shared" si="36"/>
        <v>-300</v>
      </c>
      <c r="Q135" s="274">
        <f t="shared" si="37"/>
        <v>100</v>
      </c>
      <c r="R135" s="274">
        <f t="shared" si="38"/>
        <v>0</v>
      </c>
      <c r="S135" s="274">
        <f t="shared" si="39"/>
        <v>0</v>
      </c>
      <c r="T135" s="274">
        <f t="shared" si="40"/>
        <v>0</v>
      </c>
    </row>
    <row r="136" spans="1:20" hidden="1" outlineLevel="1" x14ac:dyDescent="0.2">
      <c r="A136" s="320">
        <f t="shared" si="32"/>
        <v>0</v>
      </c>
      <c r="B136" s="398">
        <f t="shared" si="32"/>
        <v>0</v>
      </c>
      <c r="C136" s="320"/>
      <c r="D136" s="320"/>
      <c r="E136" s="320"/>
      <c r="F136" s="320">
        <f t="shared" ref="F136:F151" si="42">+IF(O136&gt;0,O136,0)</f>
        <v>0</v>
      </c>
      <c r="G136" s="320">
        <f t="shared" ref="G136:G151" si="43">+IF(P136&gt;0,P136,0)</f>
        <v>0</v>
      </c>
      <c r="H136" s="320">
        <f t="shared" ref="H136:H151" si="44">+IF(Q136&gt;0,Q136,0)</f>
        <v>0</v>
      </c>
      <c r="I136" s="320">
        <f t="shared" ref="I136:I151" si="45">+IF(R136&gt;0,R136,0)</f>
        <v>0</v>
      </c>
      <c r="J136" s="320">
        <f t="shared" ref="J136:J151" si="46">+IF(S136&gt;0,S136,0)</f>
        <v>0</v>
      </c>
      <c r="K136" s="320">
        <f t="shared" ref="K136:K151" si="47">+K101</f>
        <v>0</v>
      </c>
      <c r="L136" s="290"/>
      <c r="M136" s="291"/>
      <c r="N136" s="272">
        <f t="shared" ref="N136:N151" si="48">+SUM(F136:K136)</f>
        <v>0</v>
      </c>
      <c r="O136" s="274">
        <f t="shared" ref="O136:O151" si="49">IF(F101+G101+H101+I101+J101+K101&gt;=100,100-G101-H101-I101-J101-K101,F101)</f>
        <v>0</v>
      </c>
      <c r="P136" s="274">
        <f t="shared" ref="P136:P151" si="50">IF(G101+H101+I101+J101+K101&gt;=100,100-H101-I101-J101-K101,G101)</f>
        <v>0</v>
      </c>
      <c r="Q136" s="274">
        <f t="shared" ref="Q136:Q151" si="51">IF(H101+I101+J101+K101&gt;=100,100-I101-J101-K101,H101)</f>
        <v>0</v>
      </c>
      <c r="R136" s="274">
        <f t="shared" ref="R136:R151" si="52">IF(I101+J101+K101&gt;=100,100-J101-K101,I101)</f>
        <v>0</v>
      </c>
      <c r="S136" s="274">
        <f t="shared" ref="S136:S151" si="53">+IF(J101+K101&gt;100,100-K101,J101)</f>
        <v>0</v>
      </c>
      <c r="T136" s="274">
        <f t="shared" ref="T136:T151" si="54">+K101</f>
        <v>0</v>
      </c>
    </row>
    <row r="137" spans="1:20" hidden="1" outlineLevel="1" x14ac:dyDescent="0.2">
      <c r="A137" s="320">
        <f t="shared" si="32"/>
        <v>0</v>
      </c>
      <c r="B137" s="398">
        <f t="shared" si="32"/>
        <v>0</v>
      </c>
      <c r="C137" s="320"/>
      <c r="D137" s="320"/>
      <c r="E137" s="320"/>
      <c r="F137" s="320">
        <f t="shared" si="42"/>
        <v>0</v>
      </c>
      <c r="G137" s="320">
        <f t="shared" si="43"/>
        <v>0</v>
      </c>
      <c r="H137" s="320">
        <f t="shared" si="44"/>
        <v>0</v>
      </c>
      <c r="I137" s="320">
        <f t="shared" si="45"/>
        <v>0</v>
      </c>
      <c r="J137" s="320">
        <f t="shared" si="46"/>
        <v>0</v>
      </c>
      <c r="K137" s="320">
        <f t="shared" si="47"/>
        <v>0</v>
      </c>
      <c r="L137" s="290"/>
      <c r="M137" s="291"/>
      <c r="N137" s="272">
        <f t="shared" si="48"/>
        <v>0</v>
      </c>
      <c r="O137" s="274">
        <f t="shared" si="49"/>
        <v>0</v>
      </c>
      <c r="P137" s="274">
        <f t="shared" si="50"/>
        <v>0</v>
      </c>
      <c r="Q137" s="274">
        <f t="shared" si="51"/>
        <v>0</v>
      </c>
      <c r="R137" s="274">
        <f t="shared" si="52"/>
        <v>0</v>
      </c>
      <c r="S137" s="274">
        <f t="shared" si="53"/>
        <v>0</v>
      </c>
      <c r="T137" s="274">
        <f t="shared" si="54"/>
        <v>0</v>
      </c>
    </row>
    <row r="138" spans="1:20" hidden="1" outlineLevel="1" x14ac:dyDescent="0.2">
      <c r="A138" s="320">
        <f t="shared" si="32"/>
        <v>0</v>
      </c>
      <c r="B138" s="398">
        <f t="shared" si="32"/>
        <v>0</v>
      </c>
      <c r="C138" s="320"/>
      <c r="D138" s="320"/>
      <c r="E138" s="320"/>
      <c r="F138" s="320">
        <f t="shared" si="42"/>
        <v>0</v>
      </c>
      <c r="G138" s="320">
        <f t="shared" si="43"/>
        <v>0</v>
      </c>
      <c r="H138" s="320">
        <f t="shared" si="44"/>
        <v>0</v>
      </c>
      <c r="I138" s="320">
        <f t="shared" si="45"/>
        <v>0</v>
      </c>
      <c r="J138" s="320">
        <f t="shared" si="46"/>
        <v>0</v>
      </c>
      <c r="K138" s="320">
        <f t="shared" si="47"/>
        <v>0</v>
      </c>
      <c r="L138" s="290"/>
      <c r="M138" s="291"/>
      <c r="N138" s="272">
        <f t="shared" si="48"/>
        <v>0</v>
      </c>
      <c r="O138" s="274">
        <f t="shared" si="49"/>
        <v>0</v>
      </c>
      <c r="P138" s="274">
        <f t="shared" si="50"/>
        <v>0</v>
      </c>
      <c r="Q138" s="274">
        <f t="shared" si="51"/>
        <v>0</v>
      </c>
      <c r="R138" s="274">
        <f t="shared" si="52"/>
        <v>0</v>
      </c>
      <c r="S138" s="274">
        <f t="shared" si="53"/>
        <v>0</v>
      </c>
      <c r="T138" s="274">
        <f t="shared" si="54"/>
        <v>0</v>
      </c>
    </row>
    <row r="139" spans="1:20" hidden="1" outlineLevel="1" x14ac:dyDescent="0.2">
      <c r="A139" s="320">
        <f t="shared" si="32"/>
        <v>0</v>
      </c>
      <c r="B139" s="398">
        <f t="shared" si="32"/>
        <v>0</v>
      </c>
      <c r="C139" s="320"/>
      <c r="D139" s="320"/>
      <c r="E139" s="320"/>
      <c r="F139" s="320">
        <f t="shared" si="42"/>
        <v>0</v>
      </c>
      <c r="G139" s="320">
        <f t="shared" si="43"/>
        <v>0</v>
      </c>
      <c r="H139" s="320">
        <f t="shared" si="44"/>
        <v>0</v>
      </c>
      <c r="I139" s="320">
        <f t="shared" si="45"/>
        <v>0</v>
      </c>
      <c r="J139" s="320">
        <f t="shared" si="46"/>
        <v>0</v>
      </c>
      <c r="K139" s="320">
        <f t="shared" si="47"/>
        <v>0</v>
      </c>
      <c r="L139" s="290"/>
      <c r="M139" s="291"/>
      <c r="N139" s="272">
        <f t="shared" si="48"/>
        <v>0</v>
      </c>
      <c r="O139" s="274">
        <f t="shared" si="49"/>
        <v>0</v>
      </c>
      <c r="P139" s="274">
        <f t="shared" si="50"/>
        <v>0</v>
      </c>
      <c r="Q139" s="274">
        <f t="shared" si="51"/>
        <v>0</v>
      </c>
      <c r="R139" s="274">
        <f t="shared" si="52"/>
        <v>0</v>
      </c>
      <c r="S139" s="274">
        <f t="shared" si="53"/>
        <v>0</v>
      </c>
      <c r="T139" s="274">
        <f t="shared" si="54"/>
        <v>0</v>
      </c>
    </row>
    <row r="140" spans="1:20" hidden="1" outlineLevel="1" x14ac:dyDescent="0.2">
      <c r="A140" s="320">
        <f t="shared" si="32"/>
        <v>0</v>
      </c>
      <c r="B140" s="398">
        <f t="shared" si="32"/>
        <v>0</v>
      </c>
      <c r="C140" s="320"/>
      <c r="D140" s="320"/>
      <c r="E140" s="320"/>
      <c r="F140" s="320">
        <f t="shared" si="42"/>
        <v>0</v>
      </c>
      <c r="G140" s="320">
        <f t="shared" si="43"/>
        <v>0</v>
      </c>
      <c r="H140" s="320">
        <f t="shared" si="44"/>
        <v>0</v>
      </c>
      <c r="I140" s="320">
        <f t="shared" si="45"/>
        <v>0</v>
      </c>
      <c r="J140" s="320">
        <f t="shared" si="46"/>
        <v>0</v>
      </c>
      <c r="K140" s="320">
        <f t="shared" si="47"/>
        <v>0</v>
      </c>
      <c r="L140" s="290"/>
      <c r="M140" s="291"/>
      <c r="N140" s="272">
        <f t="shared" si="48"/>
        <v>0</v>
      </c>
      <c r="O140" s="274">
        <f t="shared" si="49"/>
        <v>0</v>
      </c>
      <c r="P140" s="274">
        <f t="shared" si="50"/>
        <v>0</v>
      </c>
      <c r="Q140" s="274">
        <f t="shared" si="51"/>
        <v>0</v>
      </c>
      <c r="R140" s="274">
        <f t="shared" si="52"/>
        <v>0</v>
      </c>
      <c r="S140" s="274">
        <f t="shared" si="53"/>
        <v>0</v>
      </c>
      <c r="T140" s="274">
        <f t="shared" si="54"/>
        <v>0</v>
      </c>
    </row>
    <row r="141" spans="1:20" hidden="1" outlineLevel="1" x14ac:dyDescent="0.2">
      <c r="A141" s="320">
        <f t="shared" si="32"/>
        <v>0</v>
      </c>
      <c r="B141" s="398">
        <f t="shared" si="32"/>
        <v>0</v>
      </c>
      <c r="C141" s="320"/>
      <c r="D141" s="320"/>
      <c r="E141" s="320"/>
      <c r="F141" s="320">
        <f t="shared" si="42"/>
        <v>0</v>
      </c>
      <c r="G141" s="320">
        <f t="shared" si="43"/>
        <v>0</v>
      </c>
      <c r="H141" s="320">
        <f t="shared" si="44"/>
        <v>0</v>
      </c>
      <c r="I141" s="320">
        <f t="shared" si="45"/>
        <v>0</v>
      </c>
      <c r="J141" s="320">
        <f t="shared" si="46"/>
        <v>0</v>
      </c>
      <c r="K141" s="320">
        <f t="shared" si="47"/>
        <v>0</v>
      </c>
      <c r="L141" s="290"/>
      <c r="M141" s="291"/>
      <c r="N141" s="272">
        <f t="shared" si="48"/>
        <v>0</v>
      </c>
      <c r="O141" s="274">
        <f t="shared" si="49"/>
        <v>0</v>
      </c>
      <c r="P141" s="274">
        <f t="shared" si="50"/>
        <v>0</v>
      </c>
      <c r="Q141" s="274">
        <f t="shared" si="51"/>
        <v>0</v>
      </c>
      <c r="R141" s="274">
        <f t="shared" si="52"/>
        <v>0</v>
      </c>
      <c r="S141" s="274">
        <f t="shared" si="53"/>
        <v>0</v>
      </c>
      <c r="T141" s="274">
        <f t="shared" si="54"/>
        <v>0</v>
      </c>
    </row>
    <row r="142" spans="1:20" hidden="1" outlineLevel="1" x14ac:dyDescent="0.2">
      <c r="A142" s="320">
        <f t="shared" si="32"/>
        <v>0</v>
      </c>
      <c r="B142" s="398">
        <f t="shared" si="32"/>
        <v>0</v>
      </c>
      <c r="C142" s="320"/>
      <c r="D142" s="320"/>
      <c r="E142" s="320"/>
      <c r="F142" s="320">
        <f t="shared" si="42"/>
        <v>0</v>
      </c>
      <c r="G142" s="320">
        <f t="shared" si="43"/>
        <v>0</v>
      </c>
      <c r="H142" s="320">
        <f t="shared" si="44"/>
        <v>0</v>
      </c>
      <c r="I142" s="320">
        <f t="shared" si="45"/>
        <v>0</v>
      </c>
      <c r="J142" s="320">
        <f t="shared" si="46"/>
        <v>0</v>
      </c>
      <c r="K142" s="320">
        <f t="shared" si="47"/>
        <v>0</v>
      </c>
      <c r="L142" s="290"/>
      <c r="M142" s="291"/>
      <c r="N142" s="272">
        <f t="shared" si="48"/>
        <v>0</v>
      </c>
      <c r="O142" s="274">
        <f t="shared" si="49"/>
        <v>0</v>
      </c>
      <c r="P142" s="274">
        <f t="shared" si="50"/>
        <v>0</v>
      </c>
      <c r="Q142" s="274">
        <f t="shared" si="51"/>
        <v>0</v>
      </c>
      <c r="R142" s="274">
        <f t="shared" si="52"/>
        <v>0</v>
      </c>
      <c r="S142" s="274">
        <f t="shared" si="53"/>
        <v>0</v>
      </c>
      <c r="T142" s="274">
        <f t="shared" si="54"/>
        <v>0</v>
      </c>
    </row>
    <row r="143" spans="1:20" hidden="1" outlineLevel="1" x14ac:dyDescent="0.2">
      <c r="A143" s="320">
        <f t="shared" si="32"/>
        <v>0</v>
      </c>
      <c r="B143" s="398" t="str">
        <f t="shared" si="32"/>
        <v xml:space="preserve"> </v>
      </c>
      <c r="C143" s="320"/>
      <c r="D143" s="320"/>
      <c r="E143" s="320"/>
      <c r="F143" s="320">
        <f t="shared" si="42"/>
        <v>0</v>
      </c>
      <c r="G143" s="320">
        <f t="shared" si="43"/>
        <v>0</v>
      </c>
      <c r="H143" s="320">
        <f t="shared" si="44"/>
        <v>0</v>
      </c>
      <c r="I143" s="320">
        <f t="shared" si="45"/>
        <v>0</v>
      </c>
      <c r="J143" s="320">
        <f t="shared" si="46"/>
        <v>0</v>
      </c>
      <c r="K143" s="320">
        <f t="shared" si="47"/>
        <v>0</v>
      </c>
      <c r="L143" s="290"/>
      <c r="M143" s="291"/>
      <c r="N143" s="272">
        <f t="shared" si="48"/>
        <v>0</v>
      </c>
      <c r="O143" s="274">
        <f t="shared" si="49"/>
        <v>0</v>
      </c>
      <c r="P143" s="274">
        <f t="shared" si="50"/>
        <v>0</v>
      </c>
      <c r="Q143" s="274">
        <f t="shared" si="51"/>
        <v>0</v>
      </c>
      <c r="R143" s="274">
        <f t="shared" si="52"/>
        <v>0</v>
      </c>
      <c r="S143" s="274">
        <f t="shared" si="53"/>
        <v>0</v>
      </c>
      <c r="T143" s="274">
        <f t="shared" si="54"/>
        <v>0</v>
      </c>
    </row>
    <row r="144" spans="1:20" hidden="1" outlineLevel="1" x14ac:dyDescent="0.2">
      <c r="A144" s="320">
        <f t="shared" si="32"/>
        <v>0</v>
      </c>
      <c r="B144" s="398" t="str">
        <f t="shared" si="32"/>
        <v xml:space="preserve"> </v>
      </c>
      <c r="C144" s="320"/>
      <c r="D144" s="320"/>
      <c r="E144" s="320"/>
      <c r="F144" s="320">
        <f t="shared" si="42"/>
        <v>0</v>
      </c>
      <c r="G144" s="320">
        <f t="shared" si="43"/>
        <v>0</v>
      </c>
      <c r="H144" s="320">
        <f t="shared" si="44"/>
        <v>0</v>
      </c>
      <c r="I144" s="320">
        <f t="shared" si="45"/>
        <v>0</v>
      </c>
      <c r="J144" s="320">
        <f t="shared" si="46"/>
        <v>0</v>
      </c>
      <c r="K144" s="320">
        <f t="shared" si="47"/>
        <v>0</v>
      </c>
      <c r="L144" s="290"/>
      <c r="M144" s="291"/>
      <c r="N144" s="272">
        <f t="shared" si="48"/>
        <v>0</v>
      </c>
      <c r="O144" s="274">
        <f t="shared" si="49"/>
        <v>0</v>
      </c>
      <c r="P144" s="274">
        <f t="shared" si="50"/>
        <v>0</v>
      </c>
      <c r="Q144" s="274">
        <f t="shared" si="51"/>
        <v>0</v>
      </c>
      <c r="R144" s="274">
        <f t="shared" si="52"/>
        <v>0</v>
      </c>
      <c r="S144" s="274">
        <f t="shared" si="53"/>
        <v>0</v>
      </c>
      <c r="T144" s="274">
        <f t="shared" si="54"/>
        <v>0</v>
      </c>
    </row>
    <row r="145" spans="1:20" hidden="1" outlineLevel="1" x14ac:dyDescent="0.2">
      <c r="A145" s="320">
        <f t="shared" si="32"/>
        <v>0</v>
      </c>
      <c r="B145" s="398" t="str">
        <f t="shared" si="32"/>
        <v xml:space="preserve"> </v>
      </c>
      <c r="C145" s="320"/>
      <c r="D145" s="320"/>
      <c r="E145" s="320"/>
      <c r="F145" s="320">
        <f t="shared" si="42"/>
        <v>0</v>
      </c>
      <c r="G145" s="320">
        <f t="shared" si="43"/>
        <v>0</v>
      </c>
      <c r="H145" s="320">
        <f t="shared" si="44"/>
        <v>0</v>
      </c>
      <c r="I145" s="320">
        <f t="shared" si="45"/>
        <v>0</v>
      </c>
      <c r="J145" s="320">
        <f t="shared" si="46"/>
        <v>0</v>
      </c>
      <c r="K145" s="320">
        <f t="shared" si="47"/>
        <v>0</v>
      </c>
      <c r="L145" s="290"/>
      <c r="M145" s="291"/>
      <c r="N145" s="272">
        <f t="shared" si="48"/>
        <v>0</v>
      </c>
      <c r="O145" s="274">
        <f t="shared" si="49"/>
        <v>0</v>
      </c>
      <c r="P145" s="274">
        <f t="shared" si="50"/>
        <v>0</v>
      </c>
      <c r="Q145" s="274">
        <f t="shared" si="51"/>
        <v>0</v>
      </c>
      <c r="R145" s="274">
        <f t="shared" si="52"/>
        <v>0</v>
      </c>
      <c r="S145" s="274">
        <f t="shared" si="53"/>
        <v>0</v>
      </c>
      <c r="T145" s="274">
        <f t="shared" si="54"/>
        <v>0</v>
      </c>
    </row>
    <row r="146" spans="1:20" hidden="1" outlineLevel="1" x14ac:dyDescent="0.2">
      <c r="A146" s="320">
        <f t="shared" si="32"/>
        <v>0</v>
      </c>
      <c r="B146" s="398" t="str">
        <f t="shared" si="32"/>
        <v xml:space="preserve"> </v>
      </c>
      <c r="C146" s="320"/>
      <c r="D146" s="320"/>
      <c r="E146" s="320"/>
      <c r="F146" s="320">
        <f t="shared" si="42"/>
        <v>0</v>
      </c>
      <c r="G146" s="320">
        <f t="shared" si="43"/>
        <v>0</v>
      </c>
      <c r="H146" s="320">
        <f t="shared" si="44"/>
        <v>0</v>
      </c>
      <c r="I146" s="320">
        <f t="shared" si="45"/>
        <v>0</v>
      </c>
      <c r="J146" s="320">
        <f t="shared" si="46"/>
        <v>0</v>
      </c>
      <c r="K146" s="320">
        <f t="shared" si="47"/>
        <v>0</v>
      </c>
      <c r="L146" s="290"/>
      <c r="M146" s="291"/>
      <c r="N146" s="272">
        <f t="shared" si="48"/>
        <v>0</v>
      </c>
      <c r="O146" s="274">
        <f t="shared" si="49"/>
        <v>0</v>
      </c>
      <c r="P146" s="274">
        <f t="shared" si="50"/>
        <v>0</v>
      </c>
      <c r="Q146" s="274">
        <f t="shared" si="51"/>
        <v>0</v>
      </c>
      <c r="R146" s="274">
        <f t="shared" si="52"/>
        <v>0</v>
      </c>
      <c r="S146" s="274">
        <f t="shared" si="53"/>
        <v>0</v>
      </c>
      <c r="T146" s="274">
        <f t="shared" si="54"/>
        <v>0</v>
      </c>
    </row>
    <row r="147" spans="1:20" hidden="1" outlineLevel="1" x14ac:dyDescent="0.2">
      <c r="A147" s="320">
        <f t="shared" si="32"/>
        <v>0</v>
      </c>
      <c r="B147" s="398" t="str">
        <f t="shared" si="32"/>
        <v xml:space="preserve"> </v>
      </c>
      <c r="C147" s="320"/>
      <c r="D147" s="320"/>
      <c r="E147" s="320"/>
      <c r="F147" s="320">
        <f t="shared" si="42"/>
        <v>0</v>
      </c>
      <c r="G147" s="320">
        <f t="shared" si="43"/>
        <v>0</v>
      </c>
      <c r="H147" s="320">
        <f t="shared" si="44"/>
        <v>0</v>
      </c>
      <c r="I147" s="320">
        <f t="shared" si="45"/>
        <v>0</v>
      </c>
      <c r="J147" s="320">
        <f t="shared" si="46"/>
        <v>0</v>
      </c>
      <c r="K147" s="320">
        <f t="shared" si="47"/>
        <v>0</v>
      </c>
      <c r="L147" s="290"/>
      <c r="M147" s="291"/>
      <c r="N147" s="272">
        <f t="shared" si="48"/>
        <v>0</v>
      </c>
      <c r="O147" s="274">
        <f t="shared" si="49"/>
        <v>0</v>
      </c>
      <c r="P147" s="274">
        <f t="shared" si="50"/>
        <v>0</v>
      </c>
      <c r="Q147" s="274">
        <f t="shared" si="51"/>
        <v>0</v>
      </c>
      <c r="R147" s="274">
        <f t="shared" si="52"/>
        <v>0</v>
      </c>
      <c r="S147" s="274">
        <f t="shared" si="53"/>
        <v>0</v>
      </c>
      <c r="T147" s="274">
        <f t="shared" si="54"/>
        <v>0</v>
      </c>
    </row>
    <row r="148" spans="1:20" hidden="1" outlineLevel="1" x14ac:dyDescent="0.2">
      <c r="A148" s="320">
        <f t="shared" si="32"/>
        <v>0</v>
      </c>
      <c r="B148" s="398" t="str">
        <f t="shared" si="32"/>
        <v xml:space="preserve"> </v>
      </c>
      <c r="C148" s="320"/>
      <c r="D148" s="320"/>
      <c r="E148" s="320"/>
      <c r="F148" s="320">
        <f t="shared" si="42"/>
        <v>0</v>
      </c>
      <c r="G148" s="320">
        <f t="shared" si="43"/>
        <v>0</v>
      </c>
      <c r="H148" s="320">
        <f t="shared" si="44"/>
        <v>0</v>
      </c>
      <c r="I148" s="320">
        <f t="shared" si="45"/>
        <v>0</v>
      </c>
      <c r="J148" s="320">
        <f t="shared" si="46"/>
        <v>0</v>
      </c>
      <c r="K148" s="320">
        <f t="shared" si="47"/>
        <v>0</v>
      </c>
      <c r="L148" s="290"/>
      <c r="M148" s="291"/>
      <c r="N148" s="272">
        <f t="shared" si="48"/>
        <v>0</v>
      </c>
      <c r="O148" s="274">
        <f t="shared" si="49"/>
        <v>0</v>
      </c>
      <c r="P148" s="274">
        <f t="shared" si="50"/>
        <v>0</v>
      </c>
      <c r="Q148" s="274">
        <f t="shared" si="51"/>
        <v>0</v>
      </c>
      <c r="R148" s="274">
        <f t="shared" si="52"/>
        <v>0</v>
      </c>
      <c r="S148" s="274">
        <f t="shared" si="53"/>
        <v>0</v>
      </c>
      <c r="T148" s="274">
        <f t="shared" si="54"/>
        <v>0</v>
      </c>
    </row>
    <row r="149" spans="1:20" hidden="1" outlineLevel="1" x14ac:dyDescent="0.2">
      <c r="A149" s="320">
        <f t="shared" si="32"/>
        <v>0</v>
      </c>
      <c r="B149" s="398" t="str">
        <f t="shared" si="32"/>
        <v xml:space="preserve"> </v>
      </c>
      <c r="C149" s="320"/>
      <c r="D149" s="320"/>
      <c r="E149" s="320"/>
      <c r="F149" s="320">
        <f t="shared" si="42"/>
        <v>0</v>
      </c>
      <c r="G149" s="320">
        <f t="shared" si="43"/>
        <v>0</v>
      </c>
      <c r="H149" s="320">
        <f t="shared" si="44"/>
        <v>0</v>
      </c>
      <c r="I149" s="320">
        <f t="shared" si="45"/>
        <v>0</v>
      </c>
      <c r="J149" s="320">
        <f t="shared" si="46"/>
        <v>0</v>
      </c>
      <c r="K149" s="320">
        <f t="shared" si="47"/>
        <v>0</v>
      </c>
      <c r="L149" s="290"/>
      <c r="M149" s="291"/>
      <c r="N149" s="272">
        <f t="shared" si="48"/>
        <v>0</v>
      </c>
      <c r="O149" s="274">
        <f t="shared" si="49"/>
        <v>0</v>
      </c>
      <c r="P149" s="274">
        <f t="shared" si="50"/>
        <v>0</v>
      </c>
      <c r="Q149" s="274">
        <f t="shared" si="51"/>
        <v>0</v>
      </c>
      <c r="R149" s="274">
        <f t="shared" si="52"/>
        <v>0</v>
      </c>
      <c r="S149" s="274">
        <f t="shared" si="53"/>
        <v>0</v>
      </c>
      <c r="T149" s="274">
        <f t="shared" si="54"/>
        <v>0</v>
      </c>
    </row>
    <row r="150" spans="1:20" hidden="1" outlineLevel="1" x14ac:dyDescent="0.2">
      <c r="A150" s="320">
        <f t="shared" si="32"/>
        <v>0</v>
      </c>
      <c r="B150" s="398" t="str">
        <f t="shared" si="32"/>
        <v xml:space="preserve"> </v>
      </c>
      <c r="C150" s="320"/>
      <c r="D150" s="320"/>
      <c r="E150" s="320"/>
      <c r="F150" s="320">
        <f t="shared" si="42"/>
        <v>0</v>
      </c>
      <c r="G150" s="320">
        <f t="shared" si="43"/>
        <v>0</v>
      </c>
      <c r="H150" s="320">
        <f t="shared" si="44"/>
        <v>0</v>
      </c>
      <c r="I150" s="320">
        <f t="shared" si="45"/>
        <v>0</v>
      </c>
      <c r="J150" s="320">
        <f t="shared" si="46"/>
        <v>0</v>
      </c>
      <c r="K150" s="320">
        <f t="shared" si="47"/>
        <v>0</v>
      </c>
      <c r="L150" s="290"/>
      <c r="M150" s="291"/>
      <c r="N150" s="272">
        <f t="shared" si="48"/>
        <v>0</v>
      </c>
      <c r="O150" s="274">
        <f t="shared" si="49"/>
        <v>0</v>
      </c>
      <c r="P150" s="274">
        <f t="shared" si="50"/>
        <v>0</v>
      </c>
      <c r="Q150" s="274">
        <f t="shared" si="51"/>
        <v>0</v>
      </c>
      <c r="R150" s="274">
        <f t="shared" si="52"/>
        <v>0</v>
      </c>
      <c r="S150" s="274">
        <f t="shared" si="53"/>
        <v>0</v>
      </c>
      <c r="T150" s="274">
        <f t="shared" si="54"/>
        <v>0</v>
      </c>
    </row>
    <row r="151" spans="1:20" hidden="1" outlineLevel="1" x14ac:dyDescent="0.2">
      <c r="A151" s="396">
        <f t="shared" si="32"/>
        <v>0</v>
      </c>
      <c r="B151" s="395" t="str">
        <f t="shared" si="32"/>
        <v xml:space="preserve"> </v>
      </c>
      <c r="C151" s="396"/>
      <c r="D151" s="396"/>
      <c r="E151" s="396"/>
      <c r="F151" s="396">
        <f t="shared" si="42"/>
        <v>0</v>
      </c>
      <c r="G151" s="396">
        <f t="shared" si="43"/>
        <v>0</v>
      </c>
      <c r="H151" s="396">
        <f t="shared" si="44"/>
        <v>0</v>
      </c>
      <c r="I151" s="396">
        <f t="shared" si="45"/>
        <v>0</v>
      </c>
      <c r="J151" s="396">
        <f t="shared" si="46"/>
        <v>0</v>
      </c>
      <c r="K151" s="396">
        <f t="shared" si="47"/>
        <v>0</v>
      </c>
      <c r="L151" s="290"/>
      <c r="M151" s="291"/>
      <c r="N151" s="272">
        <f t="shared" si="48"/>
        <v>0</v>
      </c>
      <c r="O151" s="274">
        <f t="shared" si="49"/>
        <v>0</v>
      </c>
      <c r="P151" s="274">
        <f t="shared" si="50"/>
        <v>0</v>
      </c>
      <c r="Q151" s="274">
        <f t="shared" si="51"/>
        <v>0</v>
      </c>
      <c r="R151" s="274">
        <f t="shared" si="52"/>
        <v>0</v>
      </c>
      <c r="S151" s="274">
        <f t="shared" si="53"/>
        <v>0</v>
      </c>
      <c r="T151" s="274">
        <f t="shared" si="54"/>
        <v>0</v>
      </c>
    </row>
    <row r="152" spans="1:20" hidden="1" outlineLevel="1" x14ac:dyDescent="0.3"/>
    <row r="153" spans="1:20" hidden="1" outlineLevel="1" x14ac:dyDescent="0.3"/>
    <row r="154" spans="1:20" hidden="1" outlineLevel="1" x14ac:dyDescent="0.25">
      <c r="A154" s="322" t="s">
        <v>517</v>
      </c>
      <c r="B154" s="277" t="s">
        <v>518</v>
      </c>
      <c r="C154" s="277"/>
      <c r="D154" s="277"/>
      <c r="E154" s="277"/>
      <c r="F154" s="278"/>
      <c r="G154" s="278"/>
      <c r="H154" s="278"/>
      <c r="I154" s="278"/>
      <c r="J154" s="278"/>
      <c r="K154" s="272"/>
    </row>
    <row r="155" spans="1:20" hidden="1" outlineLevel="1" x14ac:dyDescent="0.3">
      <c r="A155" s="773" t="s">
        <v>506</v>
      </c>
      <c r="B155" s="773" t="s">
        <v>507</v>
      </c>
      <c r="C155" s="284"/>
      <c r="D155" s="285"/>
      <c r="E155" s="284"/>
      <c r="F155" s="775" t="s">
        <v>508</v>
      </c>
      <c r="G155" s="776"/>
      <c r="H155" s="776"/>
      <c r="I155" s="776"/>
      <c r="J155" s="776"/>
      <c r="K155" s="777"/>
      <c r="L155" s="409" t="s">
        <v>597</v>
      </c>
      <c r="M155" s="279"/>
    </row>
    <row r="156" spans="1:20" hidden="1" outlineLevel="1" x14ac:dyDescent="0.3">
      <c r="A156" s="774"/>
      <c r="B156" s="774"/>
      <c r="C156" s="286" t="s">
        <v>519</v>
      </c>
      <c r="D156" s="286" t="s">
        <v>520</v>
      </c>
      <c r="E156" s="286"/>
      <c r="F156" s="416">
        <v>0</v>
      </c>
      <c r="G156" s="416">
        <v>1</v>
      </c>
      <c r="H156" s="416">
        <v>2</v>
      </c>
      <c r="I156" s="416">
        <v>3</v>
      </c>
      <c r="J156" s="416">
        <v>4</v>
      </c>
      <c r="K156" s="416">
        <v>5</v>
      </c>
      <c r="L156" s="410" t="s">
        <v>521</v>
      </c>
      <c r="M156" s="410" t="s">
        <v>522</v>
      </c>
    </row>
    <row r="157" spans="1:20" hidden="1" outlineLevel="1" x14ac:dyDescent="0.2">
      <c r="A157" s="391">
        <f t="shared" ref="A157:B183" si="55">+A122</f>
        <v>104</v>
      </c>
      <c r="B157" s="397" t="str">
        <f t="shared" si="55"/>
        <v xml:space="preserve">Losa de concreto armado (Refuerzo Transversal) </v>
      </c>
      <c r="C157" s="400">
        <f>+SUM(F157:K157)</f>
        <v>1</v>
      </c>
      <c r="D157" s="413">
        <f>POWER(C157,0.2)</f>
        <v>1</v>
      </c>
      <c r="E157" s="401"/>
      <c r="F157" s="391">
        <f>0*F122/100</f>
        <v>0</v>
      </c>
      <c r="G157" s="391">
        <f>1*G122/100</f>
        <v>1</v>
      </c>
      <c r="H157" s="391">
        <f>32*H122/100</f>
        <v>0</v>
      </c>
      <c r="I157" s="391">
        <f>243*I122/100</f>
        <v>0</v>
      </c>
      <c r="J157" s="391">
        <f>1024*J122/100</f>
        <v>0</v>
      </c>
      <c r="K157" s="391">
        <f>3125*K122/100</f>
        <v>0</v>
      </c>
      <c r="L157" s="400">
        <f t="shared" ref="L157:L171" si="56">+E14</f>
        <v>0.6</v>
      </c>
      <c r="M157" s="402">
        <f>+D157*L157</f>
        <v>0.6</v>
      </c>
      <c r="O157" s="267">
        <f>+IF(A157&gt;1,1,0)</f>
        <v>1</v>
      </c>
    </row>
    <row r="158" spans="1:20" hidden="1" outlineLevel="1" x14ac:dyDescent="0.2">
      <c r="A158" s="320">
        <f t="shared" si="55"/>
        <v>110</v>
      </c>
      <c r="B158" s="398" t="str">
        <f t="shared" si="55"/>
        <v>Viga Principales concreto armado</v>
      </c>
      <c r="C158" s="403">
        <f t="shared" ref="C158:C165" si="57">+SUM(F158:K158)</f>
        <v>13.4</v>
      </c>
      <c r="D158" s="414">
        <f t="shared" ref="D158:D165" si="58">POWER(C158,0.2)</f>
        <v>1.6804320641498556</v>
      </c>
      <c r="E158" s="404"/>
      <c r="F158" s="320">
        <f>0*F123/100</f>
        <v>0</v>
      </c>
      <c r="G158" s="320">
        <f>1*G123/100</f>
        <v>0.6</v>
      </c>
      <c r="H158" s="320">
        <f>32*H123/100</f>
        <v>12.8</v>
      </c>
      <c r="I158" s="320">
        <f>243*I123/100</f>
        <v>0</v>
      </c>
      <c r="J158" s="320">
        <f>1024*J123/100</f>
        <v>0</v>
      </c>
      <c r="K158" s="320">
        <f>3125*K123/100</f>
        <v>0</v>
      </c>
      <c r="L158" s="403">
        <f t="shared" si="56"/>
        <v>1</v>
      </c>
      <c r="M158" s="405">
        <f t="shared" ref="M158:M165" si="59">+D158*L158</f>
        <v>1.6804320641498556</v>
      </c>
      <c r="O158" s="267">
        <f t="shared" ref="O158:O183" si="60">+IF(A158&gt;1,1,0)</f>
        <v>1</v>
      </c>
    </row>
    <row r="159" spans="1:20" hidden="1" outlineLevel="1" x14ac:dyDescent="0.2">
      <c r="A159" s="320">
        <f t="shared" si="55"/>
        <v>111</v>
      </c>
      <c r="B159" s="398" t="str">
        <f t="shared" si="55"/>
        <v>Vigas Secundarias de concreto armado</v>
      </c>
      <c r="C159" s="403">
        <f t="shared" si="57"/>
        <v>1</v>
      </c>
      <c r="D159" s="414">
        <f t="shared" si="58"/>
        <v>1</v>
      </c>
      <c r="E159" s="404"/>
      <c r="F159" s="320">
        <f>0*F124/100</f>
        <v>0</v>
      </c>
      <c r="G159" s="320">
        <f>1*G124/100</f>
        <v>1</v>
      </c>
      <c r="H159" s="320">
        <f>32*H124/100</f>
        <v>0</v>
      </c>
      <c r="I159" s="320">
        <f>243*I124/100</f>
        <v>0</v>
      </c>
      <c r="J159" s="320">
        <f>1024*J124/100</f>
        <v>0</v>
      </c>
      <c r="K159" s="320">
        <f>3125*K124/100</f>
        <v>0</v>
      </c>
      <c r="L159" s="403">
        <f t="shared" si="56"/>
        <v>0.8</v>
      </c>
      <c r="M159" s="405">
        <f t="shared" si="59"/>
        <v>0.8</v>
      </c>
      <c r="O159" s="267">
        <f t="shared" si="60"/>
        <v>1</v>
      </c>
    </row>
    <row r="160" spans="1:20" hidden="1" outlineLevel="1" x14ac:dyDescent="0.2">
      <c r="A160" s="320">
        <f t="shared" si="55"/>
        <v>202</v>
      </c>
      <c r="B160" s="398" t="str">
        <f t="shared" si="55"/>
        <v>Elevación Cuerpo del Estribo de Concreto Armado</v>
      </c>
      <c r="C160" s="403">
        <f t="shared" si="57"/>
        <v>1</v>
      </c>
      <c r="D160" s="414">
        <f t="shared" si="58"/>
        <v>1</v>
      </c>
      <c r="E160" s="404"/>
      <c r="F160" s="320">
        <f t="shared" ref="F160:F177" si="61">0*F125/100</f>
        <v>0</v>
      </c>
      <c r="G160" s="320">
        <f t="shared" ref="G160:G177" si="62">1*G125/100</f>
        <v>1</v>
      </c>
      <c r="H160" s="320">
        <f t="shared" ref="H160:H177" si="63">32*H125/100</f>
        <v>0</v>
      </c>
      <c r="I160" s="320">
        <f t="shared" ref="I160:I177" si="64">243*I125/100</f>
        <v>0</v>
      </c>
      <c r="J160" s="320">
        <f t="shared" ref="J160:J177" si="65">1024*J125/100</f>
        <v>0</v>
      </c>
      <c r="K160" s="320">
        <f t="shared" ref="K160:K177" si="66">3125*K125/100</f>
        <v>0</v>
      </c>
      <c r="L160" s="403">
        <f t="shared" si="56"/>
        <v>1</v>
      </c>
      <c r="M160" s="405">
        <f t="shared" si="59"/>
        <v>1</v>
      </c>
      <c r="O160" s="267">
        <f t="shared" si="60"/>
        <v>1</v>
      </c>
    </row>
    <row r="161" spans="1:15" hidden="1" outlineLevel="1" x14ac:dyDescent="0.2">
      <c r="A161" s="320">
        <f t="shared" si="55"/>
        <v>205</v>
      </c>
      <c r="B161" s="398" t="str">
        <f t="shared" si="55"/>
        <v>Elevación Alas del Estribo de Concreto Armado</v>
      </c>
      <c r="C161" s="403">
        <f t="shared" si="57"/>
        <v>1</v>
      </c>
      <c r="D161" s="414">
        <f t="shared" si="58"/>
        <v>1</v>
      </c>
      <c r="E161" s="404"/>
      <c r="F161" s="320">
        <f t="shared" si="61"/>
        <v>0</v>
      </c>
      <c r="G161" s="320">
        <f t="shared" si="62"/>
        <v>1</v>
      </c>
      <c r="H161" s="320">
        <f t="shared" si="63"/>
        <v>0</v>
      </c>
      <c r="I161" s="320">
        <f t="shared" si="64"/>
        <v>0</v>
      </c>
      <c r="J161" s="320">
        <f t="shared" si="65"/>
        <v>0</v>
      </c>
      <c r="K161" s="320">
        <f t="shared" si="66"/>
        <v>0</v>
      </c>
      <c r="L161" s="403">
        <f t="shared" si="56"/>
        <v>0.6</v>
      </c>
      <c r="M161" s="405">
        <f t="shared" si="59"/>
        <v>0.6</v>
      </c>
      <c r="O161" s="267">
        <f t="shared" si="60"/>
        <v>1</v>
      </c>
    </row>
    <row r="162" spans="1:15" hidden="1" outlineLevel="1" x14ac:dyDescent="0.2">
      <c r="A162" s="320">
        <f t="shared" si="55"/>
        <v>302</v>
      </c>
      <c r="B162" s="398" t="str">
        <f t="shared" si="55"/>
        <v>Capa Concreto Pobre</v>
      </c>
      <c r="C162" s="403">
        <f t="shared" si="57"/>
        <v>1</v>
      </c>
      <c r="D162" s="414">
        <f t="shared" si="58"/>
        <v>1</v>
      </c>
      <c r="E162" s="404"/>
      <c r="F162" s="320">
        <f t="shared" si="61"/>
        <v>0</v>
      </c>
      <c r="G162" s="320">
        <f t="shared" si="62"/>
        <v>1</v>
      </c>
      <c r="H162" s="320">
        <f t="shared" si="63"/>
        <v>0</v>
      </c>
      <c r="I162" s="320">
        <f t="shared" si="64"/>
        <v>0</v>
      </c>
      <c r="J162" s="320">
        <f t="shared" si="65"/>
        <v>0</v>
      </c>
      <c r="K162" s="320">
        <f t="shared" si="66"/>
        <v>0</v>
      </c>
      <c r="L162" s="403">
        <f t="shared" si="56"/>
        <v>0.4</v>
      </c>
      <c r="M162" s="405">
        <f t="shared" si="59"/>
        <v>0.4</v>
      </c>
      <c r="O162" s="267">
        <f t="shared" si="60"/>
        <v>1</v>
      </c>
    </row>
    <row r="163" spans="1:15" hidden="1" outlineLevel="1" x14ac:dyDescent="0.2">
      <c r="A163" s="320">
        <f t="shared" si="55"/>
        <v>311</v>
      </c>
      <c r="B163" s="398" t="str">
        <f t="shared" si="55"/>
        <v>Vereda Concreto</v>
      </c>
      <c r="C163" s="403">
        <f t="shared" si="57"/>
        <v>110.2</v>
      </c>
      <c r="D163" s="414">
        <f t="shared" si="58"/>
        <v>2.5611576910702829</v>
      </c>
      <c r="E163" s="404"/>
      <c r="F163" s="320">
        <f t="shared" si="61"/>
        <v>0</v>
      </c>
      <c r="G163" s="320">
        <f t="shared" si="62"/>
        <v>0.2</v>
      </c>
      <c r="H163" s="320">
        <f t="shared" si="63"/>
        <v>12.8</v>
      </c>
      <c r="I163" s="320">
        <f t="shared" si="64"/>
        <v>97.2</v>
      </c>
      <c r="J163" s="320">
        <f t="shared" si="65"/>
        <v>0</v>
      </c>
      <c r="K163" s="320">
        <f t="shared" si="66"/>
        <v>0</v>
      </c>
      <c r="L163" s="403">
        <f t="shared" si="56"/>
        <v>0.2</v>
      </c>
      <c r="M163" s="405">
        <f t="shared" si="59"/>
        <v>0.51223153821405665</v>
      </c>
      <c r="O163" s="267">
        <f t="shared" si="60"/>
        <v>1</v>
      </c>
    </row>
    <row r="164" spans="1:15" hidden="1" outlineLevel="1" x14ac:dyDescent="0.2">
      <c r="A164" s="320">
        <f t="shared" si="55"/>
        <v>353</v>
      </c>
      <c r="B164" s="398" t="str">
        <f t="shared" si="55"/>
        <v>Barandas de Acero</v>
      </c>
      <c r="C164" s="403">
        <f t="shared" si="57"/>
        <v>1</v>
      </c>
      <c r="D164" s="414">
        <f t="shared" si="58"/>
        <v>1</v>
      </c>
      <c r="E164" s="404"/>
      <c r="F164" s="320">
        <f t="shared" si="61"/>
        <v>0</v>
      </c>
      <c r="G164" s="320">
        <f t="shared" si="62"/>
        <v>1</v>
      </c>
      <c r="H164" s="320">
        <f t="shared" si="63"/>
        <v>0</v>
      </c>
      <c r="I164" s="320">
        <f t="shared" si="64"/>
        <v>0</v>
      </c>
      <c r="J164" s="320">
        <f t="shared" si="65"/>
        <v>0</v>
      </c>
      <c r="K164" s="320">
        <f t="shared" si="66"/>
        <v>0</v>
      </c>
      <c r="L164" s="403">
        <f t="shared" si="56"/>
        <v>0.4</v>
      </c>
      <c r="M164" s="405">
        <f t="shared" si="59"/>
        <v>0.4</v>
      </c>
      <c r="O164" s="267">
        <f t="shared" si="60"/>
        <v>1</v>
      </c>
    </row>
    <row r="165" spans="1:15" hidden="1" outlineLevel="1" x14ac:dyDescent="0.2">
      <c r="A165" s="320">
        <f t="shared" si="55"/>
        <v>372</v>
      </c>
      <c r="B165" s="398" t="str">
        <f t="shared" si="55"/>
        <v>Tuberías PVC</v>
      </c>
      <c r="C165" s="403">
        <f t="shared" si="57"/>
        <v>243</v>
      </c>
      <c r="D165" s="414">
        <f t="shared" si="58"/>
        <v>3.0000000000000004</v>
      </c>
      <c r="E165" s="404"/>
      <c r="F165" s="320">
        <f t="shared" si="61"/>
        <v>0</v>
      </c>
      <c r="G165" s="320">
        <f t="shared" si="62"/>
        <v>0</v>
      </c>
      <c r="H165" s="320">
        <f t="shared" si="63"/>
        <v>0</v>
      </c>
      <c r="I165" s="320">
        <f t="shared" si="64"/>
        <v>243</v>
      </c>
      <c r="J165" s="320">
        <f t="shared" si="65"/>
        <v>0</v>
      </c>
      <c r="K165" s="320">
        <f t="shared" si="66"/>
        <v>0</v>
      </c>
      <c r="L165" s="403">
        <f t="shared" si="56"/>
        <v>0.4</v>
      </c>
      <c r="M165" s="405">
        <f t="shared" si="59"/>
        <v>1.2000000000000002</v>
      </c>
      <c r="O165" s="267">
        <f t="shared" si="60"/>
        <v>1</v>
      </c>
    </row>
    <row r="166" spans="1:15" hidden="1" outlineLevel="1" x14ac:dyDescent="0.2">
      <c r="A166" s="320">
        <f t="shared" si="55"/>
        <v>401</v>
      </c>
      <c r="B166" s="398" t="str">
        <f t="shared" si="55"/>
        <v>Márgenes del río</v>
      </c>
      <c r="C166" s="403">
        <f t="shared" ref="C166:C183" si="67">+SUM(F166:K166)</f>
        <v>32</v>
      </c>
      <c r="D166" s="414">
        <f t="shared" ref="D166:D183" si="68">POWER(C166,0.2)</f>
        <v>2</v>
      </c>
      <c r="E166" s="404"/>
      <c r="F166" s="320">
        <f t="shared" si="61"/>
        <v>0</v>
      </c>
      <c r="G166" s="320">
        <f t="shared" si="62"/>
        <v>0</v>
      </c>
      <c r="H166" s="320">
        <f t="shared" si="63"/>
        <v>32</v>
      </c>
      <c r="I166" s="320">
        <f t="shared" si="64"/>
        <v>0</v>
      </c>
      <c r="J166" s="320">
        <f t="shared" si="65"/>
        <v>0</v>
      </c>
      <c r="K166" s="320">
        <f t="shared" si="66"/>
        <v>0</v>
      </c>
      <c r="L166" s="403">
        <f t="shared" si="56"/>
        <v>0.6</v>
      </c>
      <c r="M166" s="405">
        <f t="shared" ref="M166:M183" si="69">+D166*L166</f>
        <v>1.2</v>
      </c>
      <c r="O166" s="267">
        <f t="shared" si="60"/>
        <v>1</v>
      </c>
    </row>
    <row r="167" spans="1:15" hidden="1" outlineLevel="1" x14ac:dyDescent="0.2">
      <c r="A167" s="320">
        <f t="shared" si="55"/>
        <v>402</v>
      </c>
      <c r="B167" s="398" t="str">
        <f t="shared" si="55"/>
        <v>Lecho del río</v>
      </c>
      <c r="C167" s="403">
        <f t="shared" si="67"/>
        <v>1</v>
      </c>
      <c r="D167" s="414">
        <f t="shared" si="68"/>
        <v>1</v>
      </c>
      <c r="E167" s="404"/>
      <c r="F167" s="320">
        <f t="shared" si="61"/>
        <v>0</v>
      </c>
      <c r="G167" s="320">
        <f t="shared" si="62"/>
        <v>1</v>
      </c>
      <c r="H167" s="320">
        <f t="shared" si="63"/>
        <v>0</v>
      </c>
      <c r="I167" s="320">
        <f t="shared" si="64"/>
        <v>0</v>
      </c>
      <c r="J167" s="320">
        <f t="shared" si="65"/>
        <v>0</v>
      </c>
      <c r="K167" s="320">
        <f t="shared" si="66"/>
        <v>0</v>
      </c>
      <c r="L167" s="403">
        <f t="shared" si="56"/>
        <v>0.6</v>
      </c>
      <c r="M167" s="405">
        <f t="shared" si="69"/>
        <v>0.6</v>
      </c>
      <c r="O167" s="267">
        <f t="shared" si="60"/>
        <v>1</v>
      </c>
    </row>
    <row r="168" spans="1:15" hidden="1" outlineLevel="1" x14ac:dyDescent="0.2">
      <c r="A168" s="320">
        <f t="shared" si="55"/>
        <v>501</v>
      </c>
      <c r="B168" s="398" t="str">
        <f t="shared" si="55"/>
        <v>Señalización</v>
      </c>
      <c r="C168" s="403">
        <f t="shared" si="67"/>
        <v>1</v>
      </c>
      <c r="D168" s="414">
        <f t="shared" si="68"/>
        <v>1</v>
      </c>
      <c r="E168" s="404"/>
      <c r="F168" s="320">
        <f t="shared" si="61"/>
        <v>0</v>
      </c>
      <c r="G168" s="320">
        <f t="shared" si="62"/>
        <v>1</v>
      </c>
      <c r="H168" s="320">
        <f t="shared" si="63"/>
        <v>0</v>
      </c>
      <c r="I168" s="320">
        <f t="shared" si="64"/>
        <v>0</v>
      </c>
      <c r="J168" s="320">
        <f t="shared" si="65"/>
        <v>0</v>
      </c>
      <c r="K168" s="320">
        <f t="shared" si="66"/>
        <v>0</v>
      </c>
      <c r="L168" s="403">
        <f t="shared" si="56"/>
        <v>0.2</v>
      </c>
      <c r="M168" s="405">
        <f t="shared" si="69"/>
        <v>0.2</v>
      </c>
      <c r="O168" s="267">
        <f t="shared" si="60"/>
        <v>1</v>
      </c>
    </row>
    <row r="169" spans="1:15" hidden="1" outlineLevel="1" x14ac:dyDescent="0.2">
      <c r="A169" s="320">
        <f t="shared" si="55"/>
        <v>511</v>
      </c>
      <c r="B169" s="398" t="str">
        <f t="shared" si="55"/>
        <v>Pavimento/Afirmado</v>
      </c>
      <c r="C169" s="403">
        <f t="shared" si="67"/>
        <v>243</v>
      </c>
      <c r="D169" s="414">
        <f t="shared" si="68"/>
        <v>3.0000000000000004</v>
      </c>
      <c r="E169" s="404"/>
      <c r="F169" s="320">
        <f t="shared" si="61"/>
        <v>0</v>
      </c>
      <c r="G169" s="320">
        <f t="shared" si="62"/>
        <v>0</v>
      </c>
      <c r="H169" s="320">
        <f t="shared" si="63"/>
        <v>0</v>
      </c>
      <c r="I169" s="320">
        <f t="shared" si="64"/>
        <v>243</v>
      </c>
      <c r="J169" s="320">
        <f t="shared" si="65"/>
        <v>0</v>
      </c>
      <c r="K169" s="320">
        <f t="shared" si="66"/>
        <v>0</v>
      </c>
      <c r="L169" s="403">
        <f t="shared" si="56"/>
        <v>0.2</v>
      </c>
      <c r="M169" s="405">
        <f t="shared" si="69"/>
        <v>0.60000000000000009</v>
      </c>
      <c r="O169" s="267">
        <f t="shared" si="60"/>
        <v>1</v>
      </c>
    </row>
    <row r="170" spans="1:15" hidden="1" outlineLevel="1" x14ac:dyDescent="0.2">
      <c r="A170" s="320">
        <f t="shared" si="55"/>
        <v>530</v>
      </c>
      <c r="B170" s="398" t="str">
        <f t="shared" si="55"/>
        <v>Visibilidad</v>
      </c>
      <c r="C170" s="403">
        <f t="shared" si="67"/>
        <v>32</v>
      </c>
      <c r="D170" s="414">
        <f t="shared" si="68"/>
        <v>2</v>
      </c>
      <c r="E170" s="404"/>
      <c r="F170" s="320">
        <f t="shared" si="61"/>
        <v>0</v>
      </c>
      <c r="G170" s="320">
        <f t="shared" si="62"/>
        <v>0</v>
      </c>
      <c r="H170" s="320">
        <f t="shared" si="63"/>
        <v>32</v>
      </c>
      <c r="I170" s="320">
        <f t="shared" si="64"/>
        <v>0</v>
      </c>
      <c r="J170" s="320">
        <f t="shared" si="65"/>
        <v>0</v>
      </c>
      <c r="K170" s="320">
        <f t="shared" si="66"/>
        <v>0</v>
      </c>
      <c r="L170" s="403">
        <f t="shared" si="56"/>
        <v>0.2</v>
      </c>
      <c r="M170" s="405">
        <f t="shared" si="69"/>
        <v>0.4</v>
      </c>
      <c r="O170" s="267">
        <f t="shared" si="60"/>
        <v>1</v>
      </c>
    </row>
    <row r="171" spans="1:15" hidden="1" outlineLevel="1" x14ac:dyDescent="0.2">
      <c r="A171" s="320">
        <f t="shared" si="55"/>
        <v>0</v>
      </c>
      <c r="B171" s="398">
        <f t="shared" si="55"/>
        <v>0</v>
      </c>
      <c r="C171" s="403">
        <f t="shared" si="67"/>
        <v>0</v>
      </c>
      <c r="D171" s="414">
        <f t="shared" si="68"/>
        <v>0</v>
      </c>
      <c r="E171" s="404"/>
      <c r="F171" s="320">
        <f t="shared" si="61"/>
        <v>0</v>
      </c>
      <c r="G171" s="320">
        <f t="shared" si="62"/>
        <v>0</v>
      </c>
      <c r="H171" s="320">
        <f t="shared" si="63"/>
        <v>0</v>
      </c>
      <c r="I171" s="320">
        <f t="shared" si="64"/>
        <v>0</v>
      </c>
      <c r="J171" s="320">
        <f t="shared" si="65"/>
        <v>0</v>
      </c>
      <c r="K171" s="320">
        <f t="shared" si="66"/>
        <v>0</v>
      </c>
      <c r="L171" s="403">
        <f t="shared" si="56"/>
        <v>0</v>
      </c>
      <c r="M171" s="405">
        <f t="shared" si="69"/>
        <v>0</v>
      </c>
      <c r="O171" s="267">
        <f t="shared" si="60"/>
        <v>0</v>
      </c>
    </row>
    <row r="172" spans="1:15" hidden="1" outlineLevel="1" x14ac:dyDescent="0.2">
      <c r="A172" s="320">
        <f t="shared" si="55"/>
        <v>0</v>
      </c>
      <c r="B172" s="398">
        <f t="shared" si="55"/>
        <v>0</v>
      </c>
      <c r="C172" s="403">
        <f t="shared" si="67"/>
        <v>0</v>
      </c>
      <c r="D172" s="414">
        <f t="shared" si="68"/>
        <v>0</v>
      </c>
      <c r="E172" s="404"/>
      <c r="F172" s="320">
        <f t="shared" si="61"/>
        <v>0</v>
      </c>
      <c r="G172" s="320">
        <f t="shared" si="62"/>
        <v>0</v>
      </c>
      <c r="H172" s="320">
        <f t="shared" si="63"/>
        <v>0</v>
      </c>
      <c r="I172" s="320">
        <f t="shared" si="64"/>
        <v>0</v>
      </c>
      <c r="J172" s="320">
        <f t="shared" si="65"/>
        <v>0</v>
      </c>
      <c r="K172" s="320">
        <f t="shared" si="66"/>
        <v>0</v>
      </c>
      <c r="L172" s="403">
        <f t="shared" ref="L172:L177" si="70">+E30</f>
        <v>0</v>
      </c>
      <c r="M172" s="405">
        <f t="shared" si="69"/>
        <v>0</v>
      </c>
      <c r="O172" s="267">
        <f t="shared" si="60"/>
        <v>0</v>
      </c>
    </row>
    <row r="173" spans="1:15" hidden="1" outlineLevel="1" x14ac:dyDescent="0.2">
      <c r="A173" s="320">
        <f t="shared" si="55"/>
        <v>0</v>
      </c>
      <c r="B173" s="398">
        <f t="shared" si="55"/>
        <v>0</v>
      </c>
      <c r="C173" s="403">
        <f t="shared" si="67"/>
        <v>0</v>
      </c>
      <c r="D173" s="414">
        <f t="shared" si="68"/>
        <v>0</v>
      </c>
      <c r="E173" s="404"/>
      <c r="F173" s="320">
        <f t="shared" si="61"/>
        <v>0</v>
      </c>
      <c r="G173" s="320">
        <f t="shared" si="62"/>
        <v>0</v>
      </c>
      <c r="H173" s="320">
        <f t="shared" si="63"/>
        <v>0</v>
      </c>
      <c r="I173" s="320">
        <f t="shared" si="64"/>
        <v>0</v>
      </c>
      <c r="J173" s="320">
        <f t="shared" si="65"/>
        <v>0</v>
      </c>
      <c r="K173" s="320">
        <f t="shared" si="66"/>
        <v>0</v>
      </c>
      <c r="L173" s="403">
        <f t="shared" si="70"/>
        <v>0</v>
      </c>
      <c r="M173" s="405">
        <f t="shared" si="69"/>
        <v>0</v>
      </c>
      <c r="O173" s="267">
        <f t="shared" si="60"/>
        <v>0</v>
      </c>
    </row>
    <row r="174" spans="1:15" hidden="1" outlineLevel="1" x14ac:dyDescent="0.2">
      <c r="A174" s="320">
        <f t="shared" si="55"/>
        <v>0</v>
      </c>
      <c r="B174" s="398">
        <f t="shared" si="55"/>
        <v>0</v>
      </c>
      <c r="C174" s="403">
        <f t="shared" si="67"/>
        <v>0</v>
      </c>
      <c r="D174" s="414">
        <f t="shared" si="68"/>
        <v>0</v>
      </c>
      <c r="E174" s="404"/>
      <c r="F174" s="320">
        <f t="shared" si="61"/>
        <v>0</v>
      </c>
      <c r="G174" s="320">
        <f t="shared" si="62"/>
        <v>0</v>
      </c>
      <c r="H174" s="320">
        <f t="shared" si="63"/>
        <v>0</v>
      </c>
      <c r="I174" s="320">
        <f t="shared" si="64"/>
        <v>0</v>
      </c>
      <c r="J174" s="320">
        <f t="shared" si="65"/>
        <v>0</v>
      </c>
      <c r="K174" s="320">
        <f t="shared" si="66"/>
        <v>0</v>
      </c>
      <c r="L174" s="403">
        <f t="shared" si="70"/>
        <v>0</v>
      </c>
      <c r="M174" s="405">
        <f t="shared" si="69"/>
        <v>0</v>
      </c>
      <c r="O174" s="267">
        <f t="shared" si="60"/>
        <v>0</v>
      </c>
    </row>
    <row r="175" spans="1:15" hidden="1" outlineLevel="1" x14ac:dyDescent="0.2">
      <c r="A175" s="320">
        <f t="shared" si="55"/>
        <v>0</v>
      </c>
      <c r="B175" s="398">
        <f t="shared" si="55"/>
        <v>0</v>
      </c>
      <c r="C175" s="403">
        <f t="shared" si="67"/>
        <v>0</v>
      </c>
      <c r="D175" s="414">
        <f t="shared" si="68"/>
        <v>0</v>
      </c>
      <c r="E175" s="404"/>
      <c r="F175" s="320">
        <f t="shared" si="61"/>
        <v>0</v>
      </c>
      <c r="G175" s="320">
        <f t="shared" si="62"/>
        <v>0</v>
      </c>
      <c r="H175" s="320">
        <f t="shared" si="63"/>
        <v>0</v>
      </c>
      <c r="I175" s="320">
        <f t="shared" si="64"/>
        <v>0</v>
      </c>
      <c r="J175" s="320">
        <f t="shared" si="65"/>
        <v>0</v>
      </c>
      <c r="K175" s="320">
        <f t="shared" si="66"/>
        <v>0</v>
      </c>
      <c r="L175" s="403">
        <f t="shared" si="70"/>
        <v>0</v>
      </c>
      <c r="M175" s="405">
        <f t="shared" si="69"/>
        <v>0</v>
      </c>
      <c r="O175" s="267">
        <f t="shared" si="60"/>
        <v>0</v>
      </c>
    </row>
    <row r="176" spans="1:15" hidden="1" outlineLevel="1" x14ac:dyDescent="0.2">
      <c r="A176" s="320">
        <f t="shared" si="55"/>
        <v>0</v>
      </c>
      <c r="B176" s="398">
        <f t="shared" si="55"/>
        <v>0</v>
      </c>
      <c r="C176" s="403">
        <f t="shared" si="67"/>
        <v>0</v>
      </c>
      <c r="D176" s="414">
        <f t="shared" si="68"/>
        <v>0</v>
      </c>
      <c r="E176" s="404"/>
      <c r="F176" s="320">
        <f t="shared" si="61"/>
        <v>0</v>
      </c>
      <c r="G176" s="320">
        <f t="shared" si="62"/>
        <v>0</v>
      </c>
      <c r="H176" s="320">
        <f t="shared" si="63"/>
        <v>0</v>
      </c>
      <c r="I176" s="320">
        <f t="shared" si="64"/>
        <v>0</v>
      </c>
      <c r="J176" s="320">
        <f t="shared" si="65"/>
        <v>0</v>
      </c>
      <c r="K176" s="320">
        <f t="shared" si="66"/>
        <v>0</v>
      </c>
      <c r="L176" s="403">
        <f t="shared" si="70"/>
        <v>0</v>
      </c>
      <c r="M176" s="405">
        <f t="shared" si="69"/>
        <v>0</v>
      </c>
      <c r="O176" s="267">
        <f t="shared" si="60"/>
        <v>0</v>
      </c>
    </row>
    <row r="177" spans="1:15" hidden="1" outlineLevel="1" x14ac:dyDescent="0.2">
      <c r="A177" s="320">
        <f t="shared" si="55"/>
        <v>0</v>
      </c>
      <c r="B177" s="398">
        <f t="shared" si="55"/>
        <v>0</v>
      </c>
      <c r="C177" s="403">
        <f t="shared" si="67"/>
        <v>0</v>
      </c>
      <c r="D177" s="414">
        <f t="shared" si="68"/>
        <v>0</v>
      </c>
      <c r="E177" s="404"/>
      <c r="F177" s="320">
        <f t="shared" si="61"/>
        <v>0</v>
      </c>
      <c r="G177" s="320">
        <f t="shared" si="62"/>
        <v>0</v>
      </c>
      <c r="H177" s="320">
        <f t="shared" si="63"/>
        <v>0</v>
      </c>
      <c r="I177" s="320">
        <f t="shared" si="64"/>
        <v>0</v>
      </c>
      <c r="J177" s="320">
        <f t="shared" si="65"/>
        <v>0</v>
      </c>
      <c r="K177" s="320">
        <f t="shared" si="66"/>
        <v>0</v>
      </c>
      <c r="L177" s="403">
        <f t="shared" si="70"/>
        <v>0</v>
      </c>
      <c r="M177" s="405">
        <f t="shared" si="69"/>
        <v>0</v>
      </c>
      <c r="O177" s="267">
        <f t="shared" si="60"/>
        <v>0</v>
      </c>
    </row>
    <row r="178" spans="1:15" hidden="1" outlineLevel="1" x14ac:dyDescent="0.2">
      <c r="A178" s="320">
        <f t="shared" si="55"/>
        <v>0</v>
      </c>
      <c r="B178" s="398" t="str">
        <f t="shared" si="55"/>
        <v xml:space="preserve"> </v>
      </c>
      <c r="C178" s="403">
        <f t="shared" si="67"/>
        <v>0</v>
      </c>
      <c r="D178" s="414">
        <f t="shared" si="68"/>
        <v>0</v>
      </c>
      <c r="E178" s="404"/>
      <c r="F178" s="320">
        <f t="shared" ref="F178:F183" si="71">0*F143/100</f>
        <v>0</v>
      </c>
      <c r="G178" s="320">
        <f t="shared" ref="G178:G183" si="72">1*G143/100</f>
        <v>0</v>
      </c>
      <c r="H178" s="320">
        <f t="shared" ref="H178:H183" si="73">32*H143/100</f>
        <v>0</v>
      </c>
      <c r="I178" s="320">
        <f t="shared" ref="I178:I183" si="74">243*I143/100</f>
        <v>0</v>
      </c>
      <c r="J178" s="320">
        <f t="shared" ref="J178:J183" si="75">1024*J143/100</f>
        <v>0</v>
      </c>
      <c r="K178" s="320">
        <f t="shared" ref="K178:K183" si="76">3125*K143/100</f>
        <v>0</v>
      </c>
      <c r="L178" s="403">
        <f t="shared" ref="L178:L183" si="77">+E36</f>
        <v>0</v>
      </c>
      <c r="M178" s="405">
        <f t="shared" si="69"/>
        <v>0</v>
      </c>
      <c r="O178" s="267">
        <f t="shared" si="60"/>
        <v>0</v>
      </c>
    </row>
    <row r="179" spans="1:15" hidden="1" outlineLevel="1" x14ac:dyDescent="0.2">
      <c r="A179" s="320">
        <f t="shared" si="55"/>
        <v>0</v>
      </c>
      <c r="B179" s="398" t="str">
        <f t="shared" si="55"/>
        <v xml:space="preserve"> </v>
      </c>
      <c r="C179" s="403">
        <f t="shared" si="67"/>
        <v>0</v>
      </c>
      <c r="D179" s="414">
        <f t="shared" si="68"/>
        <v>0</v>
      </c>
      <c r="E179" s="404"/>
      <c r="F179" s="320">
        <f t="shared" si="71"/>
        <v>0</v>
      </c>
      <c r="G179" s="320">
        <f t="shared" si="72"/>
        <v>0</v>
      </c>
      <c r="H179" s="320">
        <f t="shared" si="73"/>
        <v>0</v>
      </c>
      <c r="I179" s="320">
        <f t="shared" si="74"/>
        <v>0</v>
      </c>
      <c r="J179" s="320">
        <f t="shared" si="75"/>
        <v>0</v>
      </c>
      <c r="K179" s="320">
        <f t="shared" si="76"/>
        <v>0</v>
      </c>
      <c r="L179" s="403">
        <f t="shared" si="77"/>
        <v>0</v>
      </c>
      <c r="M179" s="405">
        <f t="shared" si="69"/>
        <v>0</v>
      </c>
      <c r="O179" s="267">
        <f t="shared" si="60"/>
        <v>0</v>
      </c>
    </row>
    <row r="180" spans="1:15" hidden="1" outlineLevel="1" x14ac:dyDescent="0.2">
      <c r="A180" s="320">
        <f t="shared" si="55"/>
        <v>0</v>
      </c>
      <c r="B180" s="398" t="str">
        <f t="shared" si="55"/>
        <v xml:space="preserve"> </v>
      </c>
      <c r="C180" s="403">
        <f t="shared" si="67"/>
        <v>0</v>
      </c>
      <c r="D180" s="414">
        <f t="shared" si="68"/>
        <v>0</v>
      </c>
      <c r="E180" s="404"/>
      <c r="F180" s="320">
        <f t="shared" si="71"/>
        <v>0</v>
      </c>
      <c r="G180" s="320">
        <f t="shared" si="72"/>
        <v>0</v>
      </c>
      <c r="H180" s="320">
        <f t="shared" si="73"/>
        <v>0</v>
      </c>
      <c r="I180" s="320">
        <f t="shared" si="74"/>
        <v>0</v>
      </c>
      <c r="J180" s="320">
        <f t="shared" si="75"/>
        <v>0</v>
      </c>
      <c r="K180" s="320">
        <f t="shared" si="76"/>
        <v>0</v>
      </c>
      <c r="L180" s="403">
        <f t="shared" si="77"/>
        <v>0</v>
      </c>
      <c r="M180" s="405">
        <f t="shared" si="69"/>
        <v>0</v>
      </c>
      <c r="O180" s="267">
        <f t="shared" si="60"/>
        <v>0</v>
      </c>
    </row>
    <row r="181" spans="1:15" hidden="1" outlineLevel="1" x14ac:dyDescent="0.2">
      <c r="A181" s="320">
        <f t="shared" si="55"/>
        <v>0</v>
      </c>
      <c r="B181" s="398" t="str">
        <f t="shared" si="55"/>
        <v xml:space="preserve"> </v>
      </c>
      <c r="C181" s="403">
        <f t="shared" si="67"/>
        <v>0</v>
      </c>
      <c r="D181" s="414">
        <f t="shared" si="68"/>
        <v>0</v>
      </c>
      <c r="E181" s="404"/>
      <c r="F181" s="320">
        <f t="shared" si="71"/>
        <v>0</v>
      </c>
      <c r="G181" s="320">
        <f t="shared" si="72"/>
        <v>0</v>
      </c>
      <c r="H181" s="320">
        <f t="shared" si="73"/>
        <v>0</v>
      </c>
      <c r="I181" s="320">
        <f t="shared" si="74"/>
        <v>0</v>
      </c>
      <c r="J181" s="320">
        <f t="shared" si="75"/>
        <v>0</v>
      </c>
      <c r="K181" s="320">
        <f t="shared" si="76"/>
        <v>0</v>
      </c>
      <c r="L181" s="403">
        <f t="shared" si="77"/>
        <v>0</v>
      </c>
      <c r="M181" s="405">
        <f t="shared" si="69"/>
        <v>0</v>
      </c>
      <c r="O181" s="267">
        <f t="shared" si="60"/>
        <v>0</v>
      </c>
    </row>
    <row r="182" spans="1:15" hidden="1" outlineLevel="1" x14ac:dyDescent="0.2">
      <c r="A182" s="320">
        <f t="shared" si="55"/>
        <v>0</v>
      </c>
      <c r="B182" s="398" t="str">
        <f t="shared" si="55"/>
        <v xml:space="preserve"> </v>
      </c>
      <c r="C182" s="403">
        <f t="shared" si="67"/>
        <v>0</v>
      </c>
      <c r="D182" s="414">
        <f t="shared" si="68"/>
        <v>0</v>
      </c>
      <c r="E182" s="404"/>
      <c r="F182" s="320">
        <f t="shared" si="71"/>
        <v>0</v>
      </c>
      <c r="G182" s="320">
        <f t="shared" si="72"/>
        <v>0</v>
      </c>
      <c r="H182" s="320">
        <f t="shared" si="73"/>
        <v>0</v>
      </c>
      <c r="I182" s="320">
        <f t="shared" si="74"/>
        <v>0</v>
      </c>
      <c r="J182" s="320">
        <f t="shared" si="75"/>
        <v>0</v>
      </c>
      <c r="K182" s="320">
        <f t="shared" si="76"/>
        <v>0</v>
      </c>
      <c r="L182" s="403">
        <f t="shared" si="77"/>
        <v>0</v>
      </c>
      <c r="M182" s="405">
        <f t="shared" si="69"/>
        <v>0</v>
      </c>
      <c r="O182" s="267">
        <f t="shared" si="60"/>
        <v>0</v>
      </c>
    </row>
    <row r="183" spans="1:15" hidden="1" outlineLevel="1" x14ac:dyDescent="0.2">
      <c r="A183" s="396">
        <f t="shared" si="55"/>
        <v>0</v>
      </c>
      <c r="B183" s="395" t="str">
        <f t="shared" si="55"/>
        <v xml:space="preserve"> </v>
      </c>
      <c r="C183" s="406">
        <f t="shared" si="67"/>
        <v>0</v>
      </c>
      <c r="D183" s="415">
        <f t="shared" si="68"/>
        <v>0</v>
      </c>
      <c r="E183" s="407"/>
      <c r="F183" s="396">
        <f t="shared" si="71"/>
        <v>0</v>
      </c>
      <c r="G183" s="396">
        <f t="shared" si="72"/>
        <v>0</v>
      </c>
      <c r="H183" s="396">
        <f t="shared" si="73"/>
        <v>0</v>
      </c>
      <c r="I183" s="396">
        <f t="shared" si="74"/>
        <v>0</v>
      </c>
      <c r="J183" s="396">
        <f t="shared" si="75"/>
        <v>0</v>
      </c>
      <c r="K183" s="396">
        <f t="shared" si="76"/>
        <v>0</v>
      </c>
      <c r="L183" s="406">
        <f t="shared" si="77"/>
        <v>0</v>
      </c>
      <c r="M183" s="408">
        <f t="shared" si="69"/>
        <v>0</v>
      </c>
      <c r="O183" s="267">
        <f t="shared" si="60"/>
        <v>0</v>
      </c>
    </row>
    <row r="184" spans="1:15" hidden="1" outlineLevel="1" x14ac:dyDescent="0.2">
      <c r="A184" s="282"/>
      <c r="B184" s="366"/>
      <c r="C184" s="367"/>
      <c r="D184" s="368"/>
      <c r="E184" s="368"/>
      <c r="F184" s="282"/>
      <c r="G184" s="282"/>
      <c r="H184" s="282"/>
      <c r="I184" s="282"/>
      <c r="J184" s="282"/>
      <c r="K184" s="282"/>
      <c r="L184" s="367"/>
      <c r="M184" s="369"/>
      <c r="O184" s="267">
        <f>SUM(O157:O183)</f>
        <v>14</v>
      </c>
    </row>
    <row r="185" spans="1:15" collapsed="1" x14ac:dyDescent="0.3"/>
    <row r="186" spans="1:15" ht="20.399999999999999" x14ac:dyDescent="0.3">
      <c r="B186" s="267" t="s">
        <v>523</v>
      </c>
      <c r="E186" s="287">
        <f>+O184</f>
        <v>14</v>
      </c>
      <c r="I186" s="344"/>
      <c r="J186" s="345" t="s">
        <v>524</v>
      </c>
      <c r="K186" s="346"/>
      <c r="L186" s="347" t="s">
        <v>525</v>
      </c>
    </row>
    <row r="187" spans="1:15" x14ac:dyDescent="0.3">
      <c r="B187" s="267" t="s">
        <v>526</v>
      </c>
      <c r="E187" s="288">
        <f>MAX(M157:M183)</f>
        <v>1.6804320641498556</v>
      </c>
      <c r="I187" s="372">
        <v>0</v>
      </c>
      <c r="J187" s="373" t="s">
        <v>527</v>
      </c>
      <c r="K187" s="374"/>
      <c r="L187" s="375" t="s">
        <v>528</v>
      </c>
    </row>
    <row r="188" spans="1:15" x14ac:dyDescent="0.3">
      <c r="B188" s="267" t="s">
        <v>595</v>
      </c>
      <c r="E188" s="288">
        <f>SUM(M157:M183)</f>
        <v>10.192663602363911</v>
      </c>
      <c r="I188" s="372">
        <v>1</v>
      </c>
      <c r="J188" s="373" t="s">
        <v>529</v>
      </c>
      <c r="K188" s="374"/>
      <c r="L188" s="375" t="s">
        <v>530</v>
      </c>
    </row>
    <row r="189" spans="1:15" x14ac:dyDescent="0.3">
      <c r="B189" s="267" t="s">
        <v>594</v>
      </c>
      <c r="E189" s="288">
        <f>+E188-E187</f>
        <v>8.5122315382140563</v>
      </c>
      <c r="I189" s="372">
        <v>2</v>
      </c>
      <c r="J189" s="373" t="s">
        <v>531</v>
      </c>
      <c r="K189" s="374"/>
      <c r="L189" s="375" t="s">
        <v>532</v>
      </c>
    </row>
    <row r="190" spans="1:15" x14ac:dyDescent="0.3">
      <c r="B190" s="267" t="s">
        <v>533</v>
      </c>
      <c r="E190" s="287">
        <f>+E189/(E187*(E186-1))</f>
        <v>0.38965397969381371</v>
      </c>
      <c r="I190" s="372">
        <v>3</v>
      </c>
      <c r="J190" s="373" t="s">
        <v>534</v>
      </c>
      <c r="K190" s="374"/>
      <c r="L190" s="375" t="s">
        <v>535</v>
      </c>
    </row>
    <row r="191" spans="1:15" x14ac:dyDescent="0.3">
      <c r="B191" s="348" t="s">
        <v>588</v>
      </c>
      <c r="C191" s="346"/>
      <c r="D191" s="346"/>
      <c r="E191" s="349">
        <f>+E187+E190</f>
        <v>2.0700860438436695</v>
      </c>
      <c r="I191" s="372">
        <v>4</v>
      </c>
      <c r="J191" s="373" t="s">
        <v>536</v>
      </c>
      <c r="K191" s="374"/>
      <c r="L191" s="375" t="s">
        <v>537</v>
      </c>
    </row>
    <row r="192" spans="1:15" x14ac:dyDescent="0.3">
      <c r="I192" s="372">
        <v>5</v>
      </c>
      <c r="J192" s="373" t="s">
        <v>538</v>
      </c>
      <c r="K192" s="374"/>
      <c r="L192" s="375" t="s">
        <v>539</v>
      </c>
    </row>
    <row r="193" spans="1:5" x14ac:dyDescent="0.25">
      <c r="A193" s="277" t="s">
        <v>540</v>
      </c>
    </row>
    <row r="194" spans="1:5" x14ac:dyDescent="0.3">
      <c r="A194" s="267" t="str">
        <f>+'A-D.- FICHA'!C47</f>
        <v>Evaluación : Ing. Martín Pichón</v>
      </c>
    </row>
    <row r="199" spans="1:5" x14ac:dyDescent="0.3">
      <c r="E199" s="267">
        <f>+COUNTA(A157:A183)</f>
        <v>27</v>
      </c>
    </row>
  </sheetData>
  <mergeCells count="27">
    <mergeCell ref="D120:D121"/>
    <mergeCell ref="F120:K120"/>
    <mergeCell ref="C49:C50"/>
    <mergeCell ref="A10:A12"/>
    <mergeCell ref="B10:B12"/>
    <mergeCell ref="C10:C12"/>
    <mergeCell ref="D49:D50"/>
    <mergeCell ref="F49:K49"/>
    <mergeCell ref="D10:D12"/>
    <mergeCell ref="A49:A50"/>
    <mergeCell ref="B49:B50"/>
    <mergeCell ref="A3:L3"/>
    <mergeCell ref="A155:A156"/>
    <mergeCell ref="B155:B156"/>
    <mergeCell ref="F155:K155"/>
    <mergeCell ref="A85:A86"/>
    <mergeCell ref="B85:B86"/>
    <mergeCell ref="C85:C86"/>
    <mergeCell ref="D85:D86"/>
    <mergeCell ref="F85:K85"/>
    <mergeCell ref="A120:A121"/>
    <mergeCell ref="B120:B121"/>
    <mergeCell ref="L13:L45"/>
    <mergeCell ref="L10:L12"/>
    <mergeCell ref="E10:E12"/>
    <mergeCell ref="F10:K10"/>
    <mergeCell ref="C120:C121"/>
  </mergeCells>
  <printOptions horizontalCentered="1"/>
  <pageMargins left="0.31496062992125984" right="0.31496062992125984" top="0.74803149606299213" bottom="0.74803149606299213" header="0.31496062992125984" footer="0.31496062992125984"/>
  <pageSetup paperSize="9" scale="67" fitToWidth="0" orientation="portrait" r:id="rId1"/>
  <colBreaks count="1" manualBreakCount="1">
    <brk id="13" max="1048575" man="1"/>
  </col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pageSetUpPr fitToPage="1"/>
  </sheetPr>
  <dimension ref="B1:V58"/>
  <sheetViews>
    <sheetView tabSelected="1" view="pageBreakPreview" topLeftCell="A46" zoomScaleNormal="115" zoomScaleSheetLayoutView="100" zoomScalePageLayoutView="70" workbookViewId="0">
      <selection activeCell="H65" sqref="H65"/>
    </sheetView>
  </sheetViews>
  <sheetFormatPr baseColWidth="10" defaultRowHeight="13.2" x14ac:dyDescent="0.3"/>
  <cols>
    <col min="1" max="1" width="1.6640625" style="267" customWidth="1"/>
    <col min="2" max="3" width="9.6640625" style="267" customWidth="1"/>
    <col min="4" max="4" width="42.5546875" style="267" customWidth="1"/>
    <col min="5" max="9" width="12.6640625" style="267" customWidth="1"/>
    <col min="10" max="10" width="43.109375" style="267" customWidth="1"/>
    <col min="11" max="256" width="11.44140625" style="267"/>
    <col min="257" max="257" width="1.6640625" style="267" customWidth="1"/>
    <col min="258" max="259" width="9.6640625" style="267" customWidth="1"/>
    <col min="260" max="260" width="40.6640625" style="267" customWidth="1"/>
    <col min="261" max="265" width="12.6640625" style="267" customWidth="1"/>
    <col min="266" max="266" width="43.109375" style="267" customWidth="1"/>
    <col min="267" max="512" width="11.44140625" style="267"/>
    <col min="513" max="513" width="1.6640625" style="267" customWidth="1"/>
    <col min="514" max="515" width="9.6640625" style="267" customWidth="1"/>
    <col min="516" max="516" width="40.6640625" style="267" customWidth="1"/>
    <col min="517" max="521" width="12.6640625" style="267" customWidth="1"/>
    <col min="522" max="522" width="43.109375" style="267" customWidth="1"/>
    <col min="523" max="768" width="11.44140625" style="267"/>
    <col min="769" max="769" width="1.6640625" style="267" customWidth="1"/>
    <col min="770" max="771" width="9.6640625" style="267" customWidth="1"/>
    <col min="772" max="772" width="40.6640625" style="267" customWidth="1"/>
    <col min="773" max="777" width="12.6640625" style="267" customWidth="1"/>
    <col min="778" max="778" width="43.109375" style="267" customWidth="1"/>
    <col min="779" max="1024" width="11.44140625" style="267"/>
    <col min="1025" max="1025" width="1.6640625" style="267" customWidth="1"/>
    <col min="1026" max="1027" width="9.6640625" style="267" customWidth="1"/>
    <col min="1028" max="1028" width="40.6640625" style="267" customWidth="1"/>
    <col min="1029" max="1033" width="12.6640625" style="267" customWidth="1"/>
    <col min="1034" max="1034" width="43.109375" style="267" customWidth="1"/>
    <col min="1035" max="1280" width="11.44140625" style="267"/>
    <col min="1281" max="1281" width="1.6640625" style="267" customWidth="1"/>
    <col min="1282" max="1283" width="9.6640625" style="267" customWidth="1"/>
    <col min="1284" max="1284" width="40.6640625" style="267" customWidth="1"/>
    <col min="1285" max="1289" width="12.6640625" style="267" customWidth="1"/>
    <col min="1290" max="1290" width="43.109375" style="267" customWidth="1"/>
    <col min="1291" max="1536" width="11.44140625" style="267"/>
    <col min="1537" max="1537" width="1.6640625" style="267" customWidth="1"/>
    <col min="1538" max="1539" width="9.6640625" style="267" customWidth="1"/>
    <col min="1540" max="1540" width="40.6640625" style="267" customWidth="1"/>
    <col min="1541" max="1545" width="12.6640625" style="267" customWidth="1"/>
    <col min="1546" max="1546" width="43.109375" style="267" customWidth="1"/>
    <col min="1547" max="1792" width="11.44140625" style="267"/>
    <col min="1793" max="1793" width="1.6640625" style="267" customWidth="1"/>
    <col min="1794" max="1795" width="9.6640625" style="267" customWidth="1"/>
    <col min="1796" max="1796" width="40.6640625" style="267" customWidth="1"/>
    <col min="1797" max="1801" width="12.6640625" style="267" customWidth="1"/>
    <col min="1802" max="1802" width="43.109375" style="267" customWidth="1"/>
    <col min="1803" max="2048" width="11.44140625" style="267"/>
    <col min="2049" max="2049" width="1.6640625" style="267" customWidth="1"/>
    <col min="2050" max="2051" width="9.6640625" style="267" customWidth="1"/>
    <col min="2052" max="2052" width="40.6640625" style="267" customWidth="1"/>
    <col min="2053" max="2057" width="12.6640625" style="267" customWidth="1"/>
    <col min="2058" max="2058" width="43.109375" style="267" customWidth="1"/>
    <col min="2059" max="2304" width="11.44140625" style="267"/>
    <col min="2305" max="2305" width="1.6640625" style="267" customWidth="1"/>
    <col min="2306" max="2307" width="9.6640625" style="267" customWidth="1"/>
    <col min="2308" max="2308" width="40.6640625" style="267" customWidth="1"/>
    <col min="2309" max="2313" width="12.6640625" style="267" customWidth="1"/>
    <col min="2314" max="2314" width="43.109375" style="267" customWidth="1"/>
    <col min="2315" max="2560" width="11.44140625" style="267"/>
    <col min="2561" max="2561" width="1.6640625" style="267" customWidth="1"/>
    <col min="2562" max="2563" width="9.6640625" style="267" customWidth="1"/>
    <col min="2564" max="2564" width="40.6640625" style="267" customWidth="1"/>
    <col min="2565" max="2569" width="12.6640625" style="267" customWidth="1"/>
    <col min="2570" max="2570" width="43.109375" style="267" customWidth="1"/>
    <col min="2571" max="2816" width="11.44140625" style="267"/>
    <col min="2817" max="2817" width="1.6640625" style="267" customWidth="1"/>
    <col min="2818" max="2819" width="9.6640625" style="267" customWidth="1"/>
    <col min="2820" max="2820" width="40.6640625" style="267" customWidth="1"/>
    <col min="2821" max="2825" width="12.6640625" style="267" customWidth="1"/>
    <col min="2826" max="2826" width="43.109375" style="267" customWidth="1"/>
    <col min="2827" max="3072" width="11.44140625" style="267"/>
    <col min="3073" max="3073" width="1.6640625" style="267" customWidth="1"/>
    <col min="3074" max="3075" width="9.6640625" style="267" customWidth="1"/>
    <col min="3076" max="3076" width="40.6640625" style="267" customWidth="1"/>
    <col min="3077" max="3081" width="12.6640625" style="267" customWidth="1"/>
    <col min="3082" max="3082" width="43.109375" style="267" customWidth="1"/>
    <col min="3083" max="3328" width="11.44140625" style="267"/>
    <col min="3329" max="3329" width="1.6640625" style="267" customWidth="1"/>
    <col min="3330" max="3331" width="9.6640625" style="267" customWidth="1"/>
    <col min="3332" max="3332" width="40.6640625" style="267" customWidth="1"/>
    <col min="3333" max="3337" width="12.6640625" style="267" customWidth="1"/>
    <col min="3338" max="3338" width="43.109375" style="267" customWidth="1"/>
    <col min="3339" max="3584" width="11.44140625" style="267"/>
    <col min="3585" max="3585" width="1.6640625" style="267" customWidth="1"/>
    <col min="3586" max="3587" width="9.6640625" style="267" customWidth="1"/>
    <col min="3588" max="3588" width="40.6640625" style="267" customWidth="1"/>
    <col min="3589" max="3593" width="12.6640625" style="267" customWidth="1"/>
    <col min="3594" max="3594" width="43.109375" style="267" customWidth="1"/>
    <col min="3595" max="3840" width="11.44140625" style="267"/>
    <col min="3841" max="3841" width="1.6640625" style="267" customWidth="1"/>
    <col min="3842" max="3843" width="9.6640625" style="267" customWidth="1"/>
    <col min="3844" max="3844" width="40.6640625" style="267" customWidth="1"/>
    <col min="3845" max="3849" width="12.6640625" style="267" customWidth="1"/>
    <col min="3850" max="3850" width="43.109375" style="267" customWidth="1"/>
    <col min="3851" max="4096" width="11.44140625" style="267"/>
    <col min="4097" max="4097" width="1.6640625" style="267" customWidth="1"/>
    <col min="4098" max="4099" width="9.6640625" style="267" customWidth="1"/>
    <col min="4100" max="4100" width="40.6640625" style="267" customWidth="1"/>
    <col min="4101" max="4105" width="12.6640625" style="267" customWidth="1"/>
    <col min="4106" max="4106" width="43.109375" style="267" customWidth="1"/>
    <col min="4107" max="4352" width="11.44140625" style="267"/>
    <col min="4353" max="4353" width="1.6640625" style="267" customWidth="1"/>
    <col min="4354" max="4355" width="9.6640625" style="267" customWidth="1"/>
    <col min="4356" max="4356" width="40.6640625" style="267" customWidth="1"/>
    <col min="4357" max="4361" width="12.6640625" style="267" customWidth="1"/>
    <col min="4362" max="4362" width="43.109375" style="267" customWidth="1"/>
    <col min="4363" max="4608" width="11.44140625" style="267"/>
    <col min="4609" max="4609" width="1.6640625" style="267" customWidth="1"/>
    <col min="4610" max="4611" width="9.6640625" style="267" customWidth="1"/>
    <col min="4612" max="4612" width="40.6640625" style="267" customWidth="1"/>
    <col min="4613" max="4617" width="12.6640625" style="267" customWidth="1"/>
    <col min="4618" max="4618" width="43.109375" style="267" customWidth="1"/>
    <col min="4619" max="4864" width="11.44140625" style="267"/>
    <col min="4865" max="4865" width="1.6640625" style="267" customWidth="1"/>
    <col min="4866" max="4867" width="9.6640625" style="267" customWidth="1"/>
    <col min="4868" max="4868" width="40.6640625" style="267" customWidth="1"/>
    <col min="4869" max="4873" width="12.6640625" style="267" customWidth="1"/>
    <col min="4874" max="4874" width="43.109375" style="267" customWidth="1"/>
    <col min="4875" max="5120" width="11.44140625" style="267"/>
    <col min="5121" max="5121" width="1.6640625" style="267" customWidth="1"/>
    <col min="5122" max="5123" width="9.6640625" style="267" customWidth="1"/>
    <col min="5124" max="5124" width="40.6640625" style="267" customWidth="1"/>
    <col min="5125" max="5129" width="12.6640625" style="267" customWidth="1"/>
    <col min="5130" max="5130" width="43.109375" style="267" customWidth="1"/>
    <col min="5131" max="5376" width="11.44140625" style="267"/>
    <col min="5377" max="5377" width="1.6640625" style="267" customWidth="1"/>
    <col min="5378" max="5379" width="9.6640625" style="267" customWidth="1"/>
    <col min="5380" max="5380" width="40.6640625" style="267" customWidth="1"/>
    <col min="5381" max="5385" width="12.6640625" style="267" customWidth="1"/>
    <col min="5386" max="5386" width="43.109375" style="267" customWidth="1"/>
    <col min="5387" max="5632" width="11.44140625" style="267"/>
    <col min="5633" max="5633" width="1.6640625" style="267" customWidth="1"/>
    <col min="5634" max="5635" width="9.6640625" style="267" customWidth="1"/>
    <col min="5636" max="5636" width="40.6640625" style="267" customWidth="1"/>
    <col min="5637" max="5641" width="12.6640625" style="267" customWidth="1"/>
    <col min="5642" max="5642" width="43.109375" style="267" customWidth="1"/>
    <col min="5643" max="5888" width="11.44140625" style="267"/>
    <col min="5889" max="5889" width="1.6640625" style="267" customWidth="1"/>
    <col min="5890" max="5891" width="9.6640625" style="267" customWidth="1"/>
    <col min="5892" max="5892" width="40.6640625" style="267" customWidth="1"/>
    <col min="5893" max="5897" width="12.6640625" style="267" customWidth="1"/>
    <col min="5898" max="5898" width="43.109375" style="267" customWidth="1"/>
    <col min="5899" max="6144" width="11.44140625" style="267"/>
    <col min="6145" max="6145" width="1.6640625" style="267" customWidth="1"/>
    <col min="6146" max="6147" width="9.6640625" style="267" customWidth="1"/>
    <col min="6148" max="6148" width="40.6640625" style="267" customWidth="1"/>
    <col min="6149" max="6153" width="12.6640625" style="267" customWidth="1"/>
    <col min="6154" max="6154" width="43.109375" style="267" customWidth="1"/>
    <col min="6155" max="6400" width="11.44140625" style="267"/>
    <col min="6401" max="6401" width="1.6640625" style="267" customWidth="1"/>
    <col min="6402" max="6403" width="9.6640625" style="267" customWidth="1"/>
    <col min="6404" max="6404" width="40.6640625" style="267" customWidth="1"/>
    <col min="6405" max="6409" width="12.6640625" style="267" customWidth="1"/>
    <col min="6410" max="6410" width="43.109375" style="267" customWidth="1"/>
    <col min="6411" max="6656" width="11.44140625" style="267"/>
    <col min="6657" max="6657" width="1.6640625" style="267" customWidth="1"/>
    <col min="6658" max="6659" width="9.6640625" style="267" customWidth="1"/>
    <col min="6660" max="6660" width="40.6640625" style="267" customWidth="1"/>
    <col min="6661" max="6665" width="12.6640625" style="267" customWidth="1"/>
    <col min="6666" max="6666" width="43.109375" style="267" customWidth="1"/>
    <col min="6667" max="6912" width="11.44140625" style="267"/>
    <col min="6913" max="6913" width="1.6640625" style="267" customWidth="1"/>
    <col min="6914" max="6915" width="9.6640625" style="267" customWidth="1"/>
    <col min="6916" max="6916" width="40.6640625" style="267" customWidth="1"/>
    <col min="6917" max="6921" width="12.6640625" style="267" customWidth="1"/>
    <col min="6922" max="6922" width="43.109375" style="267" customWidth="1"/>
    <col min="6923" max="7168" width="11.44140625" style="267"/>
    <col min="7169" max="7169" width="1.6640625" style="267" customWidth="1"/>
    <col min="7170" max="7171" width="9.6640625" style="267" customWidth="1"/>
    <col min="7172" max="7172" width="40.6640625" style="267" customWidth="1"/>
    <col min="7173" max="7177" width="12.6640625" style="267" customWidth="1"/>
    <col min="7178" max="7178" width="43.109375" style="267" customWidth="1"/>
    <col min="7179" max="7424" width="11.44140625" style="267"/>
    <col min="7425" max="7425" width="1.6640625" style="267" customWidth="1"/>
    <col min="7426" max="7427" width="9.6640625" style="267" customWidth="1"/>
    <col min="7428" max="7428" width="40.6640625" style="267" customWidth="1"/>
    <col min="7429" max="7433" width="12.6640625" style="267" customWidth="1"/>
    <col min="7434" max="7434" width="43.109375" style="267" customWidth="1"/>
    <col min="7435" max="7680" width="11.44140625" style="267"/>
    <col min="7681" max="7681" width="1.6640625" style="267" customWidth="1"/>
    <col min="7682" max="7683" width="9.6640625" style="267" customWidth="1"/>
    <col min="7684" max="7684" width="40.6640625" style="267" customWidth="1"/>
    <col min="7685" max="7689" width="12.6640625" style="267" customWidth="1"/>
    <col min="7690" max="7690" width="43.109375" style="267" customWidth="1"/>
    <col min="7691" max="7936" width="11.44140625" style="267"/>
    <col min="7937" max="7937" width="1.6640625" style="267" customWidth="1"/>
    <col min="7938" max="7939" width="9.6640625" style="267" customWidth="1"/>
    <col min="7940" max="7940" width="40.6640625" style="267" customWidth="1"/>
    <col min="7941" max="7945" width="12.6640625" style="267" customWidth="1"/>
    <col min="7946" max="7946" width="43.109375" style="267" customWidth="1"/>
    <col min="7947" max="8192" width="11.44140625" style="267"/>
    <col min="8193" max="8193" width="1.6640625" style="267" customWidth="1"/>
    <col min="8194" max="8195" width="9.6640625" style="267" customWidth="1"/>
    <col min="8196" max="8196" width="40.6640625" style="267" customWidth="1"/>
    <col min="8197" max="8201" width="12.6640625" style="267" customWidth="1"/>
    <col min="8202" max="8202" width="43.109375" style="267" customWidth="1"/>
    <col min="8203" max="8448" width="11.44140625" style="267"/>
    <col min="8449" max="8449" width="1.6640625" style="267" customWidth="1"/>
    <col min="8450" max="8451" width="9.6640625" style="267" customWidth="1"/>
    <col min="8452" max="8452" width="40.6640625" style="267" customWidth="1"/>
    <col min="8453" max="8457" width="12.6640625" style="267" customWidth="1"/>
    <col min="8458" max="8458" width="43.109375" style="267" customWidth="1"/>
    <col min="8459" max="8704" width="11.44140625" style="267"/>
    <col min="8705" max="8705" width="1.6640625" style="267" customWidth="1"/>
    <col min="8706" max="8707" width="9.6640625" style="267" customWidth="1"/>
    <col min="8708" max="8708" width="40.6640625" style="267" customWidth="1"/>
    <col min="8709" max="8713" width="12.6640625" style="267" customWidth="1"/>
    <col min="8714" max="8714" width="43.109375" style="267" customWidth="1"/>
    <col min="8715" max="8960" width="11.44140625" style="267"/>
    <col min="8961" max="8961" width="1.6640625" style="267" customWidth="1"/>
    <col min="8962" max="8963" width="9.6640625" style="267" customWidth="1"/>
    <col min="8964" max="8964" width="40.6640625" style="267" customWidth="1"/>
    <col min="8965" max="8969" width="12.6640625" style="267" customWidth="1"/>
    <col min="8970" max="8970" width="43.109375" style="267" customWidth="1"/>
    <col min="8971" max="9216" width="11.44140625" style="267"/>
    <col min="9217" max="9217" width="1.6640625" style="267" customWidth="1"/>
    <col min="9218" max="9219" width="9.6640625" style="267" customWidth="1"/>
    <col min="9220" max="9220" width="40.6640625" style="267" customWidth="1"/>
    <col min="9221" max="9225" width="12.6640625" style="267" customWidth="1"/>
    <col min="9226" max="9226" width="43.109375" style="267" customWidth="1"/>
    <col min="9227" max="9472" width="11.44140625" style="267"/>
    <col min="9473" max="9473" width="1.6640625" style="267" customWidth="1"/>
    <col min="9474" max="9475" width="9.6640625" style="267" customWidth="1"/>
    <col min="9476" max="9476" width="40.6640625" style="267" customWidth="1"/>
    <col min="9477" max="9481" width="12.6640625" style="267" customWidth="1"/>
    <col min="9482" max="9482" width="43.109375" style="267" customWidth="1"/>
    <col min="9483" max="9728" width="11.44140625" style="267"/>
    <col min="9729" max="9729" width="1.6640625" style="267" customWidth="1"/>
    <col min="9730" max="9731" width="9.6640625" style="267" customWidth="1"/>
    <col min="9732" max="9732" width="40.6640625" style="267" customWidth="1"/>
    <col min="9733" max="9737" width="12.6640625" style="267" customWidth="1"/>
    <col min="9738" max="9738" width="43.109375" style="267" customWidth="1"/>
    <col min="9739" max="9984" width="11.44140625" style="267"/>
    <col min="9985" max="9985" width="1.6640625" style="267" customWidth="1"/>
    <col min="9986" max="9987" width="9.6640625" style="267" customWidth="1"/>
    <col min="9988" max="9988" width="40.6640625" style="267" customWidth="1"/>
    <col min="9989" max="9993" width="12.6640625" style="267" customWidth="1"/>
    <col min="9994" max="9994" width="43.109375" style="267" customWidth="1"/>
    <col min="9995" max="10240" width="11.44140625" style="267"/>
    <col min="10241" max="10241" width="1.6640625" style="267" customWidth="1"/>
    <col min="10242" max="10243" width="9.6640625" style="267" customWidth="1"/>
    <col min="10244" max="10244" width="40.6640625" style="267" customWidth="1"/>
    <col min="10245" max="10249" width="12.6640625" style="267" customWidth="1"/>
    <col min="10250" max="10250" width="43.109375" style="267" customWidth="1"/>
    <col min="10251" max="10496" width="11.44140625" style="267"/>
    <col min="10497" max="10497" width="1.6640625" style="267" customWidth="1"/>
    <col min="10498" max="10499" width="9.6640625" style="267" customWidth="1"/>
    <col min="10500" max="10500" width="40.6640625" style="267" customWidth="1"/>
    <col min="10501" max="10505" width="12.6640625" style="267" customWidth="1"/>
    <col min="10506" max="10506" width="43.109375" style="267" customWidth="1"/>
    <col min="10507" max="10752" width="11.44140625" style="267"/>
    <col min="10753" max="10753" width="1.6640625" style="267" customWidth="1"/>
    <col min="10754" max="10755" width="9.6640625" style="267" customWidth="1"/>
    <col min="10756" max="10756" width="40.6640625" style="267" customWidth="1"/>
    <col min="10757" max="10761" width="12.6640625" style="267" customWidth="1"/>
    <col min="10762" max="10762" width="43.109375" style="267" customWidth="1"/>
    <col min="10763" max="11008" width="11.44140625" style="267"/>
    <col min="11009" max="11009" width="1.6640625" style="267" customWidth="1"/>
    <col min="11010" max="11011" width="9.6640625" style="267" customWidth="1"/>
    <col min="11012" max="11012" width="40.6640625" style="267" customWidth="1"/>
    <col min="11013" max="11017" width="12.6640625" style="267" customWidth="1"/>
    <col min="11018" max="11018" width="43.109375" style="267" customWidth="1"/>
    <col min="11019" max="11264" width="11.44140625" style="267"/>
    <col min="11265" max="11265" width="1.6640625" style="267" customWidth="1"/>
    <col min="11266" max="11267" width="9.6640625" style="267" customWidth="1"/>
    <col min="11268" max="11268" width="40.6640625" style="267" customWidth="1"/>
    <col min="11269" max="11273" width="12.6640625" style="267" customWidth="1"/>
    <col min="11274" max="11274" width="43.109375" style="267" customWidth="1"/>
    <col min="11275" max="11520" width="11.44140625" style="267"/>
    <col min="11521" max="11521" width="1.6640625" style="267" customWidth="1"/>
    <col min="11522" max="11523" width="9.6640625" style="267" customWidth="1"/>
    <col min="11524" max="11524" width="40.6640625" style="267" customWidth="1"/>
    <col min="11525" max="11529" width="12.6640625" style="267" customWidth="1"/>
    <col min="11530" max="11530" width="43.109375" style="267" customWidth="1"/>
    <col min="11531" max="11776" width="11.44140625" style="267"/>
    <col min="11777" max="11777" width="1.6640625" style="267" customWidth="1"/>
    <col min="11778" max="11779" width="9.6640625" style="267" customWidth="1"/>
    <col min="11780" max="11780" width="40.6640625" style="267" customWidth="1"/>
    <col min="11781" max="11785" width="12.6640625" style="267" customWidth="1"/>
    <col min="11786" max="11786" width="43.109375" style="267" customWidth="1"/>
    <col min="11787" max="12032" width="11.44140625" style="267"/>
    <col min="12033" max="12033" width="1.6640625" style="267" customWidth="1"/>
    <col min="12034" max="12035" width="9.6640625" style="267" customWidth="1"/>
    <col min="12036" max="12036" width="40.6640625" style="267" customWidth="1"/>
    <col min="12037" max="12041" width="12.6640625" style="267" customWidth="1"/>
    <col min="12042" max="12042" width="43.109375" style="267" customWidth="1"/>
    <col min="12043" max="12288" width="11.44140625" style="267"/>
    <col min="12289" max="12289" width="1.6640625" style="267" customWidth="1"/>
    <col min="12290" max="12291" width="9.6640625" style="267" customWidth="1"/>
    <col min="12292" max="12292" width="40.6640625" style="267" customWidth="1"/>
    <col min="12293" max="12297" width="12.6640625" style="267" customWidth="1"/>
    <col min="12298" max="12298" width="43.109375" style="267" customWidth="1"/>
    <col min="12299" max="12544" width="11.44140625" style="267"/>
    <col min="12545" max="12545" width="1.6640625" style="267" customWidth="1"/>
    <col min="12546" max="12547" width="9.6640625" style="267" customWidth="1"/>
    <col min="12548" max="12548" width="40.6640625" style="267" customWidth="1"/>
    <col min="12549" max="12553" width="12.6640625" style="267" customWidth="1"/>
    <col min="12554" max="12554" width="43.109375" style="267" customWidth="1"/>
    <col min="12555" max="12800" width="11.44140625" style="267"/>
    <col min="12801" max="12801" width="1.6640625" style="267" customWidth="1"/>
    <col min="12802" max="12803" width="9.6640625" style="267" customWidth="1"/>
    <col min="12804" max="12804" width="40.6640625" style="267" customWidth="1"/>
    <col min="12805" max="12809" width="12.6640625" style="267" customWidth="1"/>
    <col min="12810" max="12810" width="43.109375" style="267" customWidth="1"/>
    <col min="12811" max="13056" width="11.44140625" style="267"/>
    <col min="13057" max="13057" width="1.6640625" style="267" customWidth="1"/>
    <col min="13058" max="13059" width="9.6640625" style="267" customWidth="1"/>
    <col min="13060" max="13060" width="40.6640625" style="267" customWidth="1"/>
    <col min="13061" max="13065" width="12.6640625" style="267" customWidth="1"/>
    <col min="13066" max="13066" width="43.109375" style="267" customWidth="1"/>
    <col min="13067" max="13312" width="11.44140625" style="267"/>
    <col min="13313" max="13313" width="1.6640625" style="267" customWidth="1"/>
    <col min="13314" max="13315" width="9.6640625" style="267" customWidth="1"/>
    <col min="13316" max="13316" width="40.6640625" style="267" customWidth="1"/>
    <col min="13317" max="13321" width="12.6640625" style="267" customWidth="1"/>
    <col min="13322" max="13322" width="43.109375" style="267" customWidth="1"/>
    <col min="13323" max="13568" width="11.44140625" style="267"/>
    <col min="13569" max="13569" width="1.6640625" style="267" customWidth="1"/>
    <col min="13570" max="13571" width="9.6640625" style="267" customWidth="1"/>
    <col min="13572" max="13572" width="40.6640625" style="267" customWidth="1"/>
    <col min="13573" max="13577" width="12.6640625" style="267" customWidth="1"/>
    <col min="13578" max="13578" width="43.109375" style="267" customWidth="1"/>
    <col min="13579" max="13824" width="11.44140625" style="267"/>
    <col min="13825" max="13825" width="1.6640625" style="267" customWidth="1"/>
    <col min="13826" max="13827" width="9.6640625" style="267" customWidth="1"/>
    <col min="13828" max="13828" width="40.6640625" style="267" customWidth="1"/>
    <col min="13829" max="13833" width="12.6640625" style="267" customWidth="1"/>
    <col min="13834" max="13834" width="43.109375" style="267" customWidth="1"/>
    <col min="13835" max="14080" width="11.44140625" style="267"/>
    <col min="14081" max="14081" width="1.6640625" style="267" customWidth="1"/>
    <col min="14082" max="14083" width="9.6640625" style="267" customWidth="1"/>
    <col min="14084" max="14084" width="40.6640625" style="267" customWidth="1"/>
    <col min="14085" max="14089" width="12.6640625" style="267" customWidth="1"/>
    <col min="14090" max="14090" width="43.109375" style="267" customWidth="1"/>
    <col min="14091" max="14336" width="11.44140625" style="267"/>
    <col min="14337" max="14337" width="1.6640625" style="267" customWidth="1"/>
    <col min="14338" max="14339" width="9.6640625" style="267" customWidth="1"/>
    <col min="14340" max="14340" width="40.6640625" style="267" customWidth="1"/>
    <col min="14341" max="14345" width="12.6640625" style="267" customWidth="1"/>
    <col min="14346" max="14346" width="43.109375" style="267" customWidth="1"/>
    <col min="14347" max="14592" width="11.44140625" style="267"/>
    <col min="14593" max="14593" width="1.6640625" style="267" customWidth="1"/>
    <col min="14594" max="14595" width="9.6640625" style="267" customWidth="1"/>
    <col min="14596" max="14596" width="40.6640625" style="267" customWidth="1"/>
    <col min="14597" max="14601" width="12.6640625" style="267" customWidth="1"/>
    <col min="14602" max="14602" width="43.109375" style="267" customWidth="1"/>
    <col min="14603" max="14848" width="11.44140625" style="267"/>
    <col min="14849" max="14849" width="1.6640625" style="267" customWidth="1"/>
    <col min="14850" max="14851" width="9.6640625" style="267" customWidth="1"/>
    <col min="14852" max="14852" width="40.6640625" style="267" customWidth="1"/>
    <col min="14853" max="14857" width="12.6640625" style="267" customWidth="1"/>
    <col min="14858" max="14858" width="43.109375" style="267" customWidth="1"/>
    <col min="14859" max="15104" width="11.44140625" style="267"/>
    <col min="15105" max="15105" width="1.6640625" style="267" customWidth="1"/>
    <col min="15106" max="15107" width="9.6640625" style="267" customWidth="1"/>
    <col min="15108" max="15108" width="40.6640625" style="267" customWidth="1"/>
    <col min="15109" max="15113" width="12.6640625" style="267" customWidth="1"/>
    <col min="15114" max="15114" width="43.109375" style="267" customWidth="1"/>
    <col min="15115" max="15360" width="11.44140625" style="267"/>
    <col min="15361" max="15361" width="1.6640625" style="267" customWidth="1"/>
    <col min="15362" max="15363" width="9.6640625" style="267" customWidth="1"/>
    <col min="15364" max="15364" width="40.6640625" style="267" customWidth="1"/>
    <col min="15365" max="15369" width="12.6640625" style="267" customWidth="1"/>
    <col min="15370" max="15370" width="43.109375" style="267" customWidth="1"/>
    <col min="15371" max="15616" width="11.44140625" style="267"/>
    <col min="15617" max="15617" width="1.6640625" style="267" customWidth="1"/>
    <col min="15618" max="15619" width="9.6640625" style="267" customWidth="1"/>
    <col min="15620" max="15620" width="40.6640625" style="267" customWidth="1"/>
    <col min="15621" max="15625" width="12.6640625" style="267" customWidth="1"/>
    <col min="15626" max="15626" width="43.109375" style="267" customWidth="1"/>
    <col min="15627" max="15872" width="11.44140625" style="267"/>
    <col min="15873" max="15873" width="1.6640625" style="267" customWidth="1"/>
    <col min="15874" max="15875" width="9.6640625" style="267" customWidth="1"/>
    <col min="15876" max="15876" width="40.6640625" style="267" customWidth="1"/>
    <col min="15877" max="15881" width="12.6640625" style="267" customWidth="1"/>
    <col min="15882" max="15882" width="43.109375" style="267" customWidth="1"/>
    <col min="15883" max="16128" width="11.44140625" style="267"/>
    <col min="16129" max="16129" width="1.6640625" style="267" customWidth="1"/>
    <col min="16130" max="16131" width="9.6640625" style="267" customWidth="1"/>
    <col min="16132" max="16132" width="40.6640625" style="267" customWidth="1"/>
    <col min="16133" max="16137" width="12.6640625" style="267" customWidth="1"/>
    <col min="16138" max="16138" width="43.109375" style="267" customWidth="1"/>
    <col min="16139" max="16384" width="11.44140625" style="267"/>
  </cols>
  <sheetData>
    <row r="1" spans="2:22" s="61" customFormat="1" ht="18" x14ac:dyDescent="0.35">
      <c r="J1" s="573"/>
      <c r="K1" s="573"/>
      <c r="L1" s="573"/>
      <c r="M1" s="573"/>
      <c r="N1" s="573"/>
      <c r="O1" s="573"/>
      <c r="P1" s="573"/>
      <c r="Q1" s="574"/>
      <c r="R1" s="574"/>
      <c r="S1" s="574"/>
      <c r="T1" s="574"/>
      <c r="U1" s="574"/>
      <c r="V1" s="574"/>
    </row>
    <row r="2" spans="2:22" s="61" customFormat="1" ht="18" x14ac:dyDescent="0.35">
      <c r="J2" s="573"/>
      <c r="K2" s="573"/>
      <c r="L2" s="573"/>
      <c r="M2" s="573"/>
      <c r="N2" s="573"/>
      <c r="O2" s="573"/>
      <c r="P2" s="573"/>
      <c r="Q2" s="574"/>
    </row>
    <row r="3" spans="2:22" s="61" customFormat="1" ht="13.8" x14ac:dyDescent="0.25">
      <c r="J3" s="575"/>
      <c r="K3" s="575"/>
      <c r="L3" s="575"/>
      <c r="M3" s="575"/>
      <c r="N3" s="575"/>
      <c r="O3" s="576"/>
      <c r="Q3" s="2"/>
    </row>
    <row r="4" spans="2:22" s="61" customFormat="1" ht="17.399999999999999" x14ac:dyDescent="0.3">
      <c r="B4" s="803" t="s">
        <v>850</v>
      </c>
      <c r="C4" s="803"/>
      <c r="D4" s="803"/>
      <c r="E4" s="803"/>
      <c r="F4" s="803"/>
      <c r="G4" s="803"/>
      <c r="H4" s="803"/>
      <c r="I4" s="803"/>
      <c r="J4" s="577"/>
      <c r="K4" s="577"/>
      <c r="L4" s="577"/>
      <c r="M4" s="577"/>
      <c r="N4" s="577"/>
      <c r="O4" s="578"/>
      <c r="Q4" s="577"/>
    </row>
    <row r="5" spans="2:22" ht="13.8" thickBot="1" x14ac:dyDescent="0.35"/>
    <row r="6" spans="2:22" ht="16.2" thickTop="1" x14ac:dyDescent="0.3">
      <c r="B6" s="804" t="s">
        <v>851</v>
      </c>
      <c r="C6" s="805"/>
      <c r="D6" s="805"/>
      <c r="E6" s="805"/>
      <c r="F6" s="806"/>
      <c r="G6" s="579"/>
      <c r="H6" s="579"/>
      <c r="I6" s="579"/>
      <c r="J6" s="579"/>
    </row>
    <row r="7" spans="2:22" ht="16.2" thickBot="1" x14ac:dyDescent="0.35">
      <c r="B7" s="807"/>
      <c r="C7" s="808"/>
      <c r="D7" s="808"/>
      <c r="E7" s="808"/>
      <c r="F7" s="809"/>
      <c r="G7" s="579"/>
      <c r="H7" s="579"/>
      <c r="I7" s="579"/>
      <c r="J7" s="579"/>
    </row>
    <row r="8" spans="2:22" ht="13.8" thickTop="1" x14ac:dyDescent="0.3"/>
    <row r="9" spans="2:22" ht="15.6" x14ac:dyDescent="0.3">
      <c r="B9" s="537"/>
      <c r="C9" s="810" t="s">
        <v>852</v>
      </c>
      <c r="D9" s="811"/>
      <c r="G9" s="580"/>
      <c r="I9" s="268"/>
    </row>
    <row r="10" spans="2:22" ht="15.6" x14ac:dyDescent="0.3">
      <c r="B10" s="581"/>
      <c r="C10" s="812"/>
      <c r="D10" s="813"/>
      <c r="E10" s="582"/>
      <c r="F10" s="582"/>
      <c r="G10" s="582"/>
      <c r="H10" s="323"/>
      <c r="I10" s="583"/>
    </row>
    <row r="11" spans="2:22" x14ac:dyDescent="0.3">
      <c r="B11" s="289"/>
      <c r="I11" s="584"/>
    </row>
    <row r="12" spans="2:22" x14ac:dyDescent="0.25">
      <c r="B12" s="585" t="s">
        <v>853</v>
      </c>
      <c r="C12" s="61"/>
      <c r="D12" s="61" t="str">
        <f>+Hoja3!C11</f>
        <v>PUENTE AGUA BLANCA</v>
      </c>
      <c r="E12" s="61"/>
      <c r="I12" s="586"/>
    </row>
    <row r="13" spans="2:22" x14ac:dyDescent="0.25">
      <c r="B13" s="585" t="s">
        <v>559</v>
      </c>
      <c r="C13" s="61"/>
      <c r="D13" s="61" t="str">
        <f>+Hoja3!C7</f>
        <v>MO-100</v>
      </c>
      <c r="E13" s="61"/>
      <c r="I13" s="586"/>
    </row>
    <row r="14" spans="2:22" x14ac:dyDescent="0.25">
      <c r="B14" s="585" t="s">
        <v>560</v>
      </c>
      <c r="C14" s="61"/>
      <c r="D14" s="587">
        <f>+Hoja3!C10</f>
        <v>30298</v>
      </c>
      <c r="E14" s="587"/>
      <c r="I14" s="588"/>
    </row>
    <row r="15" spans="2:22" x14ac:dyDescent="0.25">
      <c r="B15" s="585"/>
      <c r="C15" s="61"/>
      <c r="D15" s="61"/>
      <c r="E15" s="61"/>
      <c r="I15" s="588"/>
    </row>
    <row r="16" spans="2:22" x14ac:dyDescent="0.3">
      <c r="B16" s="589"/>
      <c r="I16" s="590"/>
    </row>
    <row r="17" spans="2:9" x14ac:dyDescent="0.3">
      <c r="B17" s="800" t="s">
        <v>509</v>
      </c>
      <c r="C17" s="801"/>
      <c r="D17" s="802"/>
      <c r="E17" s="591"/>
      <c r="F17" s="801" t="s">
        <v>854</v>
      </c>
      <c r="G17" s="801"/>
      <c r="H17" s="801"/>
      <c r="I17" s="802"/>
    </row>
    <row r="18" spans="2:9" x14ac:dyDescent="0.3">
      <c r="B18" s="814" t="s">
        <v>855</v>
      </c>
      <c r="C18" s="814"/>
      <c r="D18" s="814"/>
      <c r="E18" s="814"/>
      <c r="F18" s="814"/>
      <c r="G18" s="814"/>
      <c r="H18" s="814"/>
      <c r="I18" s="814"/>
    </row>
    <row r="19" spans="2:9" ht="5.25" customHeight="1" x14ac:dyDescent="0.3">
      <c r="B19" s="821" t="str">
        <f>_xlfn.CONCAT("De acuerdo a la evaluación realizada al ",'A-D.- FICHA'!J9:L9," y a los terminos de referencia (Gestión y relevamiento de Puentes); de ser necesario, corresponde realizar acciones normativas.")</f>
        <v>De acuerdo a la evaluación realizada al PUENTE AGUA BLANCA y a los terminos de referencia (Gestión y relevamiento de Puentes); de ser necesario, corresponde realizar acciones normativas.</v>
      </c>
      <c r="C19" s="822"/>
      <c r="D19" s="823"/>
      <c r="E19" s="821"/>
      <c r="F19" s="822"/>
      <c r="G19" s="822"/>
      <c r="H19" s="822"/>
      <c r="I19" s="823"/>
    </row>
    <row r="20" spans="2:9" ht="5.25" customHeight="1" x14ac:dyDescent="0.3">
      <c r="B20" s="824"/>
      <c r="C20" s="825"/>
      <c r="D20" s="826"/>
      <c r="E20" s="824"/>
      <c r="F20" s="825"/>
      <c r="G20" s="825"/>
      <c r="H20" s="825"/>
      <c r="I20" s="826"/>
    </row>
    <row r="21" spans="2:9" ht="5.25" customHeight="1" x14ac:dyDescent="0.3">
      <c r="B21" s="824"/>
      <c r="C21" s="825"/>
      <c r="D21" s="826"/>
      <c r="E21" s="824"/>
      <c r="F21" s="825"/>
      <c r="G21" s="825"/>
      <c r="H21" s="825"/>
      <c r="I21" s="826"/>
    </row>
    <row r="22" spans="2:9" ht="5.25" customHeight="1" x14ac:dyDescent="0.3">
      <c r="B22" s="824"/>
      <c r="C22" s="825"/>
      <c r="D22" s="826"/>
      <c r="E22" s="824"/>
      <c r="F22" s="825"/>
      <c r="G22" s="825"/>
      <c r="H22" s="825"/>
      <c r="I22" s="826"/>
    </row>
    <row r="23" spans="2:9" ht="5.25" customHeight="1" x14ac:dyDescent="0.3">
      <c r="B23" s="824"/>
      <c r="C23" s="825"/>
      <c r="D23" s="826"/>
      <c r="E23" s="824"/>
      <c r="F23" s="825"/>
      <c r="G23" s="825"/>
      <c r="H23" s="825"/>
      <c r="I23" s="826"/>
    </row>
    <row r="24" spans="2:9" ht="5.25" customHeight="1" x14ac:dyDescent="0.3">
      <c r="B24" s="824"/>
      <c r="C24" s="825"/>
      <c r="D24" s="826"/>
      <c r="E24" s="824"/>
      <c r="F24" s="825"/>
      <c r="G24" s="825"/>
      <c r="H24" s="825"/>
      <c r="I24" s="826"/>
    </row>
    <row r="25" spans="2:9" ht="5.25" customHeight="1" x14ac:dyDescent="0.3">
      <c r="B25" s="824"/>
      <c r="C25" s="825"/>
      <c r="D25" s="826"/>
      <c r="E25" s="824"/>
      <c r="F25" s="825"/>
      <c r="G25" s="825"/>
      <c r="H25" s="825"/>
      <c r="I25" s="826"/>
    </row>
    <row r="26" spans="2:9" ht="5.25" customHeight="1" x14ac:dyDescent="0.3">
      <c r="B26" s="824"/>
      <c r="C26" s="825"/>
      <c r="D26" s="826"/>
      <c r="E26" s="824"/>
      <c r="F26" s="825"/>
      <c r="G26" s="825"/>
      <c r="H26" s="825"/>
      <c r="I26" s="826"/>
    </row>
    <row r="27" spans="2:9" ht="5.25" customHeight="1" x14ac:dyDescent="0.3">
      <c r="B27" s="827"/>
      <c r="C27" s="828"/>
      <c r="D27" s="829"/>
      <c r="E27" s="827"/>
      <c r="F27" s="828"/>
      <c r="G27" s="828"/>
      <c r="H27" s="828"/>
      <c r="I27" s="829"/>
    </row>
    <row r="28" spans="2:9" x14ac:dyDescent="0.3">
      <c r="B28" s="814" t="s">
        <v>856</v>
      </c>
      <c r="C28" s="814"/>
      <c r="D28" s="814"/>
      <c r="E28" s="814"/>
      <c r="F28" s="814"/>
      <c r="G28" s="814"/>
      <c r="H28" s="814"/>
      <c r="I28" s="814"/>
    </row>
    <row r="29" spans="2:9" ht="5.25" customHeight="1" x14ac:dyDescent="0.3">
      <c r="B29" s="821" t="str">
        <f>+_xlfn.CONCAT("De acuerdo a la evaluación realizada al Puente ",'A-D.- FICHA'!J9:L9," y a los terminos de referencia (Gestión y Relevamiento de Puentes); de ser necesario, corresponde realizar acciones preventivas.")</f>
        <v>De acuerdo a la evaluación realizada al Puente PUENTE AGUA BLANCA y a los terminos de referencia (Gestión y Relevamiento de Puentes); de ser necesario, corresponde realizar acciones preventivas.</v>
      </c>
      <c r="C29" s="822"/>
      <c r="D29" s="823"/>
      <c r="E29" s="821" t="s">
        <v>881</v>
      </c>
      <c r="F29" s="822"/>
      <c r="G29" s="822"/>
      <c r="H29" s="822"/>
      <c r="I29" s="823"/>
    </row>
    <row r="30" spans="2:9" ht="5.25" customHeight="1" x14ac:dyDescent="0.3">
      <c r="B30" s="824"/>
      <c r="C30" s="825"/>
      <c r="D30" s="826"/>
      <c r="E30" s="824"/>
      <c r="F30" s="825"/>
      <c r="G30" s="825"/>
      <c r="H30" s="825"/>
      <c r="I30" s="826"/>
    </row>
    <row r="31" spans="2:9" ht="5.25" customHeight="1" x14ac:dyDescent="0.3">
      <c r="B31" s="824"/>
      <c r="C31" s="825"/>
      <c r="D31" s="826"/>
      <c r="E31" s="824"/>
      <c r="F31" s="825"/>
      <c r="G31" s="825"/>
      <c r="H31" s="825"/>
      <c r="I31" s="826"/>
    </row>
    <row r="32" spans="2:9" ht="5.25" customHeight="1" x14ac:dyDescent="0.3">
      <c r="B32" s="824"/>
      <c r="C32" s="825"/>
      <c r="D32" s="826"/>
      <c r="E32" s="824"/>
      <c r="F32" s="825"/>
      <c r="G32" s="825"/>
      <c r="H32" s="825"/>
      <c r="I32" s="826"/>
    </row>
    <row r="33" spans="2:9" ht="5.25" customHeight="1" x14ac:dyDescent="0.3">
      <c r="B33" s="824"/>
      <c r="C33" s="825"/>
      <c r="D33" s="826"/>
      <c r="E33" s="824"/>
      <c r="F33" s="825"/>
      <c r="G33" s="825"/>
      <c r="H33" s="825"/>
      <c r="I33" s="826"/>
    </row>
    <row r="34" spans="2:9" ht="5.25" customHeight="1" x14ac:dyDescent="0.3">
      <c r="B34" s="824"/>
      <c r="C34" s="825"/>
      <c r="D34" s="826"/>
      <c r="E34" s="824"/>
      <c r="F34" s="825"/>
      <c r="G34" s="825"/>
      <c r="H34" s="825"/>
      <c r="I34" s="826"/>
    </row>
    <row r="35" spans="2:9" ht="5.25" customHeight="1" x14ac:dyDescent="0.3">
      <c r="B35" s="824"/>
      <c r="C35" s="825"/>
      <c r="D35" s="826"/>
      <c r="E35" s="824"/>
      <c r="F35" s="825"/>
      <c r="G35" s="825"/>
      <c r="H35" s="825"/>
      <c r="I35" s="826"/>
    </row>
    <row r="36" spans="2:9" ht="5.25" customHeight="1" x14ac:dyDescent="0.3">
      <c r="B36" s="824"/>
      <c r="C36" s="825"/>
      <c r="D36" s="826"/>
      <c r="E36" s="824"/>
      <c r="F36" s="825"/>
      <c r="G36" s="825"/>
      <c r="H36" s="825"/>
      <c r="I36" s="826"/>
    </row>
    <row r="37" spans="2:9" ht="5.25" customHeight="1" x14ac:dyDescent="0.3">
      <c r="B37" s="827"/>
      <c r="C37" s="828"/>
      <c r="D37" s="829"/>
      <c r="E37" s="827"/>
      <c r="F37" s="828"/>
      <c r="G37" s="828"/>
      <c r="H37" s="828"/>
      <c r="I37" s="829"/>
    </row>
    <row r="38" spans="2:9" x14ac:dyDescent="0.3">
      <c r="B38" s="814" t="s">
        <v>857</v>
      </c>
      <c r="C38" s="814"/>
      <c r="D38" s="814"/>
      <c r="E38" s="814"/>
      <c r="F38" s="814"/>
      <c r="G38" s="814"/>
      <c r="H38" s="814"/>
      <c r="I38" s="814"/>
    </row>
    <row r="39" spans="2:9" ht="22.5" customHeight="1" x14ac:dyDescent="0.3">
      <c r="B39" s="830" t="str">
        <f>_xlfn.CONCAT("De la inspeccion realizada podemos indicar las siguientes conclusiones:", "
La evaluación de la condición estadística del ",'A-D.- FICHA'!J9:L9, ", efectuada bajo la metodología SCAP señala que el puente se encuentra en la calificación ",'G.- CONDICION ESTADISTICA'!M12," requiriéndose realizar el mantenimiento rutinario a fin de mejorar e incrementar su vida útil, a continuacion detallamos las acciones a realizar.")</f>
        <v>De la inspeccion realizada podemos indicar las siguientes conclusiones:
La evaluación de la condición estadística del PUENTE AGUA BLANCA, efectuada bajo la metodología SCAP señala que el puente se encuentra en la calificación REGULAR requiriéndose realizar el mantenimiento rutinario a fin de mejorar e incrementar su vida útil, a continuacion detallamos las acciones a realizar.</v>
      </c>
      <c r="C39" s="831"/>
      <c r="D39" s="832"/>
      <c r="E39" s="830" t="str">
        <f>_xlfn.CONCAT("De la inspección realizada podemos indicar las siguientes conclusiones:","
Realizar el mantenimiento periodico a fin de mejorar e incrementar la vida útil del ",'A-D.- FICHA'!J9:L9,", a continuacion detallamos las acciones a realizar.")</f>
        <v>De la inspección realizada podemos indicar las siguientes conclusiones:
Realizar el mantenimiento periodico a fin de mejorar e incrementar la vida útil del PUENTE AGUA BLANCA, a continuacion detallamos las acciones a realizar.</v>
      </c>
      <c r="F39" s="831"/>
      <c r="G39" s="831"/>
      <c r="H39" s="831"/>
      <c r="I39" s="832"/>
    </row>
    <row r="40" spans="2:9" ht="22.5" customHeight="1" x14ac:dyDescent="0.3">
      <c r="B40" s="833"/>
      <c r="C40" s="834"/>
      <c r="D40" s="835"/>
      <c r="E40" s="833"/>
      <c r="F40" s="834"/>
      <c r="G40" s="834"/>
      <c r="H40" s="834"/>
      <c r="I40" s="835"/>
    </row>
    <row r="41" spans="2:9" ht="22.5" customHeight="1" x14ac:dyDescent="0.3">
      <c r="B41" s="833"/>
      <c r="C41" s="834"/>
      <c r="D41" s="835"/>
      <c r="E41" s="833"/>
      <c r="F41" s="834"/>
      <c r="G41" s="834"/>
      <c r="H41" s="834"/>
      <c r="I41" s="835"/>
    </row>
    <row r="42" spans="2:9" ht="22.5" customHeight="1" x14ac:dyDescent="0.3">
      <c r="B42" s="833"/>
      <c r="C42" s="834"/>
      <c r="D42" s="835"/>
      <c r="E42" s="833"/>
      <c r="F42" s="834"/>
      <c r="G42" s="834"/>
      <c r="H42" s="834"/>
      <c r="I42" s="835"/>
    </row>
    <row r="43" spans="2:9" ht="22.5" customHeight="1" x14ac:dyDescent="0.3">
      <c r="B43" s="833" t="s">
        <v>917</v>
      </c>
      <c r="C43" s="834"/>
      <c r="D43" s="835"/>
      <c r="E43" s="833" t="s">
        <v>926</v>
      </c>
      <c r="F43" s="834"/>
      <c r="G43" s="834"/>
      <c r="H43" s="834"/>
      <c r="I43" s="835"/>
    </row>
    <row r="44" spans="2:9" ht="22.5" customHeight="1" x14ac:dyDescent="0.3">
      <c r="B44" s="833"/>
      <c r="C44" s="834"/>
      <c r="D44" s="835"/>
      <c r="E44" s="833"/>
      <c r="F44" s="834"/>
      <c r="G44" s="834"/>
      <c r="H44" s="834"/>
      <c r="I44" s="835"/>
    </row>
    <row r="45" spans="2:9" ht="22.5" customHeight="1" x14ac:dyDescent="0.3">
      <c r="B45" s="833"/>
      <c r="C45" s="834"/>
      <c r="D45" s="835"/>
      <c r="E45" s="833"/>
      <c r="F45" s="834"/>
      <c r="G45" s="834"/>
      <c r="H45" s="834"/>
      <c r="I45" s="835"/>
    </row>
    <row r="46" spans="2:9" ht="22.5" customHeight="1" x14ac:dyDescent="0.3">
      <c r="B46" s="833"/>
      <c r="C46" s="834"/>
      <c r="D46" s="835"/>
      <c r="E46" s="833"/>
      <c r="F46" s="834"/>
      <c r="G46" s="834"/>
      <c r="H46" s="834"/>
      <c r="I46" s="835"/>
    </row>
    <row r="47" spans="2:9" ht="22.5" customHeight="1" x14ac:dyDescent="0.3">
      <c r="B47" s="836"/>
      <c r="C47" s="837"/>
      <c r="D47" s="838"/>
      <c r="E47" s="836"/>
      <c r="F47" s="837"/>
      <c r="G47" s="837"/>
      <c r="H47" s="837"/>
      <c r="I47" s="838"/>
    </row>
    <row r="48" spans="2:9" x14ac:dyDescent="0.25">
      <c r="B48" s="592"/>
      <c r="C48" s="593"/>
      <c r="D48" s="593"/>
      <c r="E48" s="593"/>
      <c r="F48" s="593"/>
      <c r="G48" s="593"/>
      <c r="H48" s="593"/>
      <c r="I48" s="594"/>
    </row>
    <row r="49" spans="2:9" x14ac:dyDescent="0.3">
      <c r="B49" s="815"/>
      <c r="C49" s="816"/>
      <c r="D49" s="816"/>
      <c r="E49" s="816"/>
      <c r="F49" s="816"/>
      <c r="G49" s="816"/>
      <c r="H49" s="816"/>
      <c r="I49" s="817"/>
    </row>
    <row r="50" spans="2:9" x14ac:dyDescent="0.3">
      <c r="B50" s="815"/>
      <c r="C50" s="816"/>
      <c r="D50" s="816"/>
      <c r="E50" s="816"/>
      <c r="F50" s="816"/>
      <c r="G50" s="816"/>
      <c r="H50" s="816"/>
      <c r="I50" s="817"/>
    </row>
    <row r="51" spans="2:9" x14ac:dyDescent="0.3">
      <c r="B51" s="815"/>
      <c r="C51" s="816"/>
      <c r="D51" s="816"/>
      <c r="E51" s="816"/>
      <c r="F51" s="816"/>
      <c r="G51" s="816"/>
      <c r="H51" s="816"/>
      <c r="I51" s="817"/>
    </row>
    <row r="52" spans="2:9" x14ac:dyDescent="0.3">
      <c r="B52" s="815"/>
      <c r="C52" s="816"/>
      <c r="D52" s="816"/>
      <c r="E52" s="816"/>
      <c r="F52" s="816"/>
      <c r="G52" s="816"/>
      <c r="H52" s="816"/>
      <c r="I52" s="817"/>
    </row>
    <row r="53" spans="2:9" x14ac:dyDescent="0.3">
      <c r="B53" s="815"/>
      <c r="C53" s="816"/>
      <c r="D53" s="816"/>
      <c r="E53" s="816"/>
      <c r="F53" s="816"/>
      <c r="G53" s="816"/>
      <c r="H53" s="816"/>
      <c r="I53" s="817"/>
    </row>
    <row r="54" spans="2:9" x14ac:dyDescent="0.3">
      <c r="B54" s="818"/>
      <c r="C54" s="819"/>
      <c r="D54" s="819"/>
      <c r="E54" s="819"/>
      <c r="F54" s="819"/>
      <c r="G54" s="819"/>
      <c r="H54" s="819"/>
      <c r="I54" s="820"/>
    </row>
    <row r="55" spans="2:9" x14ac:dyDescent="0.25">
      <c r="B55" s="277"/>
      <c r="C55" s="277"/>
      <c r="D55" s="277"/>
      <c r="E55" s="277"/>
      <c r="F55" s="277"/>
      <c r="G55" s="277"/>
      <c r="H55" s="277"/>
    </row>
    <row r="56" spans="2:9" x14ac:dyDescent="0.25">
      <c r="B56" s="277" t="s">
        <v>858</v>
      </c>
      <c r="C56" s="277"/>
      <c r="D56" s="606">
        <f>'A-D.- FICHA'!N31</f>
        <v>45715</v>
      </c>
      <c r="E56" s="277"/>
      <c r="F56" s="277"/>
      <c r="G56" s="277"/>
      <c r="H56" s="277"/>
    </row>
    <row r="57" spans="2:9" x14ac:dyDescent="0.25">
      <c r="B57" s="277" t="s">
        <v>859</v>
      </c>
      <c r="C57" s="277"/>
      <c r="D57" s="277" t="s">
        <v>938</v>
      </c>
      <c r="E57" s="277"/>
      <c r="G57" s="74"/>
      <c r="H57" s="248"/>
      <c r="I57" s="595"/>
    </row>
    <row r="58" spans="2:9" x14ac:dyDescent="0.3">
      <c r="H58" s="283" t="s">
        <v>860</v>
      </c>
    </row>
  </sheetData>
  <mergeCells count="17">
    <mergeCell ref="B38:I38"/>
    <mergeCell ref="B49:I54"/>
    <mergeCell ref="B18:I18"/>
    <mergeCell ref="B19:D27"/>
    <mergeCell ref="E19:I27"/>
    <mergeCell ref="B28:I28"/>
    <mergeCell ref="B29:D37"/>
    <mergeCell ref="E29:I37"/>
    <mergeCell ref="B39:D42"/>
    <mergeCell ref="E39:I42"/>
    <mergeCell ref="B43:D47"/>
    <mergeCell ref="E43:I47"/>
    <mergeCell ref="B17:D17"/>
    <mergeCell ref="F17:I17"/>
    <mergeCell ref="B4:I4"/>
    <mergeCell ref="B6:F7"/>
    <mergeCell ref="C9:D10"/>
  </mergeCells>
  <printOptions horizontalCentered="1"/>
  <pageMargins left="0.31496062992125984" right="0.31496062992125984" top="0.74803149606299213" bottom="0.35433070866141736" header="0.31496062992125984" footer="0.31496062992125984"/>
  <pageSetup paperSize="9" scale="76" fitToHeight="0" orientation="portrait" r:id="rId1"/>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
    <tabColor rgb="FFFFFF00"/>
  </sheetPr>
  <dimension ref="B1:I116"/>
  <sheetViews>
    <sheetView workbookViewId="0"/>
  </sheetViews>
  <sheetFormatPr baseColWidth="10" defaultRowHeight="14.4" x14ac:dyDescent="0.3"/>
  <cols>
    <col min="3" max="3" width="7.33203125" customWidth="1"/>
    <col min="4" max="4" width="56.44140625" customWidth="1"/>
    <col min="6" max="6" width="11.33203125" customWidth="1"/>
    <col min="7" max="7" width="13.33203125" customWidth="1"/>
    <col min="9" max="9" width="17.5546875" customWidth="1"/>
    <col min="10" max="10" width="9.88671875" customWidth="1"/>
    <col min="11" max="12" width="25.6640625" bestFit="1" customWidth="1"/>
  </cols>
  <sheetData>
    <row r="1" spans="2:9" ht="27" customHeight="1" x14ac:dyDescent="0.3"/>
    <row r="2" spans="2:9" ht="15.75" customHeight="1" thickBot="1" x14ac:dyDescent="0.35"/>
    <row r="3" spans="2:9" ht="30.75" customHeight="1" x14ac:dyDescent="0.3">
      <c r="B3" s="839" t="s">
        <v>348</v>
      </c>
      <c r="C3" s="840"/>
      <c r="D3" s="840"/>
      <c r="E3" s="840"/>
      <c r="F3" s="841"/>
    </row>
    <row r="4" spans="2:9" ht="39.6" x14ac:dyDescent="0.3">
      <c r="B4" s="488" t="s">
        <v>349</v>
      </c>
      <c r="C4" s="488" t="s">
        <v>350</v>
      </c>
      <c r="D4" s="489">
        <v>1</v>
      </c>
      <c r="E4" s="488" t="s">
        <v>351</v>
      </c>
      <c r="F4" s="490" t="s">
        <v>352</v>
      </c>
      <c r="G4" s="491" t="s">
        <v>647</v>
      </c>
    </row>
    <row r="5" spans="2:9" ht="15" customHeight="1" x14ac:dyDescent="0.3">
      <c r="B5" s="137">
        <v>1</v>
      </c>
      <c r="C5" s="138">
        <v>101</v>
      </c>
      <c r="D5" s="140" t="s">
        <v>353</v>
      </c>
      <c r="E5" s="141" t="s">
        <v>354</v>
      </c>
      <c r="F5" s="142">
        <v>1</v>
      </c>
      <c r="G5" s="479" t="s">
        <v>642</v>
      </c>
    </row>
    <row r="6" spans="2:9" x14ac:dyDescent="0.3">
      <c r="B6" s="137">
        <f>1+B5</f>
        <v>2</v>
      </c>
      <c r="C6" s="138">
        <v>102</v>
      </c>
      <c r="D6" s="140" t="s">
        <v>358</v>
      </c>
      <c r="E6" s="141" t="s">
        <v>354</v>
      </c>
      <c r="F6" s="142">
        <v>1</v>
      </c>
      <c r="G6" s="480" t="s">
        <v>642</v>
      </c>
      <c r="I6" t="s">
        <v>648</v>
      </c>
    </row>
    <row r="7" spans="2:9" ht="15" customHeight="1" x14ac:dyDescent="0.3">
      <c r="B7" s="137">
        <f>1+B6</f>
        <v>3</v>
      </c>
      <c r="C7" s="143">
        <v>103</v>
      </c>
      <c r="D7" s="145" t="s">
        <v>359</v>
      </c>
      <c r="E7" s="146" t="s">
        <v>354</v>
      </c>
      <c r="F7" s="147">
        <v>0.6</v>
      </c>
      <c r="G7" s="480" t="s">
        <v>642</v>
      </c>
    </row>
    <row r="8" spans="2:9" x14ac:dyDescent="0.3">
      <c r="B8" s="137">
        <f>1+B7</f>
        <v>4</v>
      </c>
      <c r="C8" s="143">
        <v>104</v>
      </c>
      <c r="D8" s="145" t="s">
        <v>361</v>
      </c>
      <c r="E8" s="146" t="s">
        <v>354</v>
      </c>
      <c r="F8" s="147">
        <v>0.6</v>
      </c>
      <c r="G8" s="480" t="s">
        <v>642</v>
      </c>
      <c r="I8" s="487"/>
    </row>
    <row r="9" spans="2:9" x14ac:dyDescent="0.3">
      <c r="B9" s="137">
        <f>1+B8</f>
        <v>5</v>
      </c>
      <c r="C9" s="143">
        <v>105</v>
      </c>
      <c r="D9" s="145" t="s">
        <v>362</v>
      </c>
      <c r="E9" s="146" t="s">
        <v>354</v>
      </c>
      <c r="F9" s="147">
        <v>0.6</v>
      </c>
      <c r="G9" s="480" t="s">
        <v>642</v>
      </c>
    </row>
    <row r="10" spans="2:9" x14ac:dyDescent="0.3">
      <c r="B10" s="137">
        <f t="shared" ref="B10:B73" si="0">1+B9</f>
        <v>6</v>
      </c>
      <c r="C10" s="143">
        <v>106</v>
      </c>
      <c r="D10" s="145" t="s">
        <v>363</v>
      </c>
      <c r="E10" s="146" t="s">
        <v>329</v>
      </c>
      <c r="F10" s="147">
        <v>0.6</v>
      </c>
      <c r="G10" s="480" t="s">
        <v>642</v>
      </c>
    </row>
    <row r="11" spans="2:9" x14ac:dyDescent="0.3">
      <c r="B11" s="137">
        <f t="shared" si="0"/>
        <v>7</v>
      </c>
      <c r="C11" s="143">
        <v>107</v>
      </c>
      <c r="D11" s="145" t="s">
        <v>364</v>
      </c>
      <c r="E11" s="146" t="s">
        <v>365</v>
      </c>
      <c r="F11" s="147">
        <v>0.6</v>
      </c>
      <c r="G11" s="480" t="s">
        <v>642</v>
      </c>
    </row>
    <row r="12" spans="2:9" x14ac:dyDescent="0.3">
      <c r="B12" s="137">
        <f t="shared" si="0"/>
        <v>8</v>
      </c>
      <c r="C12" s="143">
        <v>110</v>
      </c>
      <c r="D12" s="145" t="s">
        <v>366</v>
      </c>
      <c r="E12" s="146" t="s">
        <v>354</v>
      </c>
      <c r="F12" s="147">
        <v>1</v>
      </c>
      <c r="G12" s="480" t="s">
        <v>642</v>
      </c>
    </row>
    <row r="13" spans="2:9" x14ac:dyDescent="0.3">
      <c r="B13" s="137">
        <f t="shared" si="0"/>
        <v>9</v>
      </c>
      <c r="C13" s="143">
        <v>111</v>
      </c>
      <c r="D13" s="145" t="s">
        <v>367</v>
      </c>
      <c r="E13" s="146" t="s">
        <v>354</v>
      </c>
      <c r="F13" s="147">
        <v>0.8</v>
      </c>
      <c r="G13" s="480" t="s">
        <v>642</v>
      </c>
    </row>
    <row r="14" spans="2:9" x14ac:dyDescent="0.3">
      <c r="B14" s="137">
        <f t="shared" si="0"/>
        <v>10</v>
      </c>
      <c r="C14" s="143">
        <v>112</v>
      </c>
      <c r="D14" s="145" t="s">
        <v>368</v>
      </c>
      <c r="E14" s="146" t="s">
        <v>354</v>
      </c>
      <c r="F14" s="147">
        <v>1</v>
      </c>
      <c r="G14" s="480" t="s">
        <v>642</v>
      </c>
    </row>
    <row r="15" spans="2:9" x14ac:dyDescent="0.3">
      <c r="B15" s="137">
        <f t="shared" si="0"/>
        <v>11</v>
      </c>
      <c r="C15" s="143">
        <v>113</v>
      </c>
      <c r="D15" s="145" t="s">
        <v>369</v>
      </c>
      <c r="E15" s="146" t="s">
        <v>354</v>
      </c>
      <c r="F15" s="147">
        <v>0.8</v>
      </c>
      <c r="G15" s="480" t="s">
        <v>642</v>
      </c>
    </row>
    <row r="16" spans="2:9" x14ac:dyDescent="0.3">
      <c r="B16" s="137">
        <f t="shared" si="0"/>
        <v>12</v>
      </c>
      <c r="C16" s="143">
        <v>114</v>
      </c>
      <c r="D16" s="145" t="s">
        <v>370</v>
      </c>
      <c r="E16" s="146" t="s">
        <v>326</v>
      </c>
      <c r="F16" s="147">
        <v>1</v>
      </c>
      <c r="G16" s="480" t="s">
        <v>642</v>
      </c>
    </row>
    <row r="17" spans="2:7" x14ac:dyDescent="0.3">
      <c r="B17" s="137">
        <f t="shared" si="0"/>
        <v>13</v>
      </c>
      <c r="C17" s="143">
        <v>115</v>
      </c>
      <c r="D17" s="145" t="s">
        <v>371</v>
      </c>
      <c r="E17" s="146" t="s">
        <v>326</v>
      </c>
      <c r="F17" s="147">
        <v>0.8</v>
      </c>
      <c r="G17" s="480" t="s">
        <v>642</v>
      </c>
    </row>
    <row r="18" spans="2:7" x14ac:dyDescent="0.3">
      <c r="B18" s="137">
        <f t="shared" si="0"/>
        <v>14</v>
      </c>
      <c r="C18" s="143">
        <v>116</v>
      </c>
      <c r="D18" s="145" t="s">
        <v>372</v>
      </c>
      <c r="E18" s="146" t="s">
        <v>365</v>
      </c>
      <c r="F18" s="147">
        <v>1</v>
      </c>
      <c r="G18" s="480" t="s">
        <v>642</v>
      </c>
    </row>
    <row r="19" spans="2:7" x14ac:dyDescent="0.3">
      <c r="B19" s="137">
        <f t="shared" si="0"/>
        <v>15</v>
      </c>
      <c r="C19" s="143">
        <v>117</v>
      </c>
      <c r="D19" s="145" t="s">
        <v>299</v>
      </c>
      <c r="E19" s="146" t="s">
        <v>326</v>
      </c>
      <c r="F19" s="147">
        <v>0.6</v>
      </c>
      <c r="G19" s="480" t="s">
        <v>642</v>
      </c>
    </row>
    <row r="20" spans="2:7" x14ac:dyDescent="0.3">
      <c r="B20" s="137">
        <f t="shared" si="0"/>
        <v>16</v>
      </c>
      <c r="C20" s="148">
        <v>131</v>
      </c>
      <c r="D20" s="150" t="s">
        <v>373</v>
      </c>
      <c r="E20" s="151" t="s">
        <v>354</v>
      </c>
      <c r="F20" s="152">
        <v>1</v>
      </c>
      <c r="G20" s="480" t="s">
        <v>642</v>
      </c>
    </row>
    <row r="21" spans="2:7" x14ac:dyDescent="0.3">
      <c r="B21" s="137">
        <f t="shared" si="0"/>
        <v>17</v>
      </c>
      <c r="C21" s="148">
        <v>132</v>
      </c>
      <c r="D21" s="150" t="s">
        <v>375</v>
      </c>
      <c r="E21" s="151" t="s">
        <v>354</v>
      </c>
      <c r="F21" s="152">
        <v>1</v>
      </c>
      <c r="G21" s="480" t="s">
        <v>642</v>
      </c>
    </row>
    <row r="22" spans="2:7" x14ac:dyDescent="0.3">
      <c r="B22" s="137">
        <f t="shared" si="0"/>
        <v>18</v>
      </c>
      <c r="C22" s="148">
        <v>133</v>
      </c>
      <c r="D22" s="150" t="s">
        <v>376</v>
      </c>
      <c r="E22" s="151" t="s">
        <v>326</v>
      </c>
      <c r="F22" s="152">
        <v>1</v>
      </c>
      <c r="G22" s="480" t="s">
        <v>642</v>
      </c>
    </row>
    <row r="23" spans="2:7" x14ac:dyDescent="0.3">
      <c r="B23" s="137">
        <f t="shared" si="0"/>
        <v>19</v>
      </c>
      <c r="C23" s="148">
        <v>134</v>
      </c>
      <c r="D23" s="150" t="s">
        <v>377</v>
      </c>
      <c r="E23" s="151" t="s">
        <v>354</v>
      </c>
      <c r="F23" s="152">
        <v>1</v>
      </c>
      <c r="G23" s="480" t="s">
        <v>642</v>
      </c>
    </row>
    <row r="24" spans="2:7" x14ac:dyDescent="0.3">
      <c r="B24" s="137">
        <f t="shared" si="0"/>
        <v>20</v>
      </c>
      <c r="C24" s="148">
        <v>135</v>
      </c>
      <c r="D24" s="150" t="s">
        <v>378</v>
      </c>
      <c r="E24" s="151" t="s">
        <v>354</v>
      </c>
      <c r="F24" s="152">
        <v>1</v>
      </c>
      <c r="G24" s="480" t="s">
        <v>642</v>
      </c>
    </row>
    <row r="25" spans="2:7" x14ac:dyDescent="0.3">
      <c r="B25" s="137">
        <f t="shared" si="0"/>
        <v>21</v>
      </c>
      <c r="C25" s="148">
        <v>136</v>
      </c>
      <c r="D25" s="150" t="s">
        <v>379</v>
      </c>
      <c r="E25" s="151" t="s">
        <v>354</v>
      </c>
      <c r="F25" s="152">
        <v>1</v>
      </c>
      <c r="G25" s="480" t="s">
        <v>642</v>
      </c>
    </row>
    <row r="26" spans="2:7" x14ac:dyDescent="0.3">
      <c r="B26" s="137">
        <f t="shared" si="0"/>
        <v>22</v>
      </c>
      <c r="C26" s="148">
        <v>137</v>
      </c>
      <c r="D26" s="150" t="s">
        <v>299</v>
      </c>
      <c r="E26" s="151" t="s">
        <v>326</v>
      </c>
      <c r="F26" s="152">
        <v>1</v>
      </c>
      <c r="G26" s="480" t="s">
        <v>642</v>
      </c>
    </row>
    <row r="27" spans="2:7" x14ac:dyDescent="0.3">
      <c r="B27" s="137">
        <f t="shared" si="0"/>
        <v>23</v>
      </c>
      <c r="C27" s="154">
        <v>145</v>
      </c>
      <c r="D27" s="156" t="s">
        <v>380</v>
      </c>
      <c r="E27" s="157" t="s">
        <v>354</v>
      </c>
      <c r="F27" s="158">
        <v>1</v>
      </c>
      <c r="G27" s="480" t="s">
        <v>642</v>
      </c>
    </row>
    <row r="28" spans="2:7" x14ac:dyDescent="0.3">
      <c r="B28" s="137">
        <f t="shared" si="0"/>
        <v>24</v>
      </c>
      <c r="C28" s="154">
        <v>146</v>
      </c>
      <c r="D28" s="156" t="s">
        <v>382</v>
      </c>
      <c r="E28" s="157" t="s">
        <v>326</v>
      </c>
      <c r="F28" s="158">
        <v>1</v>
      </c>
      <c r="G28" s="480" t="s">
        <v>642</v>
      </c>
    </row>
    <row r="29" spans="2:7" x14ac:dyDescent="0.3">
      <c r="B29" s="137">
        <f t="shared" si="0"/>
        <v>25</v>
      </c>
      <c r="C29" s="154">
        <v>147</v>
      </c>
      <c r="D29" s="156" t="s">
        <v>299</v>
      </c>
      <c r="E29" s="157" t="s">
        <v>326</v>
      </c>
      <c r="F29" s="158">
        <v>0.6</v>
      </c>
      <c r="G29" s="480" t="s">
        <v>642</v>
      </c>
    </row>
    <row r="30" spans="2:7" x14ac:dyDescent="0.3">
      <c r="B30" s="137">
        <f t="shared" si="0"/>
        <v>26</v>
      </c>
      <c r="C30" s="148">
        <v>160</v>
      </c>
      <c r="D30" s="159" t="s">
        <v>383</v>
      </c>
      <c r="E30" s="151" t="s">
        <v>326</v>
      </c>
      <c r="F30" s="152">
        <v>1</v>
      </c>
      <c r="G30" s="480" t="s">
        <v>642</v>
      </c>
    </row>
    <row r="31" spans="2:7" x14ac:dyDescent="0.3">
      <c r="B31" s="137">
        <f t="shared" si="0"/>
        <v>27</v>
      </c>
      <c r="C31" s="148">
        <v>161</v>
      </c>
      <c r="D31" s="150" t="s">
        <v>300</v>
      </c>
      <c r="E31" s="151" t="s">
        <v>326</v>
      </c>
      <c r="F31" s="152">
        <v>0.8</v>
      </c>
      <c r="G31" s="480" t="s">
        <v>642</v>
      </c>
    </row>
    <row r="32" spans="2:7" x14ac:dyDescent="0.3">
      <c r="B32" s="137">
        <f t="shared" si="0"/>
        <v>28</v>
      </c>
      <c r="C32" s="148">
        <v>162</v>
      </c>
      <c r="D32" s="150" t="s">
        <v>299</v>
      </c>
      <c r="E32" s="151" t="s">
        <v>326</v>
      </c>
      <c r="F32" s="152">
        <v>0.6</v>
      </c>
      <c r="G32" s="480" t="s">
        <v>642</v>
      </c>
    </row>
    <row r="33" spans="2:7" x14ac:dyDescent="0.3">
      <c r="B33" s="137">
        <f t="shared" si="0"/>
        <v>29</v>
      </c>
      <c r="C33" s="154">
        <v>168</v>
      </c>
      <c r="D33" s="156" t="s">
        <v>385</v>
      </c>
      <c r="E33" s="157" t="s">
        <v>308</v>
      </c>
      <c r="F33" s="158">
        <v>1</v>
      </c>
      <c r="G33" s="480" t="s">
        <v>642</v>
      </c>
    </row>
    <row r="34" spans="2:7" x14ac:dyDescent="0.3">
      <c r="B34" s="137">
        <f t="shared" si="0"/>
        <v>30</v>
      </c>
      <c r="C34" s="148">
        <v>180</v>
      </c>
      <c r="D34" s="150" t="s">
        <v>387</v>
      </c>
      <c r="E34" s="151" t="s">
        <v>326</v>
      </c>
      <c r="F34" s="152">
        <v>1</v>
      </c>
      <c r="G34" s="480" t="s">
        <v>642</v>
      </c>
    </row>
    <row r="35" spans="2:7" x14ac:dyDescent="0.3">
      <c r="B35" s="137">
        <f t="shared" si="0"/>
        <v>31</v>
      </c>
      <c r="C35" s="148">
        <v>181</v>
      </c>
      <c r="D35" s="150" t="s">
        <v>389</v>
      </c>
      <c r="E35" s="151" t="s">
        <v>308</v>
      </c>
      <c r="F35" s="152">
        <v>1</v>
      </c>
      <c r="G35" s="480" t="s">
        <v>642</v>
      </c>
    </row>
    <row r="36" spans="2:7" x14ac:dyDescent="0.3">
      <c r="B36" s="137">
        <f t="shared" si="0"/>
        <v>32</v>
      </c>
      <c r="C36" s="148">
        <v>182</v>
      </c>
      <c r="D36" s="150" t="s">
        <v>390</v>
      </c>
      <c r="E36" s="151" t="s">
        <v>326</v>
      </c>
      <c r="F36" s="152">
        <v>1</v>
      </c>
      <c r="G36" s="480" t="s">
        <v>642</v>
      </c>
    </row>
    <row r="37" spans="2:7" x14ac:dyDescent="0.3">
      <c r="B37" s="137">
        <f t="shared" si="0"/>
        <v>33</v>
      </c>
      <c r="C37" s="148">
        <v>183</v>
      </c>
      <c r="D37" s="150" t="s">
        <v>391</v>
      </c>
      <c r="E37" s="151" t="s">
        <v>326</v>
      </c>
      <c r="F37" s="152">
        <v>1</v>
      </c>
      <c r="G37" s="480" t="s">
        <v>642</v>
      </c>
    </row>
    <row r="38" spans="2:7" x14ac:dyDescent="0.3">
      <c r="B38" s="137">
        <f t="shared" si="0"/>
        <v>34</v>
      </c>
      <c r="C38" s="148">
        <v>184</v>
      </c>
      <c r="D38" s="159" t="s">
        <v>392</v>
      </c>
      <c r="E38" s="151" t="s">
        <v>308</v>
      </c>
      <c r="F38" s="152">
        <v>1</v>
      </c>
      <c r="G38" s="480" t="s">
        <v>642</v>
      </c>
    </row>
    <row r="39" spans="2:7" x14ac:dyDescent="0.3">
      <c r="B39" s="137">
        <f t="shared" si="0"/>
        <v>35</v>
      </c>
      <c r="C39" s="148">
        <v>185</v>
      </c>
      <c r="D39" s="150" t="s">
        <v>393</v>
      </c>
      <c r="E39" s="151" t="s">
        <v>326</v>
      </c>
      <c r="F39" s="152">
        <v>1</v>
      </c>
      <c r="G39" s="480" t="s">
        <v>642</v>
      </c>
    </row>
    <row r="40" spans="2:7" x14ac:dyDescent="0.3">
      <c r="B40" s="137">
        <f t="shared" si="0"/>
        <v>36</v>
      </c>
      <c r="C40" s="148">
        <v>186</v>
      </c>
      <c r="D40" s="150" t="s">
        <v>299</v>
      </c>
      <c r="E40" s="151" t="s">
        <v>326</v>
      </c>
      <c r="F40" s="152">
        <v>0.6</v>
      </c>
      <c r="G40" s="480" t="s">
        <v>642</v>
      </c>
    </row>
    <row r="41" spans="2:7" ht="15" customHeight="1" x14ac:dyDescent="0.3">
      <c r="B41" s="137">
        <f t="shared" si="0"/>
        <v>37</v>
      </c>
      <c r="C41" s="154">
        <v>190</v>
      </c>
      <c r="D41" s="156" t="s">
        <v>359</v>
      </c>
      <c r="E41" s="157" t="s">
        <v>354</v>
      </c>
      <c r="F41" s="158">
        <v>0.6</v>
      </c>
      <c r="G41" s="480" t="s">
        <v>642</v>
      </c>
    </row>
    <row r="42" spans="2:7" x14ac:dyDescent="0.3">
      <c r="B42" s="137">
        <f t="shared" si="0"/>
        <v>38</v>
      </c>
      <c r="C42" s="154">
        <v>191</v>
      </c>
      <c r="D42" s="156" t="s">
        <v>353</v>
      </c>
      <c r="E42" s="157" t="s">
        <v>354</v>
      </c>
      <c r="F42" s="158">
        <v>0.6</v>
      </c>
      <c r="G42" s="480" t="s">
        <v>642</v>
      </c>
    </row>
    <row r="43" spans="2:7" x14ac:dyDescent="0.3">
      <c r="B43" s="137">
        <f t="shared" si="0"/>
        <v>39</v>
      </c>
      <c r="C43" s="154">
        <v>192</v>
      </c>
      <c r="D43" s="156" t="s">
        <v>378</v>
      </c>
      <c r="E43" s="157" t="s">
        <v>354</v>
      </c>
      <c r="F43" s="158">
        <v>0.6</v>
      </c>
      <c r="G43" s="480" t="s">
        <v>642</v>
      </c>
    </row>
    <row r="44" spans="2:7" x14ac:dyDescent="0.3">
      <c r="B44" s="137">
        <f t="shared" si="0"/>
        <v>40</v>
      </c>
      <c r="C44" s="154">
        <v>193</v>
      </c>
      <c r="D44" s="156" t="s">
        <v>395</v>
      </c>
      <c r="E44" s="157" t="s">
        <v>354</v>
      </c>
      <c r="F44" s="158">
        <v>0.6</v>
      </c>
      <c r="G44" s="480" t="s">
        <v>642</v>
      </c>
    </row>
    <row r="45" spans="2:7" x14ac:dyDescent="0.3">
      <c r="B45" s="137">
        <f t="shared" si="0"/>
        <v>41</v>
      </c>
      <c r="C45" s="161">
        <v>195</v>
      </c>
      <c r="D45" s="163" t="s">
        <v>396</v>
      </c>
      <c r="E45" s="164" t="s">
        <v>354</v>
      </c>
      <c r="F45" s="165">
        <v>0.6</v>
      </c>
      <c r="G45" s="480" t="s">
        <v>642</v>
      </c>
    </row>
    <row r="46" spans="2:7" x14ac:dyDescent="0.3">
      <c r="B46" s="137">
        <f t="shared" si="0"/>
        <v>42</v>
      </c>
      <c r="C46" s="148">
        <v>196</v>
      </c>
      <c r="D46" s="150" t="s">
        <v>397</v>
      </c>
      <c r="E46" s="151" t="s">
        <v>329</v>
      </c>
      <c r="F46" s="152">
        <v>1</v>
      </c>
      <c r="G46" s="492" t="s">
        <v>642</v>
      </c>
    </row>
    <row r="47" spans="2:7" ht="15" customHeight="1" x14ac:dyDescent="0.3">
      <c r="B47" s="137">
        <f t="shared" si="0"/>
        <v>43</v>
      </c>
      <c r="C47" s="154">
        <v>201</v>
      </c>
      <c r="D47" s="155" t="s">
        <v>399</v>
      </c>
      <c r="E47" s="157" t="s">
        <v>354</v>
      </c>
      <c r="F47" s="158">
        <v>1</v>
      </c>
      <c r="G47" s="482" t="s">
        <v>645</v>
      </c>
    </row>
    <row r="48" spans="2:7" x14ac:dyDescent="0.3">
      <c r="B48" s="137">
        <f t="shared" si="0"/>
        <v>44</v>
      </c>
      <c r="C48" s="154">
        <v>202</v>
      </c>
      <c r="D48" s="155" t="s">
        <v>302</v>
      </c>
      <c r="E48" s="157" t="s">
        <v>354</v>
      </c>
      <c r="F48" s="158">
        <v>1</v>
      </c>
      <c r="G48" s="483" t="s">
        <v>645</v>
      </c>
    </row>
    <row r="49" spans="2:7" x14ac:dyDescent="0.3">
      <c r="B49" s="137">
        <f t="shared" si="0"/>
        <v>45</v>
      </c>
      <c r="C49" s="154">
        <v>203</v>
      </c>
      <c r="D49" s="156" t="s">
        <v>402</v>
      </c>
      <c r="E49" s="157" t="s">
        <v>365</v>
      </c>
      <c r="F49" s="158">
        <v>1</v>
      </c>
      <c r="G49" s="483" t="s">
        <v>645</v>
      </c>
    </row>
    <row r="50" spans="2:7" x14ac:dyDescent="0.3">
      <c r="B50" s="137">
        <f t="shared" si="0"/>
        <v>46</v>
      </c>
      <c r="C50" s="154">
        <v>204</v>
      </c>
      <c r="D50" s="156" t="s">
        <v>403</v>
      </c>
      <c r="E50" s="157" t="s">
        <v>354</v>
      </c>
      <c r="F50" s="158">
        <v>0.6</v>
      </c>
      <c r="G50" s="483" t="s">
        <v>645</v>
      </c>
    </row>
    <row r="51" spans="2:7" x14ac:dyDescent="0.3">
      <c r="B51" s="137">
        <f t="shared" si="0"/>
        <v>47</v>
      </c>
      <c r="C51" s="154">
        <v>205</v>
      </c>
      <c r="D51" s="156" t="s">
        <v>404</v>
      </c>
      <c r="E51" s="157" t="s">
        <v>354</v>
      </c>
      <c r="F51" s="158">
        <v>0.6</v>
      </c>
      <c r="G51" s="483" t="s">
        <v>645</v>
      </c>
    </row>
    <row r="52" spans="2:7" x14ac:dyDescent="0.3">
      <c r="B52" s="137">
        <f t="shared" si="0"/>
        <v>48</v>
      </c>
      <c r="C52" s="154">
        <v>206</v>
      </c>
      <c r="D52" s="156" t="s">
        <v>405</v>
      </c>
      <c r="E52" s="157" t="s">
        <v>365</v>
      </c>
      <c r="F52" s="158">
        <v>0.6</v>
      </c>
      <c r="G52" s="483" t="s">
        <v>645</v>
      </c>
    </row>
    <row r="53" spans="2:7" x14ac:dyDescent="0.3">
      <c r="B53" s="137">
        <f t="shared" si="0"/>
        <v>49</v>
      </c>
      <c r="C53" s="154">
        <v>207</v>
      </c>
      <c r="D53" s="178" t="s">
        <v>406</v>
      </c>
      <c r="E53" s="157" t="s">
        <v>354</v>
      </c>
      <c r="F53" s="158">
        <v>1</v>
      </c>
      <c r="G53" s="483" t="s">
        <v>645</v>
      </c>
    </row>
    <row r="54" spans="2:7" x14ac:dyDescent="0.3">
      <c r="B54" s="137">
        <f t="shared" si="0"/>
        <v>50</v>
      </c>
      <c r="C54" s="154">
        <v>208</v>
      </c>
      <c r="D54" s="155" t="s">
        <v>407</v>
      </c>
      <c r="E54" s="157" t="s">
        <v>354</v>
      </c>
      <c r="F54" s="158">
        <v>0.6</v>
      </c>
      <c r="G54" s="483" t="s">
        <v>645</v>
      </c>
    </row>
    <row r="55" spans="2:7" x14ac:dyDescent="0.3">
      <c r="B55" s="137">
        <f t="shared" si="0"/>
        <v>51</v>
      </c>
      <c r="C55" s="154">
        <v>215</v>
      </c>
      <c r="D55" s="156" t="s">
        <v>408</v>
      </c>
      <c r="E55" s="157" t="s">
        <v>354</v>
      </c>
      <c r="F55" s="158">
        <v>1</v>
      </c>
      <c r="G55" s="483" t="s">
        <v>645</v>
      </c>
    </row>
    <row r="56" spans="2:7" x14ac:dyDescent="0.3">
      <c r="B56" s="137">
        <f t="shared" si="0"/>
        <v>52</v>
      </c>
      <c r="C56" s="154">
        <v>216</v>
      </c>
      <c r="D56" s="156" t="s">
        <v>409</v>
      </c>
      <c r="E56" s="157" t="s">
        <v>354</v>
      </c>
      <c r="F56" s="158">
        <v>1</v>
      </c>
      <c r="G56" s="483" t="s">
        <v>645</v>
      </c>
    </row>
    <row r="57" spans="2:7" x14ac:dyDescent="0.3">
      <c r="B57" s="137">
        <f t="shared" si="0"/>
        <v>53</v>
      </c>
      <c r="C57" s="154">
        <v>217</v>
      </c>
      <c r="D57" s="156" t="s">
        <v>410</v>
      </c>
      <c r="E57" s="157" t="s">
        <v>354</v>
      </c>
      <c r="F57" s="158">
        <v>1</v>
      </c>
      <c r="G57" s="483" t="s">
        <v>645</v>
      </c>
    </row>
    <row r="58" spans="2:7" x14ac:dyDescent="0.3">
      <c r="B58" s="137">
        <f t="shared" si="0"/>
        <v>54</v>
      </c>
      <c r="C58" s="154">
        <v>220</v>
      </c>
      <c r="D58" s="156" t="s">
        <v>411</v>
      </c>
      <c r="E58" s="157" t="s">
        <v>354</v>
      </c>
      <c r="F58" s="158">
        <v>1</v>
      </c>
      <c r="G58" s="483" t="s">
        <v>645</v>
      </c>
    </row>
    <row r="59" spans="2:7" x14ac:dyDescent="0.3">
      <c r="B59" s="137">
        <f t="shared" si="0"/>
        <v>55</v>
      </c>
      <c r="C59" s="154">
        <v>221</v>
      </c>
      <c r="D59" s="156" t="s">
        <v>412</v>
      </c>
      <c r="E59" s="157" t="s">
        <v>354</v>
      </c>
      <c r="F59" s="158">
        <v>1</v>
      </c>
      <c r="G59" s="483" t="s">
        <v>645</v>
      </c>
    </row>
    <row r="60" spans="2:7" x14ac:dyDescent="0.3">
      <c r="B60" s="137">
        <f t="shared" si="0"/>
        <v>56</v>
      </c>
      <c r="C60" s="154">
        <v>230</v>
      </c>
      <c r="D60" s="156" t="s">
        <v>413</v>
      </c>
      <c r="E60" s="157" t="s">
        <v>354</v>
      </c>
      <c r="F60" s="158">
        <v>1</v>
      </c>
      <c r="G60" s="483" t="s">
        <v>645</v>
      </c>
    </row>
    <row r="61" spans="2:7" x14ac:dyDescent="0.3">
      <c r="B61" s="137">
        <f t="shared" si="0"/>
        <v>57</v>
      </c>
      <c r="C61" s="154">
        <v>231</v>
      </c>
      <c r="D61" s="156" t="s">
        <v>414</v>
      </c>
      <c r="E61" s="157" t="s">
        <v>326</v>
      </c>
      <c r="F61" s="158">
        <v>1</v>
      </c>
      <c r="G61" s="483" t="s">
        <v>645</v>
      </c>
    </row>
    <row r="62" spans="2:7" x14ac:dyDescent="0.3">
      <c r="B62" s="137">
        <f t="shared" si="0"/>
        <v>58</v>
      </c>
      <c r="C62" s="154">
        <v>232</v>
      </c>
      <c r="D62" s="156" t="s">
        <v>415</v>
      </c>
      <c r="E62" s="157" t="s">
        <v>365</v>
      </c>
      <c r="F62" s="158">
        <v>1</v>
      </c>
      <c r="G62" s="483" t="s">
        <v>645</v>
      </c>
    </row>
    <row r="63" spans="2:7" x14ac:dyDescent="0.3">
      <c r="B63" s="137">
        <f t="shared" si="0"/>
        <v>59</v>
      </c>
      <c r="C63" s="148">
        <v>240</v>
      </c>
      <c r="D63" s="150" t="s">
        <v>303</v>
      </c>
      <c r="E63" s="151" t="s">
        <v>354</v>
      </c>
      <c r="F63" s="152">
        <v>1</v>
      </c>
      <c r="G63" s="483" t="s">
        <v>645</v>
      </c>
    </row>
    <row r="64" spans="2:7" x14ac:dyDescent="0.3">
      <c r="B64" s="137">
        <f t="shared" si="0"/>
        <v>60</v>
      </c>
      <c r="C64" s="148">
        <v>241</v>
      </c>
      <c r="D64" s="150" t="s">
        <v>304</v>
      </c>
      <c r="E64" s="151" t="s">
        <v>354</v>
      </c>
      <c r="F64" s="152">
        <v>1</v>
      </c>
      <c r="G64" s="483" t="s">
        <v>645</v>
      </c>
    </row>
    <row r="65" spans="2:7" x14ac:dyDescent="0.3">
      <c r="B65" s="137">
        <f t="shared" si="0"/>
        <v>61</v>
      </c>
      <c r="C65" s="150">
        <v>242</v>
      </c>
      <c r="D65" s="150" t="s">
        <v>417</v>
      </c>
      <c r="E65" s="151" t="s">
        <v>365</v>
      </c>
      <c r="F65" s="179">
        <v>1</v>
      </c>
      <c r="G65" s="483" t="s">
        <v>645</v>
      </c>
    </row>
    <row r="66" spans="2:7" x14ac:dyDescent="0.3">
      <c r="B66" s="137">
        <f t="shared" si="0"/>
        <v>62</v>
      </c>
      <c r="C66" s="150">
        <v>243</v>
      </c>
      <c r="D66" s="150" t="s">
        <v>418</v>
      </c>
      <c r="E66" s="151" t="s">
        <v>354</v>
      </c>
      <c r="F66" s="179">
        <v>1</v>
      </c>
      <c r="G66" s="481" t="s">
        <v>645</v>
      </c>
    </row>
    <row r="67" spans="2:7" ht="15" customHeight="1" x14ac:dyDescent="0.3">
      <c r="B67" s="137">
        <f t="shared" si="0"/>
        <v>63</v>
      </c>
      <c r="C67" s="154">
        <v>301</v>
      </c>
      <c r="D67" s="156" t="s">
        <v>419</v>
      </c>
      <c r="E67" s="157" t="s">
        <v>329</v>
      </c>
      <c r="F67" s="158">
        <v>0.4</v>
      </c>
      <c r="G67" s="475" t="s">
        <v>643</v>
      </c>
    </row>
    <row r="68" spans="2:7" x14ac:dyDescent="0.3">
      <c r="B68" s="137">
        <f t="shared" si="0"/>
        <v>64</v>
      </c>
      <c r="C68" s="154">
        <v>302</v>
      </c>
      <c r="D68" s="156" t="s">
        <v>422</v>
      </c>
      <c r="E68" s="157" t="s">
        <v>329</v>
      </c>
      <c r="F68" s="158">
        <v>0.4</v>
      </c>
      <c r="G68" s="476" t="s">
        <v>643</v>
      </c>
    </row>
    <row r="69" spans="2:7" x14ac:dyDescent="0.3">
      <c r="B69" s="137">
        <f t="shared" si="0"/>
        <v>65</v>
      </c>
      <c r="C69" s="154">
        <v>303</v>
      </c>
      <c r="D69" s="156" t="s">
        <v>423</v>
      </c>
      <c r="E69" s="157" t="s">
        <v>365</v>
      </c>
      <c r="F69" s="158">
        <v>0.4</v>
      </c>
      <c r="G69" s="476" t="s">
        <v>643</v>
      </c>
    </row>
    <row r="70" spans="2:7" x14ac:dyDescent="0.3">
      <c r="B70" s="137">
        <f t="shared" si="0"/>
        <v>66</v>
      </c>
      <c r="C70" s="148">
        <v>311</v>
      </c>
      <c r="D70" s="149" t="s">
        <v>424</v>
      </c>
      <c r="E70" s="151" t="s">
        <v>329</v>
      </c>
      <c r="F70" s="152">
        <v>0.2</v>
      </c>
      <c r="G70" s="476" t="s">
        <v>643</v>
      </c>
    </row>
    <row r="71" spans="2:7" x14ac:dyDescent="0.3">
      <c r="B71" s="137">
        <f t="shared" si="0"/>
        <v>67</v>
      </c>
      <c r="C71" s="148">
        <v>312</v>
      </c>
      <c r="D71" s="149" t="s">
        <v>426</v>
      </c>
      <c r="E71" s="151" t="s">
        <v>326</v>
      </c>
      <c r="F71" s="152">
        <v>0.2</v>
      </c>
      <c r="G71" s="476" t="s">
        <v>643</v>
      </c>
    </row>
    <row r="72" spans="2:7" x14ac:dyDescent="0.3">
      <c r="B72" s="137">
        <f t="shared" si="0"/>
        <v>68</v>
      </c>
      <c r="C72" s="148">
        <v>313</v>
      </c>
      <c r="D72" s="150" t="s">
        <v>427</v>
      </c>
      <c r="E72" s="151" t="s">
        <v>365</v>
      </c>
      <c r="F72" s="152">
        <v>0.2</v>
      </c>
      <c r="G72" s="476" t="s">
        <v>643</v>
      </c>
    </row>
    <row r="73" spans="2:7" x14ac:dyDescent="0.3">
      <c r="B73" s="137">
        <f t="shared" si="0"/>
        <v>69</v>
      </c>
      <c r="C73" s="154">
        <v>321</v>
      </c>
      <c r="D73" s="156" t="s">
        <v>428</v>
      </c>
      <c r="E73" s="157" t="s">
        <v>308</v>
      </c>
      <c r="F73" s="158">
        <v>0.4</v>
      </c>
      <c r="G73" s="476" t="s">
        <v>643</v>
      </c>
    </row>
    <row r="74" spans="2:7" x14ac:dyDescent="0.3">
      <c r="B74" s="137">
        <f t="shared" ref="B74:B116" si="1">1+B73</f>
        <v>70</v>
      </c>
      <c r="C74" s="154">
        <v>322</v>
      </c>
      <c r="D74" s="156" t="s">
        <v>430</v>
      </c>
      <c r="E74" s="157" t="s">
        <v>308</v>
      </c>
      <c r="F74" s="158">
        <v>0.4</v>
      </c>
      <c r="G74" s="476" t="s">
        <v>643</v>
      </c>
    </row>
    <row r="75" spans="2:7" x14ac:dyDescent="0.3">
      <c r="B75" s="137">
        <f t="shared" si="1"/>
        <v>71</v>
      </c>
      <c r="C75" s="154">
        <v>323</v>
      </c>
      <c r="D75" s="156" t="s">
        <v>431</v>
      </c>
      <c r="E75" s="157" t="s">
        <v>308</v>
      </c>
      <c r="F75" s="158">
        <v>0.4</v>
      </c>
      <c r="G75" s="476" t="s">
        <v>643</v>
      </c>
    </row>
    <row r="76" spans="2:7" x14ac:dyDescent="0.3">
      <c r="B76" s="137">
        <f t="shared" si="1"/>
        <v>72</v>
      </c>
      <c r="C76" s="154">
        <v>324</v>
      </c>
      <c r="D76" s="156" t="s">
        <v>334</v>
      </c>
      <c r="E76" s="157" t="s">
        <v>308</v>
      </c>
      <c r="F76" s="158">
        <v>0.4</v>
      </c>
      <c r="G76" s="476" t="s">
        <v>643</v>
      </c>
    </row>
    <row r="77" spans="2:7" x14ac:dyDescent="0.3">
      <c r="B77" s="137">
        <f t="shared" si="1"/>
        <v>73</v>
      </c>
      <c r="C77" s="154">
        <v>325</v>
      </c>
      <c r="D77" s="156" t="s">
        <v>432</v>
      </c>
      <c r="E77" s="157" t="s">
        <v>308</v>
      </c>
      <c r="F77" s="158">
        <v>0.6</v>
      </c>
      <c r="G77" s="476" t="s">
        <v>643</v>
      </c>
    </row>
    <row r="78" spans="2:7" x14ac:dyDescent="0.3">
      <c r="B78" s="137">
        <f t="shared" si="1"/>
        <v>74</v>
      </c>
      <c r="C78" s="154">
        <v>326</v>
      </c>
      <c r="D78" s="156" t="s">
        <v>433</v>
      </c>
      <c r="E78" s="157" t="s">
        <v>308</v>
      </c>
      <c r="F78" s="158">
        <v>0.6</v>
      </c>
      <c r="G78" s="476" t="s">
        <v>643</v>
      </c>
    </row>
    <row r="79" spans="2:7" x14ac:dyDescent="0.3">
      <c r="B79" s="137">
        <f t="shared" si="1"/>
        <v>75</v>
      </c>
      <c r="C79" s="154">
        <v>327</v>
      </c>
      <c r="D79" s="156" t="s">
        <v>434</v>
      </c>
      <c r="E79" s="157" t="s">
        <v>308</v>
      </c>
      <c r="F79" s="158">
        <v>0.6</v>
      </c>
      <c r="G79" s="476" t="s">
        <v>643</v>
      </c>
    </row>
    <row r="80" spans="2:7" x14ac:dyDescent="0.3">
      <c r="B80" s="137">
        <f t="shared" si="1"/>
        <v>76</v>
      </c>
      <c r="C80" s="154">
        <v>328</v>
      </c>
      <c r="D80" s="156" t="s">
        <v>435</v>
      </c>
      <c r="E80" s="157" t="s">
        <v>308</v>
      </c>
      <c r="F80" s="158">
        <v>0.6</v>
      </c>
      <c r="G80" s="476" t="s">
        <v>643</v>
      </c>
    </row>
    <row r="81" spans="2:7" x14ac:dyDescent="0.3">
      <c r="B81" s="137">
        <f t="shared" si="1"/>
        <v>77</v>
      </c>
      <c r="C81" s="154">
        <v>329</v>
      </c>
      <c r="D81" s="156" t="s">
        <v>436</v>
      </c>
      <c r="E81" s="157" t="s">
        <v>308</v>
      </c>
      <c r="F81" s="158">
        <v>0.6</v>
      </c>
      <c r="G81" s="476" t="s">
        <v>643</v>
      </c>
    </row>
    <row r="82" spans="2:7" ht="15" customHeight="1" x14ac:dyDescent="0.3">
      <c r="B82" s="137">
        <f t="shared" si="1"/>
        <v>78</v>
      </c>
      <c r="C82" s="148">
        <v>341</v>
      </c>
      <c r="D82" s="150" t="s">
        <v>199</v>
      </c>
      <c r="E82" s="151" t="s">
        <v>307</v>
      </c>
      <c r="F82" s="152">
        <v>0.4</v>
      </c>
      <c r="G82" s="476" t="s">
        <v>643</v>
      </c>
    </row>
    <row r="83" spans="2:7" x14ac:dyDescent="0.3">
      <c r="B83" s="137">
        <f t="shared" si="1"/>
        <v>79</v>
      </c>
      <c r="C83" s="148">
        <v>342</v>
      </c>
      <c r="D83" s="150" t="s">
        <v>168</v>
      </c>
      <c r="E83" s="151" t="s">
        <v>307</v>
      </c>
      <c r="F83" s="152">
        <v>0.4</v>
      </c>
      <c r="G83" s="476" t="s">
        <v>643</v>
      </c>
    </row>
    <row r="84" spans="2:7" x14ac:dyDescent="0.3">
      <c r="B84" s="137">
        <f t="shared" si="1"/>
        <v>80</v>
      </c>
      <c r="C84" s="148">
        <v>343</v>
      </c>
      <c r="D84" s="150" t="s">
        <v>438</v>
      </c>
      <c r="E84" s="151" t="s">
        <v>307</v>
      </c>
      <c r="F84" s="152">
        <v>0.4</v>
      </c>
      <c r="G84" s="476" t="s">
        <v>643</v>
      </c>
    </row>
    <row r="85" spans="2:7" x14ac:dyDescent="0.3">
      <c r="B85" s="137">
        <f t="shared" si="1"/>
        <v>81</v>
      </c>
      <c r="C85" s="148">
        <v>344</v>
      </c>
      <c r="D85" s="159" t="s">
        <v>439</v>
      </c>
      <c r="E85" s="151" t="s">
        <v>307</v>
      </c>
      <c r="F85" s="152">
        <v>0.4</v>
      </c>
      <c r="G85" s="476" t="s">
        <v>643</v>
      </c>
    </row>
    <row r="86" spans="2:7" x14ac:dyDescent="0.3">
      <c r="B86" s="137">
        <f t="shared" si="1"/>
        <v>82</v>
      </c>
      <c r="C86" s="154">
        <v>351</v>
      </c>
      <c r="D86" s="156" t="s">
        <v>440</v>
      </c>
      <c r="E86" s="157" t="s">
        <v>307</v>
      </c>
      <c r="F86" s="158">
        <v>0.4</v>
      </c>
      <c r="G86" s="476" t="s">
        <v>643</v>
      </c>
    </row>
    <row r="87" spans="2:7" x14ac:dyDescent="0.3">
      <c r="B87" s="137">
        <f t="shared" si="1"/>
        <v>83</v>
      </c>
      <c r="C87" s="154">
        <v>352</v>
      </c>
      <c r="D87" s="156" t="s">
        <v>442</v>
      </c>
      <c r="E87" s="157" t="s">
        <v>307</v>
      </c>
      <c r="F87" s="158">
        <v>0.4</v>
      </c>
      <c r="G87" s="476" t="s">
        <v>643</v>
      </c>
    </row>
    <row r="88" spans="2:7" x14ac:dyDescent="0.3">
      <c r="B88" s="137">
        <f t="shared" si="1"/>
        <v>84</v>
      </c>
      <c r="C88" s="154">
        <v>353</v>
      </c>
      <c r="D88" s="156" t="s">
        <v>309</v>
      </c>
      <c r="E88" s="157" t="s">
        <v>307</v>
      </c>
      <c r="F88" s="158">
        <v>0.4</v>
      </c>
      <c r="G88" s="476" t="s">
        <v>643</v>
      </c>
    </row>
    <row r="89" spans="2:7" x14ac:dyDescent="0.3">
      <c r="B89" s="137">
        <f t="shared" si="1"/>
        <v>85</v>
      </c>
      <c r="C89" s="154">
        <v>354</v>
      </c>
      <c r="D89" s="156" t="s">
        <v>443</v>
      </c>
      <c r="E89" s="157" t="s">
        <v>307</v>
      </c>
      <c r="F89" s="158">
        <v>0.4</v>
      </c>
      <c r="G89" s="476" t="s">
        <v>643</v>
      </c>
    </row>
    <row r="90" spans="2:7" x14ac:dyDescent="0.3">
      <c r="B90" s="137">
        <f t="shared" si="1"/>
        <v>86</v>
      </c>
      <c r="C90" s="161">
        <v>355</v>
      </c>
      <c r="D90" s="163" t="s">
        <v>310</v>
      </c>
      <c r="E90" s="164" t="s">
        <v>307</v>
      </c>
      <c r="F90" s="165">
        <v>0.4</v>
      </c>
      <c r="G90" s="476" t="s">
        <v>643</v>
      </c>
    </row>
    <row r="91" spans="2:7" x14ac:dyDescent="0.3">
      <c r="B91" s="137">
        <f t="shared" si="1"/>
        <v>87</v>
      </c>
      <c r="C91" s="148">
        <v>371</v>
      </c>
      <c r="D91" s="150" t="s">
        <v>444</v>
      </c>
      <c r="E91" s="151" t="s">
        <v>308</v>
      </c>
      <c r="F91" s="152">
        <v>0.4</v>
      </c>
      <c r="G91" s="476" t="s">
        <v>643</v>
      </c>
    </row>
    <row r="92" spans="2:7" x14ac:dyDescent="0.3">
      <c r="B92" s="137">
        <f t="shared" si="1"/>
        <v>88</v>
      </c>
      <c r="C92" s="148">
        <v>372</v>
      </c>
      <c r="D92" s="150" t="s">
        <v>311</v>
      </c>
      <c r="E92" s="151" t="s">
        <v>308</v>
      </c>
      <c r="F92" s="152">
        <v>0.4</v>
      </c>
      <c r="G92" s="477" t="s">
        <v>643</v>
      </c>
    </row>
    <row r="93" spans="2:7" ht="15" customHeight="1" x14ac:dyDescent="0.3">
      <c r="B93" s="137">
        <f t="shared" si="1"/>
        <v>89</v>
      </c>
      <c r="C93" s="192">
        <v>401</v>
      </c>
      <c r="D93" s="194" t="s">
        <v>446</v>
      </c>
      <c r="E93" s="195" t="s">
        <v>307</v>
      </c>
      <c r="F93" s="196">
        <v>0.6</v>
      </c>
      <c r="G93" s="493" t="s">
        <v>644</v>
      </c>
    </row>
    <row r="94" spans="2:7" x14ac:dyDescent="0.3">
      <c r="B94" s="137">
        <f t="shared" si="1"/>
        <v>90</v>
      </c>
      <c r="C94" s="192">
        <v>402</v>
      </c>
      <c r="D94" s="194" t="s">
        <v>448</v>
      </c>
      <c r="E94" s="195" t="s">
        <v>307</v>
      </c>
      <c r="F94" s="196">
        <v>0.6</v>
      </c>
      <c r="G94" s="478" t="s">
        <v>644</v>
      </c>
    </row>
    <row r="95" spans="2:7" x14ac:dyDescent="0.3">
      <c r="B95" s="137">
        <f t="shared" si="1"/>
        <v>91</v>
      </c>
      <c r="C95" s="192">
        <v>403</v>
      </c>
      <c r="D95" s="194" t="s">
        <v>449</v>
      </c>
      <c r="E95" s="195" t="s">
        <v>329</v>
      </c>
      <c r="F95" s="196">
        <v>0.6</v>
      </c>
      <c r="G95" s="478" t="s">
        <v>644</v>
      </c>
    </row>
    <row r="96" spans="2:7" x14ac:dyDescent="0.3">
      <c r="B96" s="137">
        <f t="shared" si="1"/>
        <v>92</v>
      </c>
      <c r="C96" s="192">
        <v>404</v>
      </c>
      <c r="D96" s="194" t="s">
        <v>450</v>
      </c>
      <c r="E96" s="195" t="s">
        <v>307</v>
      </c>
      <c r="F96" s="196">
        <v>0.6</v>
      </c>
      <c r="G96" s="478" t="s">
        <v>644</v>
      </c>
    </row>
    <row r="97" spans="2:7" x14ac:dyDescent="0.3">
      <c r="B97" s="137">
        <f t="shared" si="1"/>
        <v>93</v>
      </c>
      <c r="C97" s="192">
        <v>405</v>
      </c>
      <c r="D97" s="194" t="s">
        <v>451</v>
      </c>
      <c r="E97" s="195" t="s">
        <v>307</v>
      </c>
      <c r="F97" s="196">
        <v>0.6</v>
      </c>
      <c r="G97" s="478" t="s">
        <v>644</v>
      </c>
    </row>
    <row r="98" spans="2:7" x14ac:dyDescent="0.3">
      <c r="B98" s="137">
        <f t="shared" si="1"/>
        <v>94</v>
      </c>
      <c r="C98" s="192">
        <v>406</v>
      </c>
      <c r="D98" s="194" t="s">
        <v>313</v>
      </c>
      <c r="E98" s="195" t="s">
        <v>307</v>
      </c>
      <c r="F98" s="196">
        <v>0.6</v>
      </c>
      <c r="G98" s="478" t="s">
        <v>644</v>
      </c>
    </row>
    <row r="99" spans="2:7" x14ac:dyDescent="0.3">
      <c r="B99" s="137">
        <f t="shared" si="1"/>
        <v>95</v>
      </c>
      <c r="C99" s="192">
        <v>407</v>
      </c>
      <c r="D99" s="194" t="s">
        <v>452</v>
      </c>
      <c r="E99" s="195" t="s">
        <v>354</v>
      </c>
      <c r="F99" s="196">
        <v>0.6</v>
      </c>
      <c r="G99" s="478" t="s">
        <v>644</v>
      </c>
    </row>
    <row r="100" spans="2:7" x14ac:dyDescent="0.3">
      <c r="B100" s="137">
        <f t="shared" si="1"/>
        <v>96</v>
      </c>
      <c r="C100" s="192">
        <v>410</v>
      </c>
      <c r="D100" s="194" t="s">
        <v>453</v>
      </c>
      <c r="E100" s="195" t="s">
        <v>354</v>
      </c>
      <c r="F100" s="196">
        <v>0.2</v>
      </c>
      <c r="G100" s="478" t="s">
        <v>644</v>
      </c>
    </row>
    <row r="101" spans="2:7" x14ac:dyDescent="0.3">
      <c r="B101" s="137">
        <f t="shared" si="1"/>
        <v>97</v>
      </c>
      <c r="C101" s="192">
        <v>411</v>
      </c>
      <c r="D101" s="194" t="s">
        <v>454</v>
      </c>
      <c r="E101" s="195" t="s">
        <v>354</v>
      </c>
      <c r="F101" s="196">
        <v>0.2</v>
      </c>
      <c r="G101" s="478" t="s">
        <v>644</v>
      </c>
    </row>
    <row r="102" spans="2:7" x14ac:dyDescent="0.3">
      <c r="B102" s="137">
        <f t="shared" si="1"/>
        <v>98</v>
      </c>
      <c r="C102" s="192">
        <v>412</v>
      </c>
      <c r="D102" s="194" t="s">
        <v>455</v>
      </c>
      <c r="E102" s="195" t="s">
        <v>354</v>
      </c>
      <c r="F102" s="196">
        <v>0.2</v>
      </c>
      <c r="G102" s="478" t="s">
        <v>644</v>
      </c>
    </row>
    <row r="103" spans="2:7" x14ac:dyDescent="0.3">
      <c r="B103" s="137">
        <f t="shared" si="1"/>
        <v>99</v>
      </c>
      <c r="C103" s="192">
        <v>413</v>
      </c>
      <c r="D103" s="194" t="s">
        <v>456</v>
      </c>
      <c r="E103" s="195" t="s">
        <v>354</v>
      </c>
      <c r="F103" s="196">
        <v>0.2</v>
      </c>
      <c r="G103" s="494" t="s">
        <v>644</v>
      </c>
    </row>
    <row r="104" spans="2:7" ht="15" customHeight="1" x14ac:dyDescent="0.3">
      <c r="B104" s="137">
        <f t="shared" si="1"/>
        <v>100</v>
      </c>
      <c r="C104" s="212">
        <v>501</v>
      </c>
      <c r="D104" s="214" t="s">
        <v>457</v>
      </c>
      <c r="E104" s="215" t="s">
        <v>308</v>
      </c>
      <c r="F104" s="216">
        <v>0.2</v>
      </c>
      <c r="G104" s="484" t="s">
        <v>646</v>
      </c>
    </row>
    <row r="105" spans="2:7" x14ac:dyDescent="0.3">
      <c r="B105" s="137">
        <f t="shared" si="1"/>
        <v>101</v>
      </c>
      <c r="C105" s="207">
        <v>502</v>
      </c>
      <c r="D105" s="209" t="s">
        <v>459</v>
      </c>
      <c r="E105" s="210" t="s">
        <v>354</v>
      </c>
      <c r="F105" s="211">
        <v>0.6</v>
      </c>
      <c r="G105" s="485" t="s">
        <v>646</v>
      </c>
    </row>
    <row r="106" spans="2:7" x14ac:dyDescent="0.3">
      <c r="B106" s="137">
        <f t="shared" si="1"/>
        <v>102</v>
      </c>
      <c r="C106" s="212">
        <v>503</v>
      </c>
      <c r="D106" s="214" t="s">
        <v>460</v>
      </c>
      <c r="E106" s="215" t="s">
        <v>354</v>
      </c>
      <c r="F106" s="216">
        <v>0.6</v>
      </c>
      <c r="G106" s="485" t="s">
        <v>646</v>
      </c>
    </row>
    <row r="107" spans="2:7" x14ac:dyDescent="0.3">
      <c r="B107" s="137">
        <f t="shared" si="1"/>
        <v>103</v>
      </c>
      <c r="C107" s="212">
        <v>504</v>
      </c>
      <c r="D107" s="214" t="s">
        <v>461</v>
      </c>
      <c r="E107" s="215" t="s">
        <v>354</v>
      </c>
      <c r="F107" s="216">
        <v>0.6</v>
      </c>
      <c r="G107" s="485" t="s">
        <v>646</v>
      </c>
    </row>
    <row r="108" spans="2:7" x14ac:dyDescent="0.3">
      <c r="B108" s="137">
        <f t="shared" si="1"/>
        <v>104</v>
      </c>
      <c r="C108" s="212">
        <v>505</v>
      </c>
      <c r="D108" s="214" t="s">
        <v>462</v>
      </c>
      <c r="E108" s="215" t="s">
        <v>354</v>
      </c>
      <c r="F108" s="216">
        <v>0.6</v>
      </c>
      <c r="G108" s="485" t="s">
        <v>646</v>
      </c>
    </row>
    <row r="109" spans="2:7" x14ac:dyDescent="0.3">
      <c r="B109" s="137">
        <f t="shared" si="1"/>
        <v>105</v>
      </c>
      <c r="C109" s="212">
        <v>506</v>
      </c>
      <c r="D109" s="214" t="s">
        <v>463</v>
      </c>
      <c r="E109" s="215" t="s">
        <v>354</v>
      </c>
      <c r="F109" s="216">
        <v>0.6</v>
      </c>
      <c r="G109" s="485" t="s">
        <v>646</v>
      </c>
    </row>
    <row r="110" spans="2:7" x14ac:dyDescent="0.3">
      <c r="B110" s="137">
        <f t="shared" si="1"/>
        <v>106</v>
      </c>
      <c r="C110" s="217">
        <v>510</v>
      </c>
      <c r="D110" s="219" t="s">
        <v>310</v>
      </c>
      <c r="E110" s="220" t="s">
        <v>307</v>
      </c>
      <c r="F110" s="221">
        <v>0.4</v>
      </c>
      <c r="G110" s="485" t="s">
        <v>646</v>
      </c>
    </row>
    <row r="111" spans="2:7" x14ac:dyDescent="0.3">
      <c r="B111" s="137">
        <f t="shared" si="1"/>
        <v>107</v>
      </c>
      <c r="C111" s="217">
        <v>511</v>
      </c>
      <c r="D111" s="219" t="s">
        <v>464</v>
      </c>
      <c r="E111" s="220" t="s">
        <v>329</v>
      </c>
      <c r="F111" s="221">
        <v>0.2</v>
      </c>
      <c r="G111" s="485" t="s">
        <v>646</v>
      </c>
    </row>
    <row r="112" spans="2:7" x14ac:dyDescent="0.3">
      <c r="B112" s="137">
        <f t="shared" si="1"/>
        <v>108</v>
      </c>
      <c r="C112" s="217">
        <v>520</v>
      </c>
      <c r="D112" s="219" t="s">
        <v>465</v>
      </c>
      <c r="E112" s="220" t="s">
        <v>307</v>
      </c>
      <c r="F112" s="221">
        <v>0.2</v>
      </c>
      <c r="G112" s="485" t="s">
        <v>646</v>
      </c>
    </row>
    <row r="113" spans="2:7" x14ac:dyDescent="0.3">
      <c r="B113" s="137">
        <f t="shared" si="1"/>
        <v>109</v>
      </c>
      <c r="C113" s="217">
        <v>521</v>
      </c>
      <c r="D113" s="219" t="s">
        <v>466</v>
      </c>
      <c r="E113" s="220" t="s">
        <v>307</v>
      </c>
      <c r="F113" s="221">
        <v>0.2</v>
      </c>
      <c r="G113" s="485" t="s">
        <v>646</v>
      </c>
    </row>
    <row r="114" spans="2:7" x14ac:dyDescent="0.3">
      <c r="B114" s="137">
        <f t="shared" si="1"/>
        <v>110</v>
      </c>
      <c r="C114" s="217">
        <v>525</v>
      </c>
      <c r="D114" s="219" t="s">
        <v>467</v>
      </c>
      <c r="E114" s="220" t="s">
        <v>307</v>
      </c>
      <c r="F114" s="221">
        <v>0.2</v>
      </c>
      <c r="G114" s="485" t="s">
        <v>646</v>
      </c>
    </row>
    <row r="115" spans="2:7" x14ac:dyDescent="0.3">
      <c r="B115" s="137">
        <f t="shared" si="1"/>
        <v>111</v>
      </c>
      <c r="C115" s="217">
        <v>526</v>
      </c>
      <c r="D115" s="219" t="s">
        <v>468</v>
      </c>
      <c r="E115" s="220" t="s">
        <v>307</v>
      </c>
      <c r="F115" s="221">
        <v>0.2</v>
      </c>
      <c r="G115" s="485" t="s">
        <v>646</v>
      </c>
    </row>
    <row r="116" spans="2:7" x14ac:dyDescent="0.3">
      <c r="B116" s="137">
        <f t="shared" si="1"/>
        <v>112</v>
      </c>
      <c r="C116" s="212">
        <v>530</v>
      </c>
      <c r="D116" s="214" t="s">
        <v>206</v>
      </c>
      <c r="E116" s="215" t="s">
        <v>307</v>
      </c>
      <c r="F116" s="216">
        <v>0.2</v>
      </c>
      <c r="G116" s="486" t="s">
        <v>646</v>
      </c>
    </row>
  </sheetData>
  <mergeCells count="1">
    <mergeCell ref="B3:F3"/>
  </mergeCells>
  <pageMargins left="0.7" right="0.7" top="0.75" bottom="0.75" header="0.3" footer="0.3"/>
  <pageSetup paperSize="9" orientation="portrait" r:id="rId1"/>
  <drawing r:id="rId2"/>
  <legacyDrawing r:id="rId3"/>
  <controls>
    <mc:AlternateContent xmlns:mc="http://schemas.openxmlformats.org/markup-compatibility/2006">
      <mc:Choice Requires="x14">
        <control shapeId="7183" r:id="rId4" name="ck5">
          <controlPr defaultSize="0" autoLine="0" r:id="rId5">
            <anchor moveWithCells="1">
              <from>
                <xdr:col>8</xdr:col>
                <xdr:colOff>38100</xdr:colOff>
                <xdr:row>3</xdr:row>
                <xdr:rowOff>220980</xdr:rowOff>
              </from>
              <to>
                <xdr:col>9</xdr:col>
                <xdr:colOff>243840</xdr:colOff>
                <xdr:row>3</xdr:row>
                <xdr:rowOff>472440</xdr:rowOff>
              </to>
            </anchor>
          </controlPr>
        </control>
      </mc:Choice>
      <mc:Fallback>
        <control shapeId="7183" r:id="rId4" name="ck5"/>
      </mc:Fallback>
    </mc:AlternateContent>
    <mc:AlternateContent xmlns:mc="http://schemas.openxmlformats.org/markup-compatibility/2006">
      <mc:Choice Requires="x14">
        <control shapeId="7180" r:id="rId6" name="ck4">
          <controlPr defaultSize="0" autoLine="0" r:id="rId7">
            <anchor moveWithCells="1">
              <from>
                <xdr:col>8</xdr:col>
                <xdr:colOff>38100</xdr:colOff>
                <xdr:row>2</xdr:row>
                <xdr:rowOff>373380</xdr:rowOff>
              </from>
              <to>
                <xdr:col>9</xdr:col>
                <xdr:colOff>243840</xdr:colOff>
                <xdr:row>3</xdr:row>
                <xdr:rowOff>236220</xdr:rowOff>
              </to>
            </anchor>
          </controlPr>
        </control>
      </mc:Choice>
      <mc:Fallback>
        <control shapeId="7180" r:id="rId6" name="ck4"/>
      </mc:Fallback>
    </mc:AlternateContent>
    <mc:AlternateContent xmlns:mc="http://schemas.openxmlformats.org/markup-compatibility/2006">
      <mc:Choice Requires="x14">
        <control shapeId="7179" r:id="rId8" name="ck3">
          <controlPr defaultSize="0" autoLine="0" r:id="rId9">
            <anchor moveWithCells="1">
              <from>
                <xdr:col>8</xdr:col>
                <xdr:colOff>38100</xdr:colOff>
                <xdr:row>2</xdr:row>
                <xdr:rowOff>114300</xdr:rowOff>
              </from>
              <to>
                <xdr:col>9</xdr:col>
                <xdr:colOff>144780</xdr:colOff>
                <xdr:row>2</xdr:row>
                <xdr:rowOff>373380</xdr:rowOff>
              </to>
            </anchor>
          </controlPr>
        </control>
      </mc:Choice>
      <mc:Fallback>
        <control shapeId="7179" r:id="rId8" name="ck3"/>
      </mc:Fallback>
    </mc:AlternateContent>
    <mc:AlternateContent xmlns:mc="http://schemas.openxmlformats.org/markup-compatibility/2006">
      <mc:Choice Requires="x14">
        <control shapeId="7178" r:id="rId10" name="ck2">
          <controlPr defaultSize="0" autoLine="0" r:id="rId11">
            <anchor moveWithCells="1">
              <from>
                <xdr:col>8</xdr:col>
                <xdr:colOff>45720</xdr:colOff>
                <xdr:row>1</xdr:row>
                <xdr:rowOff>68580</xdr:rowOff>
              </from>
              <to>
                <xdr:col>9</xdr:col>
                <xdr:colOff>236220</xdr:colOff>
                <xdr:row>2</xdr:row>
                <xdr:rowOff>91440</xdr:rowOff>
              </to>
            </anchor>
          </controlPr>
        </control>
      </mc:Choice>
      <mc:Fallback>
        <control shapeId="7178" r:id="rId10" name="ck2"/>
      </mc:Fallback>
    </mc:AlternateContent>
    <mc:AlternateContent xmlns:mc="http://schemas.openxmlformats.org/markup-compatibility/2006">
      <mc:Choice Requires="x14">
        <control shapeId="7177" r:id="rId12" name="ck1">
          <controlPr defaultSize="0" autoLine="0" r:id="rId13">
            <anchor moveWithCells="1">
              <from>
                <xdr:col>8</xdr:col>
                <xdr:colOff>30480</xdr:colOff>
                <xdr:row>0</xdr:row>
                <xdr:rowOff>152400</xdr:rowOff>
              </from>
              <to>
                <xdr:col>9</xdr:col>
                <xdr:colOff>167640</xdr:colOff>
                <xdr:row>1</xdr:row>
                <xdr:rowOff>30480</xdr:rowOff>
              </to>
            </anchor>
          </controlPr>
        </control>
      </mc:Choice>
      <mc:Fallback>
        <control shapeId="7177" r:id="rId12" name="ck1"/>
      </mc:Fallback>
    </mc:AlternateContent>
    <mc:AlternateContent xmlns:mc="http://schemas.openxmlformats.org/markup-compatibility/2006">
      <mc:Choice Requires="x14">
        <control shapeId="7176" r:id="rId14" name="CommandButton1">
          <controlPr defaultSize="0" autoLine="0" r:id="rId15">
            <anchor moveWithCells="1">
              <from>
                <xdr:col>9</xdr:col>
                <xdr:colOff>388620</xdr:colOff>
                <xdr:row>0</xdr:row>
                <xdr:rowOff>251460</xdr:rowOff>
              </from>
              <to>
                <xdr:col>10</xdr:col>
                <xdr:colOff>1127760</xdr:colOff>
                <xdr:row>2</xdr:row>
                <xdr:rowOff>68580</xdr:rowOff>
              </to>
            </anchor>
          </controlPr>
        </control>
      </mc:Choice>
      <mc:Fallback>
        <control shapeId="7176" r:id="rId14" name="CommandButton1"/>
      </mc:Fallback>
    </mc:AlternateContent>
    <mc:AlternateContent xmlns:mc="http://schemas.openxmlformats.org/markup-compatibility/2006">
      <mc:Choice Requires="x14">
        <control shapeId="7171" r:id="rId16" name="Group Box 3">
          <controlPr defaultSize="0" autoFill="0" autoPict="0">
            <anchor moveWithCells="1">
              <from>
                <xdr:col>7</xdr:col>
                <xdr:colOff>754380</xdr:colOff>
                <xdr:row>0</xdr:row>
                <xdr:rowOff>60960</xdr:rowOff>
              </from>
              <to>
                <xdr:col>10</xdr:col>
                <xdr:colOff>1219200</xdr:colOff>
                <xdr:row>3</xdr:row>
                <xdr:rowOff>487680</xdr:rowOff>
              </to>
            </anchor>
          </controlPr>
        </control>
      </mc:Choice>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7">
    <tabColor rgb="FFFF0000"/>
  </sheetPr>
  <dimension ref="A2:Q389"/>
  <sheetViews>
    <sheetView workbookViewId="0"/>
  </sheetViews>
  <sheetFormatPr baseColWidth="10" defaultColWidth="11.44140625" defaultRowHeight="13.2" x14ac:dyDescent="0.25"/>
  <cols>
    <col min="1" max="1" width="5.6640625" style="497" customWidth="1"/>
    <col min="2" max="2" width="6.6640625" style="497" customWidth="1"/>
    <col min="3" max="5" width="11.44140625" style="497"/>
    <col min="6" max="6" width="11.5546875" style="497" bestFit="1" customWidth="1"/>
    <col min="7" max="9" width="11.44140625" style="497"/>
    <col min="10" max="10" width="4.6640625" style="497" customWidth="1"/>
    <col min="11" max="11" width="11.88671875" style="497" bestFit="1" customWidth="1"/>
    <col min="12" max="16384" width="11.44140625" style="497"/>
  </cols>
  <sheetData>
    <row r="2" spans="1:10" x14ac:dyDescent="0.25">
      <c r="A2" s="496"/>
      <c r="E2" s="843" t="s">
        <v>650</v>
      </c>
      <c r="F2" s="843"/>
      <c r="G2" s="843"/>
    </row>
    <row r="3" spans="1:10" x14ac:dyDescent="0.25">
      <c r="A3" s="496"/>
      <c r="B3" s="498"/>
      <c r="E3" s="843"/>
      <c r="F3" s="843"/>
      <c r="G3" s="843"/>
    </row>
    <row r="4" spans="1:10" x14ac:dyDescent="0.25">
      <c r="A4" s="499"/>
      <c r="B4" s="500" t="s">
        <v>651</v>
      </c>
      <c r="C4" s="499"/>
      <c r="D4" s="499"/>
      <c r="E4" s="499"/>
      <c r="F4" s="499"/>
      <c r="G4" s="499"/>
      <c r="H4" s="499"/>
      <c r="I4" s="499"/>
      <c r="J4" s="499"/>
    </row>
    <row r="6" spans="1:10" ht="15.6" x14ac:dyDescent="0.3">
      <c r="A6" s="844" t="s">
        <v>652</v>
      </c>
      <c r="B6" s="844"/>
      <c r="C6" s="844"/>
      <c r="D6" s="844"/>
      <c r="E6" s="844"/>
      <c r="F6" s="844"/>
      <c r="G6" s="844"/>
      <c r="H6" s="844"/>
      <c r="I6" s="844"/>
    </row>
    <row r="7" spans="1:10" ht="13.8" x14ac:dyDescent="0.25">
      <c r="A7" s="501"/>
    </row>
    <row r="8" spans="1:10" ht="15.6" x14ac:dyDescent="0.3">
      <c r="A8" s="844" t="s">
        <v>653</v>
      </c>
      <c r="B8" s="844"/>
      <c r="C8" s="844"/>
      <c r="D8" s="844"/>
      <c r="E8" s="844"/>
      <c r="F8" s="844"/>
      <c r="G8" s="844"/>
      <c r="H8" s="844"/>
      <c r="I8" s="844"/>
    </row>
    <row r="9" spans="1:10" ht="13.8" x14ac:dyDescent="0.25">
      <c r="B9" s="502"/>
    </row>
    <row r="10" spans="1:10" ht="13.8" x14ac:dyDescent="0.25">
      <c r="A10" s="502" t="s">
        <v>654</v>
      </c>
      <c r="B10" s="502"/>
    </row>
    <row r="11" spans="1:10" ht="13.8" x14ac:dyDescent="0.25">
      <c r="A11" s="502"/>
      <c r="B11" s="502"/>
    </row>
    <row r="12" spans="1:10" x14ac:dyDescent="0.25">
      <c r="A12" s="845" t="s">
        <v>655</v>
      </c>
      <c r="B12" s="845"/>
      <c r="C12" s="845"/>
      <c r="D12" s="845"/>
      <c r="E12" s="845"/>
      <c r="F12" s="845"/>
      <c r="G12" s="845"/>
      <c r="H12" s="845"/>
      <c r="I12" s="845"/>
    </row>
    <row r="13" spans="1:10" x14ac:dyDescent="0.25">
      <c r="A13" s="845"/>
      <c r="B13" s="845"/>
      <c r="C13" s="845"/>
      <c r="D13" s="845"/>
      <c r="E13" s="845"/>
      <c r="F13" s="845"/>
      <c r="G13" s="845"/>
      <c r="H13" s="845"/>
      <c r="I13" s="845"/>
    </row>
    <row r="14" spans="1:10" ht="13.8" x14ac:dyDescent="0.25">
      <c r="A14" s="502"/>
      <c r="B14" s="502"/>
    </row>
    <row r="15" spans="1:10" ht="13.8" x14ac:dyDescent="0.25">
      <c r="A15" s="503" t="s">
        <v>656</v>
      </c>
      <c r="B15" s="503"/>
    </row>
    <row r="16" spans="1:10" ht="13.8" x14ac:dyDescent="0.25">
      <c r="A16" s="502"/>
      <c r="B16" s="502"/>
    </row>
    <row r="17" spans="1:9" x14ac:dyDescent="0.25">
      <c r="A17" s="845" t="s">
        <v>657</v>
      </c>
      <c r="B17" s="845"/>
      <c r="C17" s="845"/>
      <c r="D17" s="845"/>
      <c r="E17" s="845"/>
      <c r="F17" s="845"/>
      <c r="G17" s="845"/>
      <c r="H17" s="845"/>
      <c r="I17" s="845"/>
    </row>
    <row r="18" spans="1:9" x14ac:dyDescent="0.25">
      <c r="A18" s="845"/>
      <c r="B18" s="845"/>
      <c r="C18" s="845"/>
      <c r="D18" s="845"/>
      <c r="E18" s="845"/>
      <c r="F18" s="845"/>
      <c r="G18" s="845"/>
      <c r="H18" s="845"/>
      <c r="I18" s="845"/>
    </row>
    <row r="19" spans="1:9" x14ac:dyDescent="0.25">
      <c r="A19" s="845"/>
      <c r="B19" s="845"/>
      <c r="C19" s="845"/>
      <c r="D19" s="845"/>
      <c r="E19" s="845"/>
      <c r="F19" s="845"/>
      <c r="G19" s="845"/>
      <c r="H19" s="845"/>
      <c r="I19" s="845"/>
    </row>
    <row r="20" spans="1:9" ht="9.75" customHeight="1" x14ac:dyDescent="0.25">
      <c r="A20" s="502"/>
      <c r="B20" s="502"/>
    </row>
    <row r="21" spans="1:9" x14ac:dyDescent="0.25">
      <c r="A21" s="845" t="s">
        <v>658</v>
      </c>
      <c r="B21" s="845"/>
      <c r="C21" s="845"/>
      <c r="D21" s="845"/>
      <c r="E21" s="845"/>
      <c r="F21" s="845"/>
      <c r="G21" s="845"/>
      <c r="H21" s="845"/>
      <c r="I21" s="845"/>
    </row>
    <row r="22" spans="1:9" x14ac:dyDescent="0.25">
      <c r="A22" s="845"/>
      <c r="B22" s="845"/>
      <c r="C22" s="845"/>
      <c r="D22" s="845"/>
      <c r="E22" s="845"/>
      <c r="F22" s="845"/>
      <c r="G22" s="845"/>
      <c r="H22" s="845"/>
      <c r="I22" s="845"/>
    </row>
    <row r="23" spans="1:9" x14ac:dyDescent="0.25">
      <c r="A23" s="845"/>
      <c r="B23" s="845"/>
      <c r="C23" s="845"/>
      <c r="D23" s="845"/>
      <c r="E23" s="845"/>
      <c r="F23" s="845"/>
      <c r="G23" s="845"/>
      <c r="H23" s="845"/>
      <c r="I23" s="845"/>
    </row>
    <row r="24" spans="1:9" x14ac:dyDescent="0.25">
      <c r="A24" s="845"/>
      <c r="B24" s="845"/>
      <c r="C24" s="845"/>
      <c r="D24" s="845"/>
      <c r="E24" s="845"/>
      <c r="F24" s="845"/>
      <c r="G24" s="845"/>
      <c r="H24" s="845"/>
      <c r="I24" s="845"/>
    </row>
    <row r="25" spans="1:9" ht="13.8" x14ac:dyDescent="0.25">
      <c r="A25" s="502"/>
      <c r="B25" s="502"/>
    </row>
    <row r="26" spans="1:9" x14ac:dyDescent="0.25">
      <c r="A26" s="845" t="s">
        <v>659</v>
      </c>
      <c r="B26" s="845"/>
      <c r="C26" s="845"/>
      <c r="D26" s="845"/>
      <c r="E26" s="845"/>
      <c r="F26" s="845"/>
      <c r="G26" s="845"/>
      <c r="H26" s="845"/>
      <c r="I26" s="845"/>
    </row>
    <row r="27" spans="1:9" x14ac:dyDescent="0.25">
      <c r="A27" s="845"/>
      <c r="B27" s="845"/>
      <c r="C27" s="845"/>
      <c r="D27" s="845"/>
      <c r="E27" s="845"/>
      <c r="F27" s="845"/>
      <c r="G27" s="845"/>
      <c r="H27" s="845"/>
      <c r="I27" s="845"/>
    </row>
    <row r="28" spans="1:9" x14ac:dyDescent="0.25">
      <c r="A28" s="845"/>
      <c r="B28" s="845"/>
      <c r="C28" s="845"/>
      <c r="D28" s="845"/>
      <c r="E28" s="845"/>
      <c r="F28" s="845"/>
      <c r="G28" s="845"/>
      <c r="H28" s="845"/>
      <c r="I28" s="845"/>
    </row>
    <row r="29" spans="1:9" ht="13.8" x14ac:dyDescent="0.25">
      <c r="A29" s="502"/>
      <c r="B29" s="502"/>
    </row>
    <row r="30" spans="1:9" x14ac:dyDescent="0.25">
      <c r="A30" s="845" t="s">
        <v>660</v>
      </c>
      <c r="B30" s="845"/>
      <c r="C30" s="845"/>
      <c r="D30" s="845"/>
      <c r="E30" s="845"/>
      <c r="F30" s="845"/>
      <c r="G30" s="845"/>
      <c r="H30" s="845"/>
      <c r="I30" s="845"/>
    </row>
    <row r="31" spans="1:9" x14ac:dyDescent="0.25">
      <c r="A31" s="845"/>
      <c r="B31" s="845"/>
      <c r="C31" s="845"/>
      <c r="D31" s="845"/>
      <c r="E31" s="845"/>
      <c r="F31" s="845"/>
      <c r="G31" s="845"/>
      <c r="H31" s="845"/>
      <c r="I31" s="845"/>
    </row>
    <row r="32" spans="1:9" x14ac:dyDescent="0.25">
      <c r="A32" s="845"/>
      <c r="B32" s="845"/>
      <c r="C32" s="845"/>
      <c r="D32" s="845"/>
      <c r="E32" s="845"/>
      <c r="F32" s="845"/>
      <c r="G32" s="845"/>
      <c r="H32" s="845"/>
      <c r="I32" s="845"/>
    </row>
    <row r="33" spans="1:10" x14ac:dyDescent="0.25">
      <c r="A33" s="845"/>
      <c r="B33" s="845"/>
      <c r="C33" s="845"/>
      <c r="D33" s="845"/>
      <c r="E33" s="845"/>
      <c r="F33" s="845"/>
      <c r="G33" s="845"/>
      <c r="H33" s="845"/>
      <c r="I33" s="845"/>
    </row>
    <row r="34" spans="1:10" ht="13.8" x14ac:dyDescent="0.25">
      <c r="A34" s="502"/>
      <c r="B34" s="502"/>
    </row>
    <row r="35" spans="1:10" ht="13.8" x14ac:dyDescent="0.25">
      <c r="A35" s="502" t="s">
        <v>661</v>
      </c>
      <c r="B35" s="502"/>
    </row>
    <row r="36" spans="1:10" ht="13.8" x14ac:dyDescent="0.25">
      <c r="A36" s="502"/>
      <c r="B36" s="502"/>
    </row>
    <row r="37" spans="1:10" ht="13.8" x14ac:dyDescent="0.25">
      <c r="A37" s="503" t="s">
        <v>662</v>
      </c>
      <c r="B37" s="503"/>
    </row>
    <row r="38" spans="1:10" ht="13.8" x14ac:dyDescent="0.25">
      <c r="A38" s="502"/>
      <c r="B38" s="502"/>
    </row>
    <row r="39" spans="1:10" x14ac:dyDescent="0.25">
      <c r="A39" s="845" t="s">
        <v>663</v>
      </c>
      <c r="B39" s="845"/>
      <c r="C39" s="845"/>
      <c r="D39" s="845"/>
      <c r="E39" s="845"/>
      <c r="F39" s="845"/>
      <c r="G39" s="845"/>
      <c r="H39" s="845"/>
      <c r="I39" s="845"/>
    </row>
    <row r="40" spans="1:10" x14ac:dyDescent="0.25">
      <c r="A40" s="845"/>
      <c r="B40" s="845"/>
      <c r="C40" s="845"/>
      <c r="D40" s="845"/>
      <c r="E40" s="845"/>
      <c r="F40" s="845"/>
      <c r="G40" s="845"/>
      <c r="H40" s="845"/>
      <c r="I40" s="845"/>
    </row>
    <row r="41" spans="1:10" ht="13.8" x14ac:dyDescent="0.25">
      <c r="A41" s="502"/>
      <c r="B41" s="502"/>
    </row>
    <row r="42" spans="1:10" x14ac:dyDescent="0.25">
      <c r="A42" s="845" t="s">
        <v>664</v>
      </c>
      <c r="B42" s="845"/>
      <c r="C42" s="845"/>
      <c r="D42" s="845"/>
      <c r="E42" s="845"/>
      <c r="F42" s="845"/>
      <c r="G42" s="845"/>
      <c r="H42" s="845"/>
      <c r="I42" s="845"/>
    </row>
    <row r="43" spans="1:10" x14ac:dyDescent="0.25">
      <c r="A43" s="845"/>
      <c r="B43" s="845"/>
      <c r="C43" s="845"/>
      <c r="D43" s="845"/>
      <c r="E43" s="845"/>
      <c r="F43" s="845"/>
      <c r="G43" s="845"/>
      <c r="H43" s="845"/>
      <c r="I43" s="845"/>
    </row>
    <row r="44" spans="1:10" x14ac:dyDescent="0.25">
      <c r="A44" s="845"/>
      <c r="B44" s="845"/>
      <c r="C44" s="845"/>
      <c r="D44" s="845"/>
      <c r="E44" s="845"/>
      <c r="F44" s="845"/>
      <c r="G44" s="845"/>
      <c r="H44" s="845"/>
      <c r="I44" s="845"/>
    </row>
    <row r="45" spans="1:10" x14ac:dyDescent="0.25">
      <c r="A45" s="845"/>
      <c r="B45" s="845"/>
      <c r="C45" s="845"/>
      <c r="D45" s="845"/>
      <c r="E45" s="845"/>
      <c r="F45" s="845"/>
      <c r="G45" s="845"/>
      <c r="H45" s="845"/>
      <c r="I45" s="845"/>
    </row>
    <row r="47" spans="1:10" x14ac:dyDescent="0.25">
      <c r="B47" s="497" t="s">
        <v>665</v>
      </c>
    </row>
    <row r="48" spans="1:10" x14ac:dyDescent="0.25">
      <c r="B48" s="842" t="s">
        <v>666</v>
      </c>
      <c r="C48" s="842"/>
      <c r="D48" s="842"/>
      <c r="E48" s="842"/>
      <c r="F48" s="842"/>
      <c r="G48" s="842"/>
      <c r="H48" s="842"/>
      <c r="I48" s="842"/>
      <c r="J48" s="504"/>
    </row>
    <row r="49" spans="1:10" x14ac:dyDescent="0.25">
      <c r="B49" s="842" t="s">
        <v>667</v>
      </c>
      <c r="C49" s="842"/>
      <c r="D49" s="842"/>
      <c r="E49" s="842"/>
      <c r="F49" s="842"/>
      <c r="G49" s="842"/>
      <c r="H49" s="842"/>
      <c r="I49" s="842"/>
      <c r="J49" s="504"/>
    </row>
    <row r="50" spans="1:10" x14ac:dyDescent="0.25">
      <c r="A50" s="846" t="s">
        <v>346</v>
      </c>
      <c r="B50" s="847"/>
      <c r="C50" s="852" t="s">
        <v>668</v>
      </c>
      <c r="D50" s="852"/>
      <c r="E50" s="852"/>
      <c r="F50" s="852"/>
      <c r="G50" s="852"/>
      <c r="H50" s="852"/>
      <c r="I50" s="853"/>
      <c r="J50" s="504"/>
    </row>
    <row r="51" spans="1:10" x14ac:dyDescent="0.25">
      <c r="A51" s="848"/>
      <c r="B51" s="849"/>
      <c r="C51" s="505">
        <v>5</v>
      </c>
      <c r="D51" s="506">
        <v>4</v>
      </c>
      <c r="E51" s="507">
        <v>3</v>
      </c>
      <c r="F51" s="506">
        <v>2</v>
      </c>
      <c r="G51" s="507">
        <v>1</v>
      </c>
      <c r="H51" s="506">
        <v>0</v>
      </c>
      <c r="I51" s="507" t="s">
        <v>473</v>
      </c>
      <c r="J51" s="504"/>
    </row>
    <row r="52" spans="1:10" x14ac:dyDescent="0.25">
      <c r="A52" s="850"/>
      <c r="B52" s="851"/>
      <c r="C52" s="508" t="s">
        <v>318</v>
      </c>
      <c r="D52" s="509" t="s">
        <v>319</v>
      </c>
      <c r="E52" s="510" t="s">
        <v>320</v>
      </c>
      <c r="F52" s="509" t="s">
        <v>321</v>
      </c>
      <c r="G52" s="510" t="s">
        <v>322</v>
      </c>
      <c r="H52" s="509" t="s">
        <v>477</v>
      </c>
      <c r="I52" s="510"/>
      <c r="J52" s="504"/>
    </row>
    <row r="53" spans="1:10" x14ac:dyDescent="0.25">
      <c r="A53" s="854">
        <v>101</v>
      </c>
      <c r="B53" s="853"/>
      <c r="C53" s="511">
        <v>0</v>
      </c>
      <c r="D53" s="512">
        <v>0</v>
      </c>
      <c r="E53" s="511">
        <v>0</v>
      </c>
      <c r="F53" s="512">
        <v>10</v>
      </c>
      <c r="G53" s="511">
        <v>40</v>
      </c>
      <c r="H53" s="512">
        <v>50</v>
      </c>
      <c r="I53" s="511">
        <f>SUM(C53:H53)</f>
        <v>100</v>
      </c>
      <c r="J53" s="504"/>
    </row>
    <row r="54" spans="1:10" x14ac:dyDescent="0.25">
      <c r="A54" s="855">
        <v>201</v>
      </c>
      <c r="B54" s="856"/>
      <c r="C54" s="513">
        <v>0</v>
      </c>
      <c r="D54" s="504">
        <v>20</v>
      </c>
      <c r="E54" s="513">
        <v>20</v>
      </c>
      <c r="F54" s="504">
        <v>20</v>
      </c>
      <c r="G54" s="513">
        <v>20</v>
      </c>
      <c r="H54" s="504">
        <v>20</v>
      </c>
      <c r="I54" s="513">
        <f>SUM(C54:H54)</f>
        <v>100</v>
      </c>
      <c r="J54" s="504"/>
    </row>
    <row r="55" spans="1:10" x14ac:dyDescent="0.25">
      <c r="A55" s="855">
        <v>301</v>
      </c>
      <c r="B55" s="856"/>
      <c r="C55" s="513">
        <v>10</v>
      </c>
      <c r="D55" s="504">
        <v>20</v>
      </c>
      <c r="E55" s="513">
        <v>50</v>
      </c>
      <c r="F55" s="504">
        <v>20</v>
      </c>
      <c r="G55" s="513">
        <v>0</v>
      </c>
      <c r="H55" s="504">
        <v>0</v>
      </c>
      <c r="I55" s="513">
        <f>SUM(C55:H55)</f>
        <v>100</v>
      </c>
      <c r="J55" s="504"/>
    </row>
    <row r="56" spans="1:10" x14ac:dyDescent="0.25">
      <c r="A56" s="855">
        <v>401</v>
      </c>
      <c r="B56" s="856"/>
      <c r="C56" s="513">
        <v>2</v>
      </c>
      <c r="D56" s="504">
        <v>10</v>
      </c>
      <c r="E56" s="513">
        <v>28</v>
      </c>
      <c r="F56" s="504">
        <v>30</v>
      </c>
      <c r="G56" s="513">
        <v>20</v>
      </c>
      <c r="H56" s="504">
        <v>10</v>
      </c>
      <c r="I56" s="513">
        <f>SUM(C56:H56)</f>
        <v>100</v>
      </c>
      <c r="J56" s="504"/>
    </row>
    <row r="57" spans="1:10" x14ac:dyDescent="0.25">
      <c r="A57" s="857">
        <v>501</v>
      </c>
      <c r="B57" s="858"/>
      <c r="C57" s="510">
        <v>0</v>
      </c>
      <c r="D57" s="509">
        <v>0</v>
      </c>
      <c r="E57" s="510">
        <v>40</v>
      </c>
      <c r="F57" s="509">
        <v>30</v>
      </c>
      <c r="G57" s="510">
        <v>20</v>
      </c>
      <c r="H57" s="509">
        <v>10</v>
      </c>
      <c r="I57" s="510">
        <f>SUM(C57:H57)</f>
        <v>100</v>
      </c>
      <c r="J57" s="504"/>
    </row>
    <row r="58" spans="1:10" x14ac:dyDescent="0.25">
      <c r="A58" s="504"/>
      <c r="B58" s="504"/>
      <c r="C58" s="504"/>
      <c r="D58" s="504"/>
      <c r="E58" s="504"/>
      <c r="F58" s="504"/>
      <c r="G58" s="504"/>
      <c r="H58" s="504"/>
      <c r="I58" s="504"/>
      <c r="J58" s="504"/>
    </row>
    <row r="59" spans="1:10" x14ac:dyDescent="0.25">
      <c r="A59" s="845" t="s">
        <v>669</v>
      </c>
      <c r="B59" s="845"/>
      <c r="C59" s="845"/>
      <c r="D59" s="845"/>
      <c r="E59" s="845"/>
      <c r="F59" s="845"/>
      <c r="G59" s="845"/>
      <c r="H59" s="845"/>
      <c r="I59" s="845"/>
      <c r="J59" s="504"/>
    </row>
    <row r="60" spans="1:10" x14ac:dyDescent="0.25">
      <c r="A60" s="845"/>
      <c r="B60" s="845"/>
      <c r="C60" s="845"/>
      <c r="D60" s="845"/>
      <c r="E60" s="845"/>
      <c r="F60" s="845"/>
      <c r="G60" s="845"/>
      <c r="H60" s="845"/>
      <c r="I60" s="845"/>
      <c r="J60" s="504"/>
    </row>
    <row r="62" spans="1:10" x14ac:dyDescent="0.25">
      <c r="A62" s="514"/>
      <c r="B62" s="514"/>
      <c r="C62" s="514"/>
      <c r="D62" s="514"/>
      <c r="E62" s="514"/>
      <c r="F62" s="514"/>
      <c r="G62" s="514"/>
      <c r="H62" s="514"/>
      <c r="I62" s="514"/>
      <c r="J62" s="514"/>
    </row>
    <row r="63" spans="1:10" x14ac:dyDescent="0.25">
      <c r="A63" s="515" t="s">
        <v>670</v>
      </c>
      <c r="I63" s="497">
        <v>192</v>
      </c>
    </row>
    <row r="64" spans="1:10" x14ac:dyDescent="0.25">
      <c r="A64" s="515" t="s">
        <v>671</v>
      </c>
    </row>
    <row r="67" spans="1:10" x14ac:dyDescent="0.25">
      <c r="A67" s="496"/>
      <c r="E67" s="843" t="s">
        <v>650</v>
      </c>
      <c r="F67" s="843"/>
      <c r="G67" s="843"/>
    </row>
    <row r="68" spans="1:10" x14ac:dyDescent="0.25">
      <c r="A68" s="496"/>
      <c r="B68" s="498"/>
      <c r="E68" s="843"/>
      <c r="F68" s="843"/>
      <c r="G68" s="843"/>
    </row>
    <row r="69" spans="1:10" x14ac:dyDescent="0.25">
      <c r="A69" s="499"/>
      <c r="B69" s="500" t="s">
        <v>651</v>
      </c>
      <c r="C69" s="499"/>
      <c r="D69" s="499"/>
      <c r="E69" s="499"/>
      <c r="F69" s="499"/>
      <c r="G69" s="499"/>
      <c r="H69" s="499"/>
      <c r="I69" s="499"/>
      <c r="J69" s="499"/>
    </row>
    <row r="71" spans="1:10" ht="13.8" x14ac:dyDescent="0.25">
      <c r="A71" s="502">
        <v>2.1</v>
      </c>
      <c r="B71" s="845" t="s">
        <v>672</v>
      </c>
      <c r="C71" s="845"/>
      <c r="D71" s="845"/>
      <c r="E71" s="845"/>
      <c r="F71" s="845"/>
      <c r="G71" s="845"/>
      <c r="H71" s="845"/>
      <c r="I71" s="845"/>
    </row>
    <row r="72" spans="1:10" ht="13.8" x14ac:dyDescent="0.25">
      <c r="A72" s="502"/>
      <c r="B72" s="845"/>
      <c r="C72" s="845"/>
      <c r="D72" s="845"/>
      <c r="E72" s="845"/>
      <c r="F72" s="845"/>
      <c r="G72" s="845"/>
      <c r="H72" s="845"/>
      <c r="I72" s="845"/>
    </row>
    <row r="73" spans="1:10" ht="13.8" x14ac:dyDescent="0.25">
      <c r="A73" s="502"/>
      <c r="B73" s="845"/>
      <c r="C73" s="845"/>
      <c r="D73" s="845"/>
      <c r="E73" s="845"/>
      <c r="F73" s="845"/>
      <c r="G73" s="845"/>
      <c r="H73" s="845"/>
      <c r="I73" s="845"/>
    </row>
    <row r="74" spans="1:10" ht="13.8" x14ac:dyDescent="0.25">
      <c r="A74" s="502"/>
      <c r="B74" s="845"/>
      <c r="C74" s="845"/>
      <c r="D74" s="845"/>
      <c r="E74" s="845"/>
      <c r="F74" s="845"/>
      <c r="G74" s="845"/>
      <c r="H74" s="845"/>
      <c r="I74" s="845"/>
    </row>
    <row r="75" spans="1:10" ht="13.8" x14ac:dyDescent="0.25">
      <c r="A75" s="502"/>
      <c r="B75" s="845"/>
      <c r="C75" s="845"/>
      <c r="D75" s="845"/>
      <c r="E75" s="845"/>
      <c r="F75" s="845"/>
      <c r="G75" s="845"/>
      <c r="H75" s="845"/>
      <c r="I75" s="845"/>
    </row>
    <row r="76" spans="1:10" ht="13.8" x14ac:dyDescent="0.25">
      <c r="A76" s="502"/>
      <c r="B76" s="516"/>
    </row>
    <row r="77" spans="1:10" x14ac:dyDescent="0.25">
      <c r="B77" s="845" t="s">
        <v>673</v>
      </c>
      <c r="C77" s="845"/>
      <c r="D77" s="845"/>
      <c r="E77" s="845"/>
      <c r="F77" s="845"/>
      <c r="G77" s="845"/>
      <c r="H77" s="845"/>
      <c r="I77" s="845"/>
    </row>
    <row r="78" spans="1:10" x14ac:dyDescent="0.25">
      <c r="B78" s="845"/>
      <c r="C78" s="845"/>
      <c r="D78" s="845"/>
      <c r="E78" s="845"/>
      <c r="F78" s="845"/>
      <c r="G78" s="845"/>
      <c r="H78" s="845"/>
      <c r="I78" s="845"/>
    </row>
    <row r="79" spans="1:10" x14ac:dyDescent="0.25">
      <c r="B79" s="845"/>
      <c r="C79" s="845"/>
      <c r="D79" s="845"/>
      <c r="E79" s="845"/>
      <c r="F79" s="845"/>
      <c r="G79" s="845"/>
      <c r="H79" s="845"/>
      <c r="I79" s="845"/>
    </row>
    <row r="80" spans="1:10" ht="13.8" x14ac:dyDescent="0.25">
      <c r="B80" s="502"/>
    </row>
    <row r="81" spans="1:17" x14ac:dyDescent="0.25">
      <c r="B81" s="845" t="s">
        <v>674</v>
      </c>
      <c r="C81" s="845"/>
      <c r="D81" s="845"/>
      <c r="E81" s="845"/>
      <c r="F81" s="845"/>
      <c r="G81" s="845"/>
      <c r="H81" s="845"/>
      <c r="I81" s="845"/>
    </row>
    <row r="82" spans="1:17" x14ac:dyDescent="0.25">
      <c r="B82" s="845"/>
      <c r="C82" s="845"/>
      <c r="D82" s="845"/>
      <c r="E82" s="845"/>
      <c r="F82" s="845"/>
      <c r="G82" s="845"/>
      <c r="H82" s="845"/>
      <c r="I82" s="845"/>
    </row>
    <row r="83" spans="1:17" ht="13.8" x14ac:dyDescent="0.25">
      <c r="B83" s="502"/>
    </row>
    <row r="84" spans="1:17" ht="13.8" x14ac:dyDescent="0.25">
      <c r="B84" s="502" t="s">
        <v>675</v>
      </c>
    </row>
    <row r="86" spans="1:17" x14ac:dyDescent="0.25">
      <c r="B86" s="497" t="s">
        <v>676</v>
      </c>
    </row>
    <row r="87" spans="1:17" x14ac:dyDescent="0.25">
      <c r="B87" s="842" t="s">
        <v>677</v>
      </c>
      <c r="C87" s="842"/>
      <c r="D87" s="842"/>
      <c r="E87" s="842"/>
      <c r="F87" s="842"/>
      <c r="G87" s="842"/>
      <c r="H87" s="842"/>
    </row>
    <row r="88" spans="1:17" x14ac:dyDescent="0.25">
      <c r="B88" s="859" t="s">
        <v>678</v>
      </c>
      <c r="C88" s="859"/>
      <c r="D88" s="859"/>
      <c r="E88" s="859"/>
      <c r="F88" s="859"/>
      <c r="G88" s="859"/>
      <c r="H88" s="859"/>
    </row>
    <row r="89" spans="1:17" ht="15" customHeight="1" x14ac:dyDescent="0.25">
      <c r="A89" s="846" t="s">
        <v>346</v>
      </c>
      <c r="B89" s="847"/>
      <c r="C89" s="860" t="s">
        <v>668</v>
      </c>
      <c r="D89" s="861"/>
      <c r="E89" s="861"/>
      <c r="F89" s="861"/>
      <c r="G89" s="861"/>
      <c r="H89" s="862"/>
    </row>
    <row r="90" spans="1:17" x14ac:dyDescent="0.25">
      <c r="A90" s="848"/>
      <c r="B90" s="849"/>
      <c r="C90" s="507">
        <v>5</v>
      </c>
      <c r="D90" s="506">
        <v>4</v>
      </c>
      <c r="E90" s="507">
        <v>3</v>
      </c>
      <c r="F90" s="506">
        <v>2</v>
      </c>
      <c r="G90" s="507">
        <v>1</v>
      </c>
      <c r="H90" s="505">
        <v>0</v>
      </c>
      <c r="L90" s="507">
        <v>5</v>
      </c>
      <c r="M90" s="506">
        <v>4</v>
      </c>
      <c r="N90" s="507">
        <v>3</v>
      </c>
      <c r="O90" s="506">
        <v>2</v>
      </c>
      <c r="P90" s="507">
        <v>1</v>
      </c>
      <c r="Q90" s="505">
        <v>0</v>
      </c>
    </row>
    <row r="91" spans="1:17" x14ac:dyDescent="0.25">
      <c r="A91" s="850"/>
      <c r="B91" s="851"/>
      <c r="C91" s="510" t="s">
        <v>318</v>
      </c>
      <c r="D91" s="509" t="s">
        <v>319</v>
      </c>
      <c r="E91" s="510" t="s">
        <v>320</v>
      </c>
      <c r="F91" s="509" t="s">
        <v>321</v>
      </c>
      <c r="G91" s="510" t="s">
        <v>322</v>
      </c>
      <c r="H91" s="508" t="s">
        <v>477</v>
      </c>
      <c r="L91" s="510" t="s">
        <v>318</v>
      </c>
      <c r="M91" s="509" t="s">
        <v>319</v>
      </c>
      <c r="N91" s="510" t="s">
        <v>320</v>
      </c>
      <c r="O91" s="509" t="s">
        <v>321</v>
      </c>
      <c r="P91" s="510" t="s">
        <v>322</v>
      </c>
      <c r="Q91" s="508" t="s">
        <v>477</v>
      </c>
    </row>
    <row r="92" spans="1:17" x14ac:dyDescent="0.25">
      <c r="A92" s="854">
        <v>101</v>
      </c>
      <c r="B92" s="853"/>
      <c r="C92" s="511">
        <f>ROUNDDOWN(+C53*100/3,0)</f>
        <v>0</v>
      </c>
      <c r="D92" s="511">
        <f>ROUNDDOWN(+D53*100/25,0)</f>
        <v>0</v>
      </c>
      <c r="E92" s="511">
        <f>ROUNDDOWN(+E53*100/25,0)</f>
        <v>0</v>
      </c>
      <c r="F92" s="511">
        <f>ROUNDDOWN(+F53*100/25,0)</f>
        <v>40</v>
      </c>
      <c r="G92" s="511">
        <f>ROUNDDOWN(+G53*100/25,0)</f>
        <v>160</v>
      </c>
      <c r="H92" s="511">
        <f>ROUNDDOWN(+H53*100/25,0)</f>
        <v>200</v>
      </c>
      <c r="L92" s="511">
        <f>+C92</f>
        <v>0</v>
      </c>
      <c r="M92" s="511">
        <f>+C92+D92</f>
        <v>0</v>
      </c>
      <c r="N92" s="511">
        <f>+C92+D92+E92</f>
        <v>0</v>
      </c>
      <c r="O92" s="511">
        <f>+C92+D92+E92+F92</f>
        <v>40</v>
      </c>
      <c r="P92" s="511">
        <f>+C92+D92+E92+F92+G92</f>
        <v>200</v>
      </c>
      <c r="Q92" s="511">
        <f>+C92+D92+E92+F92+G92+H92</f>
        <v>400</v>
      </c>
    </row>
    <row r="93" spans="1:17" x14ac:dyDescent="0.25">
      <c r="A93" s="855">
        <v>201</v>
      </c>
      <c r="B93" s="856"/>
      <c r="C93" s="513">
        <f>ROUNDDOWN(+C54*100/3,0)</f>
        <v>0</v>
      </c>
      <c r="D93" s="513">
        <f t="shared" ref="D93:H96" si="0">ROUNDDOWN(+D54*100/25,0)</f>
        <v>80</v>
      </c>
      <c r="E93" s="513">
        <f t="shared" si="0"/>
        <v>80</v>
      </c>
      <c r="F93" s="513">
        <f t="shared" si="0"/>
        <v>80</v>
      </c>
      <c r="G93" s="513">
        <f t="shared" si="0"/>
        <v>80</v>
      </c>
      <c r="H93" s="513">
        <f t="shared" si="0"/>
        <v>80</v>
      </c>
      <c r="L93" s="513">
        <f>+C93</f>
        <v>0</v>
      </c>
      <c r="M93" s="513">
        <f>+C93+D93</f>
        <v>80</v>
      </c>
      <c r="N93" s="513">
        <f>+C93+D93+E93</f>
        <v>160</v>
      </c>
      <c r="O93" s="513">
        <f>+C93+D93+E93+F93</f>
        <v>240</v>
      </c>
      <c r="P93" s="513">
        <f>+C93+D93+E93+F93+G93</f>
        <v>320</v>
      </c>
      <c r="Q93" s="513">
        <f>+C93+D93+E93+F93+G93+H93</f>
        <v>400</v>
      </c>
    </row>
    <row r="94" spans="1:17" x14ac:dyDescent="0.25">
      <c r="A94" s="855">
        <v>301</v>
      </c>
      <c r="B94" s="856"/>
      <c r="C94" s="513">
        <f>ROUNDDOWN(+C55*100/3,0)</f>
        <v>333</v>
      </c>
      <c r="D94" s="513">
        <f t="shared" si="0"/>
        <v>80</v>
      </c>
      <c r="E94" s="513">
        <f t="shared" si="0"/>
        <v>200</v>
      </c>
      <c r="F94" s="513">
        <f t="shared" si="0"/>
        <v>80</v>
      </c>
      <c r="G94" s="513">
        <f t="shared" si="0"/>
        <v>0</v>
      </c>
      <c r="H94" s="513">
        <f t="shared" si="0"/>
        <v>0</v>
      </c>
      <c r="L94" s="513">
        <f>+C94</f>
        <v>333</v>
      </c>
      <c r="M94" s="513">
        <f>+C94+D94</f>
        <v>413</v>
      </c>
      <c r="N94" s="513">
        <f>+C94+D94+E94</f>
        <v>613</v>
      </c>
      <c r="O94" s="513">
        <f>+C94+D94+E94+F94</f>
        <v>693</v>
      </c>
      <c r="P94" s="513">
        <f>+C94+D94+E94+F94+G94</f>
        <v>693</v>
      </c>
      <c r="Q94" s="513">
        <f>+C94+D94+E94+F94+G94+H94</f>
        <v>693</v>
      </c>
    </row>
    <row r="95" spans="1:17" x14ac:dyDescent="0.25">
      <c r="A95" s="855">
        <v>401</v>
      </c>
      <c r="B95" s="856"/>
      <c r="C95" s="513">
        <f>ROUNDDOWN(+C56*100/3,0)</f>
        <v>66</v>
      </c>
      <c r="D95" s="513">
        <f t="shared" si="0"/>
        <v>40</v>
      </c>
      <c r="E95" s="513">
        <f t="shared" si="0"/>
        <v>112</v>
      </c>
      <c r="F95" s="513">
        <f t="shared" si="0"/>
        <v>120</v>
      </c>
      <c r="G95" s="513">
        <f t="shared" si="0"/>
        <v>80</v>
      </c>
      <c r="H95" s="513">
        <f t="shared" si="0"/>
        <v>40</v>
      </c>
      <c r="L95" s="513">
        <f>+C95</f>
        <v>66</v>
      </c>
      <c r="M95" s="513">
        <f>+C95+D95</f>
        <v>106</v>
      </c>
      <c r="N95" s="513">
        <f>+C95+D95+E95</f>
        <v>218</v>
      </c>
      <c r="O95" s="513">
        <f>+C95+D95+E95+F95</f>
        <v>338</v>
      </c>
      <c r="P95" s="513">
        <f>+C95+D95+E95+F95+G95</f>
        <v>418</v>
      </c>
      <c r="Q95" s="513">
        <f>+C95+D95+E95+F95+G95+H95</f>
        <v>458</v>
      </c>
    </row>
    <row r="96" spans="1:17" x14ac:dyDescent="0.25">
      <c r="A96" s="857">
        <v>501</v>
      </c>
      <c r="B96" s="858"/>
      <c r="C96" s="510">
        <f>ROUNDDOWN(+C57*100/3,0)</f>
        <v>0</v>
      </c>
      <c r="D96" s="510">
        <f t="shared" si="0"/>
        <v>0</v>
      </c>
      <c r="E96" s="510">
        <f t="shared" si="0"/>
        <v>160</v>
      </c>
      <c r="F96" s="510">
        <f t="shared" si="0"/>
        <v>120</v>
      </c>
      <c r="G96" s="510">
        <f t="shared" si="0"/>
        <v>80</v>
      </c>
      <c r="H96" s="510">
        <f t="shared" si="0"/>
        <v>40</v>
      </c>
      <c r="L96" s="510">
        <f>+C96</f>
        <v>0</v>
      </c>
      <c r="M96" s="510">
        <f>+C96+D96</f>
        <v>0</v>
      </c>
      <c r="N96" s="510">
        <f>+C96+D96+E96</f>
        <v>160</v>
      </c>
      <c r="O96" s="510">
        <f>+C96+D96+E96+F96</f>
        <v>280</v>
      </c>
      <c r="P96" s="510">
        <f>+C96+D96+E96+F96+G96</f>
        <v>360</v>
      </c>
      <c r="Q96" s="510">
        <f>+C96+D96+E96+F96+G96+H96</f>
        <v>400</v>
      </c>
    </row>
    <row r="98" spans="1:17" ht="13.8" x14ac:dyDescent="0.25">
      <c r="A98" s="502">
        <v>2.2000000000000002</v>
      </c>
      <c r="B98" s="845" t="s">
        <v>679</v>
      </c>
      <c r="C98" s="845"/>
      <c r="D98" s="845"/>
      <c r="E98" s="845"/>
      <c r="F98" s="845"/>
      <c r="G98" s="845"/>
      <c r="H98" s="845"/>
      <c r="I98" s="845"/>
    </row>
    <row r="99" spans="1:17" ht="13.8" x14ac:dyDescent="0.25">
      <c r="A99" s="502"/>
      <c r="B99" s="845"/>
      <c r="C99" s="845"/>
      <c r="D99" s="845"/>
      <c r="E99" s="845"/>
      <c r="F99" s="845"/>
      <c r="G99" s="845"/>
      <c r="H99" s="845"/>
      <c r="I99" s="845"/>
    </row>
    <row r="100" spans="1:17" ht="13.8" x14ac:dyDescent="0.25">
      <c r="A100" s="502"/>
      <c r="B100" s="516"/>
    </row>
    <row r="101" spans="1:17" x14ac:dyDescent="0.25">
      <c r="B101" s="845" t="s">
        <v>680</v>
      </c>
      <c r="C101" s="845"/>
      <c r="D101" s="845"/>
      <c r="E101" s="845"/>
      <c r="F101" s="845"/>
      <c r="G101" s="845"/>
      <c r="H101" s="845"/>
      <c r="I101" s="845"/>
    </row>
    <row r="102" spans="1:17" x14ac:dyDescent="0.25">
      <c r="B102" s="845"/>
      <c r="C102" s="845"/>
      <c r="D102" s="845"/>
      <c r="E102" s="845"/>
      <c r="F102" s="845"/>
      <c r="G102" s="845"/>
      <c r="H102" s="845"/>
      <c r="I102" s="845"/>
    </row>
    <row r="103" spans="1:17" x14ac:dyDescent="0.25">
      <c r="B103" s="845"/>
      <c r="C103" s="845"/>
      <c r="D103" s="845"/>
      <c r="E103" s="845"/>
      <c r="F103" s="845"/>
      <c r="G103" s="845"/>
      <c r="H103" s="845"/>
      <c r="I103" s="845"/>
    </row>
    <row r="104" spans="1:17" ht="13.8" x14ac:dyDescent="0.25">
      <c r="B104" s="502"/>
    </row>
    <row r="105" spans="1:17" ht="15" customHeight="1" x14ac:dyDescent="0.25">
      <c r="B105" s="502" t="s">
        <v>681</v>
      </c>
    </row>
    <row r="107" spans="1:17" x14ac:dyDescent="0.25">
      <c r="B107" s="497" t="s">
        <v>682</v>
      </c>
    </row>
    <row r="108" spans="1:17" x14ac:dyDescent="0.25">
      <c r="B108" s="842" t="s">
        <v>683</v>
      </c>
      <c r="C108" s="842"/>
      <c r="D108" s="842"/>
      <c r="E108" s="842"/>
      <c r="F108" s="842"/>
      <c r="G108" s="842"/>
      <c r="H108" s="842"/>
    </row>
    <row r="109" spans="1:17" x14ac:dyDescent="0.25">
      <c r="B109" s="859" t="s">
        <v>684</v>
      </c>
      <c r="C109" s="859"/>
      <c r="D109" s="859"/>
      <c r="E109" s="859"/>
      <c r="F109" s="859"/>
      <c r="G109" s="859"/>
      <c r="H109" s="859"/>
    </row>
    <row r="110" spans="1:17" ht="15" customHeight="1" x14ac:dyDescent="0.25">
      <c r="A110" s="846" t="s">
        <v>346</v>
      </c>
      <c r="B110" s="847"/>
      <c r="C110" s="860" t="s">
        <v>668</v>
      </c>
      <c r="D110" s="863"/>
      <c r="E110" s="863"/>
      <c r="F110" s="863"/>
      <c r="G110" s="863"/>
      <c r="H110" s="864"/>
    </row>
    <row r="111" spans="1:17" x14ac:dyDescent="0.25">
      <c r="A111" s="848"/>
      <c r="B111" s="849"/>
      <c r="C111" s="507">
        <v>5</v>
      </c>
      <c r="D111" s="506">
        <v>4</v>
      </c>
      <c r="E111" s="507">
        <v>3</v>
      </c>
      <c r="F111" s="506">
        <v>2</v>
      </c>
      <c r="G111" s="507">
        <v>1</v>
      </c>
      <c r="H111" s="505">
        <v>0</v>
      </c>
      <c r="L111" s="507">
        <v>5</v>
      </c>
      <c r="M111" s="506">
        <v>4</v>
      </c>
      <c r="N111" s="507">
        <v>3</v>
      </c>
      <c r="O111" s="506">
        <v>2</v>
      </c>
      <c r="P111" s="507">
        <v>1</v>
      </c>
      <c r="Q111" s="505">
        <v>0</v>
      </c>
    </row>
    <row r="112" spans="1:17" x14ac:dyDescent="0.25">
      <c r="A112" s="850"/>
      <c r="B112" s="851"/>
      <c r="C112" s="510" t="s">
        <v>318</v>
      </c>
      <c r="D112" s="509" t="s">
        <v>319</v>
      </c>
      <c r="E112" s="510" t="s">
        <v>320</v>
      </c>
      <c r="F112" s="509" t="s">
        <v>321</v>
      </c>
      <c r="G112" s="510" t="s">
        <v>322</v>
      </c>
      <c r="H112" s="508" t="s">
        <v>477</v>
      </c>
      <c r="L112" s="510" t="s">
        <v>318</v>
      </c>
      <c r="M112" s="509" t="s">
        <v>319</v>
      </c>
      <c r="N112" s="510" t="s">
        <v>320</v>
      </c>
      <c r="O112" s="509" t="s">
        <v>321</v>
      </c>
      <c r="P112" s="510" t="s">
        <v>322</v>
      </c>
      <c r="Q112" s="508" t="s">
        <v>477</v>
      </c>
    </row>
    <row r="113" spans="1:17" x14ac:dyDescent="0.25">
      <c r="A113" s="854">
        <v>101</v>
      </c>
      <c r="B113" s="853"/>
      <c r="C113" s="511">
        <f>+IF(L92&lt;100,L92,L92)</f>
        <v>0</v>
      </c>
      <c r="D113" s="511">
        <f>+IF(L92&lt;100,M92,0)</f>
        <v>0</v>
      </c>
      <c r="E113" s="511">
        <f>+IF(M92&lt;100,N92,0)</f>
        <v>0</v>
      </c>
      <c r="F113" s="511">
        <f>+IF(N92&lt;100,O92,0)</f>
        <v>40</v>
      </c>
      <c r="G113" s="511">
        <f>+IF(O92&lt;100,P92,0)</f>
        <v>200</v>
      </c>
      <c r="H113" s="511">
        <f>+IF(P92&lt;100,Q92,0)</f>
        <v>0</v>
      </c>
      <c r="L113" s="511">
        <f>+C113</f>
        <v>0</v>
      </c>
      <c r="M113" s="511">
        <f>+C113+D113</f>
        <v>0</v>
      </c>
      <c r="N113" s="511">
        <f>+C113+D113+E113</f>
        <v>0</v>
      </c>
      <c r="O113" s="511">
        <f>+C113+D113+E113+F113</f>
        <v>40</v>
      </c>
      <c r="P113" s="511">
        <f>+C113+D113+E113+F113+G113</f>
        <v>240</v>
      </c>
      <c r="Q113" s="511">
        <f>+C113+D113+E113+F113+G113+H113</f>
        <v>240</v>
      </c>
    </row>
    <row r="114" spans="1:17" x14ac:dyDescent="0.25">
      <c r="A114" s="855">
        <v>201</v>
      </c>
      <c r="B114" s="856"/>
      <c r="C114" s="513">
        <f>+IF(L93&lt;100,L93,L93)</f>
        <v>0</v>
      </c>
      <c r="D114" s="513">
        <f t="shared" ref="D114:H117" si="1">+IF(L93&lt;100,M93,0)</f>
        <v>80</v>
      </c>
      <c r="E114" s="513">
        <f t="shared" si="1"/>
        <v>160</v>
      </c>
      <c r="F114" s="513">
        <f t="shared" si="1"/>
        <v>0</v>
      </c>
      <c r="G114" s="513">
        <f t="shared" si="1"/>
        <v>0</v>
      </c>
      <c r="H114" s="513">
        <f t="shared" si="1"/>
        <v>0</v>
      </c>
      <c r="L114" s="513">
        <f>+C114</f>
        <v>0</v>
      </c>
      <c r="M114" s="513">
        <f>+C114+D114</f>
        <v>80</v>
      </c>
      <c r="N114" s="513">
        <f>+C114+D114+E114</f>
        <v>240</v>
      </c>
      <c r="O114" s="513">
        <f>+C114+D114+E114+F114</f>
        <v>240</v>
      </c>
      <c r="P114" s="513">
        <f>+C114+D114+E114+F114+G114</f>
        <v>240</v>
      </c>
      <c r="Q114" s="513">
        <f>+C114+D114+E114+F114+G114+H114</f>
        <v>240</v>
      </c>
    </row>
    <row r="115" spans="1:17" x14ac:dyDescent="0.25">
      <c r="A115" s="855">
        <v>301</v>
      </c>
      <c r="B115" s="856"/>
      <c r="C115" s="513">
        <f>+IF(L94&lt;100,L94,L94)</f>
        <v>333</v>
      </c>
      <c r="D115" s="513">
        <f t="shared" si="1"/>
        <v>0</v>
      </c>
      <c r="E115" s="513">
        <f t="shared" si="1"/>
        <v>0</v>
      </c>
      <c r="F115" s="513">
        <f t="shared" si="1"/>
        <v>0</v>
      </c>
      <c r="G115" s="513">
        <f t="shared" si="1"/>
        <v>0</v>
      </c>
      <c r="H115" s="513">
        <f t="shared" si="1"/>
        <v>0</v>
      </c>
      <c r="L115" s="513">
        <f>+C115</f>
        <v>333</v>
      </c>
      <c r="M115" s="513">
        <f>+C115+D115</f>
        <v>333</v>
      </c>
      <c r="N115" s="513">
        <f>+C115+D115+E115</f>
        <v>333</v>
      </c>
      <c r="O115" s="513">
        <f>+C115+D115+E115+F115</f>
        <v>333</v>
      </c>
      <c r="P115" s="513">
        <f>+C115+D115+E115+F115+G115</f>
        <v>333</v>
      </c>
      <c r="Q115" s="513">
        <f>+C115+D115+E115+F115+G115+H115</f>
        <v>333</v>
      </c>
    </row>
    <row r="116" spans="1:17" x14ac:dyDescent="0.25">
      <c r="A116" s="855">
        <v>401</v>
      </c>
      <c r="B116" s="856"/>
      <c r="C116" s="513">
        <f>+IF(L95&lt;100,L95,L95)</f>
        <v>66</v>
      </c>
      <c r="D116" s="513">
        <f t="shared" si="1"/>
        <v>106</v>
      </c>
      <c r="E116" s="513">
        <f t="shared" si="1"/>
        <v>0</v>
      </c>
      <c r="F116" s="513">
        <f t="shared" si="1"/>
        <v>0</v>
      </c>
      <c r="G116" s="513">
        <f t="shared" si="1"/>
        <v>0</v>
      </c>
      <c r="H116" s="513">
        <f t="shared" si="1"/>
        <v>0</v>
      </c>
      <c r="L116" s="513">
        <f>+C116</f>
        <v>66</v>
      </c>
      <c r="M116" s="513">
        <f>+C116+D116</f>
        <v>172</v>
      </c>
      <c r="N116" s="513">
        <f>+C116+D116+E116</f>
        <v>172</v>
      </c>
      <c r="O116" s="513">
        <f>+C116+D116+E116+F116</f>
        <v>172</v>
      </c>
      <c r="P116" s="513">
        <f>+C116+D116+E116+F116+G116</f>
        <v>172</v>
      </c>
      <c r="Q116" s="513">
        <f>+C116+D116+E116+F116+G116+H116</f>
        <v>172</v>
      </c>
    </row>
    <row r="117" spans="1:17" x14ac:dyDescent="0.25">
      <c r="A117" s="857">
        <v>501</v>
      </c>
      <c r="B117" s="858"/>
      <c r="C117" s="510">
        <f>+IF(L96&lt;100,L96,L96)</f>
        <v>0</v>
      </c>
      <c r="D117" s="510">
        <f t="shared" si="1"/>
        <v>0</v>
      </c>
      <c r="E117" s="510">
        <f t="shared" si="1"/>
        <v>160</v>
      </c>
      <c r="F117" s="510">
        <f t="shared" si="1"/>
        <v>0</v>
      </c>
      <c r="G117" s="510">
        <f t="shared" si="1"/>
        <v>0</v>
      </c>
      <c r="H117" s="510">
        <f t="shared" si="1"/>
        <v>0</v>
      </c>
      <c r="L117" s="510">
        <f>+C117</f>
        <v>0</v>
      </c>
      <c r="M117" s="510">
        <f>+C117+D117</f>
        <v>0</v>
      </c>
      <c r="N117" s="510">
        <f>+C117+D117+E117</f>
        <v>160</v>
      </c>
      <c r="O117" s="510">
        <f>+C117+D117+E117+F117</f>
        <v>160</v>
      </c>
      <c r="P117" s="510">
        <f>+C117+D117+E117+F117+G117</f>
        <v>160</v>
      </c>
      <c r="Q117" s="510">
        <f>+C117+D117+E117+F117+G117+H117</f>
        <v>160</v>
      </c>
    </row>
    <row r="118" spans="1:17" x14ac:dyDescent="0.25">
      <c r="A118" s="504"/>
      <c r="B118" s="504"/>
      <c r="C118" s="504"/>
      <c r="D118" s="504"/>
      <c r="E118" s="504"/>
      <c r="F118" s="504"/>
      <c r="G118" s="504"/>
      <c r="H118" s="504"/>
      <c r="L118" s="504"/>
      <c r="M118" s="504"/>
      <c r="N118" s="504"/>
      <c r="O118" s="504"/>
      <c r="P118" s="504"/>
      <c r="Q118" s="504"/>
    </row>
    <row r="119" spans="1:17" ht="13.8" x14ac:dyDescent="0.25">
      <c r="A119" s="502">
        <v>2.2999999999999998</v>
      </c>
      <c r="B119" s="845" t="s">
        <v>685</v>
      </c>
      <c r="C119" s="845"/>
      <c r="D119" s="845"/>
      <c r="E119" s="845"/>
      <c r="F119" s="845"/>
      <c r="G119" s="845"/>
      <c r="H119" s="845"/>
      <c r="I119" s="845"/>
      <c r="L119" s="504"/>
      <c r="M119" s="504"/>
      <c r="N119" s="504"/>
      <c r="O119" s="504"/>
      <c r="P119" s="504"/>
      <c r="Q119" s="504"/>
    </row>
    <row r="120" spans="1:17" x14ac:dyDescent="0.25">
      <c r="A120" s="504"/>
      <c r="B120" s="845"/>
      <c r="C120" s="845"/>
      <c r="D120" s="845"/>
      <c r="E120" s="845"/>
      <c r="F120" s="845"/>
      <c r="G120" s="845"/>
      <c r="H120" s="845"/>
      <c r="I120" s="845"/>
      <c r="L120" s="504"/>
      <c r="M120" s="504"/>
      <c r="N120" s="504"/>
      <c r="O120" s="504"/>
      <c r="P120" s="504"/>
      <c r="Q120" s="504"/>
    </row>
    <row r="121" spans="1:17" x14ac:dyDescent="0.25">
      <c r="A121" s="504"/>
      <c r="B121" s="845"/>
      <c r="C121" s="845"/>
      <c r="D121" s="845"/>
      <c r="E121" s="845"/>
      <c r="F121" s="845"/>
      <c r="G121" s="845"/>
      <c r="H121" s="845"/>
      <c r="I121" s="845"/>
      <c r="L121" s="504"/>
      <c r="M121" s="504"/>
      <c r="N121" s="504"/>
      <c r="O121" s="504"/>
      <c r="P121" s="504"/>
      <c r="Q121" s="504"/>
    </row>
    <row r="122" spans="1:17" x14ac:dyDescent="0.25">
      <c r="A122" s="504"/>
      <c r="B122" s="504"/>
      <c r="C122" s="504"/>
      <c r="D122" s="504"/>
      <c r="E122" s="504"/>
      <c r="F122" s="504"/>
      <c r="G122" s="504"/>
      <c r="H122" s="504"/>
      <c r="L122" s="504"/>
      <c r="M122" s="504"/>
      <c r="N122" s="504"/>
      <c r="O122" s="504"/>
      <c r="P122" s="504"/>
      <c r="Q122" s="504"/>
    </row>
    <row r="123" spans="1:17" x14ac:dyDescent="0.25">
      <c r="A123" s="504"/>
      <c r="B123" s="504"/>
      <c r="C123" s="504"/>
      <c r="D123" s="504"/>
      <c r="E123" s="504"/>
      <c r="F123" s="504"/>
      <c r="G123" s="504"/>
      <c r="H123" s="504"/>
      <c r="L123" s="504"/>
      <c r="M123" s="504"/>
      <c r="N123" s="504"/>
      <c r="O123" s="504"/>
      <c r="P123" s="504"/>
      <c r="Q123" s="504"/>
    </row>
    <row r="124" spans="1:17" x14ac:dyDescent="0.25">
      <c r="A124" s="504"/>
      <c r="B124" s="504"/>
      <c r="C124" s="504"/>
      <c r="D124" s="504"/>
      <c r="E124" s="504"/>
      <c r="F124" s="504"/>
      <c r="G124" s="504"/>
      <c r="H124" s="504"/>
      <c r="L124" s="504"/>
      <c r="M124" s="504"/>
      <c r="N124" s="504"/>
      <c r="O124" s="504"/>
      <c r="P124" s="504"/>
      <c r="Q124" s="504"/>
    </row>
    <row r="125" spans="1:17" x14ac:dyDescent="0.25">
      <c r="A125" s="504"/>
      <c r="B125" s="504"/>
      <c r="C125" s="504"/>
      <c r="D125" s="504"/>
      <c r="E125" s="504"/>
      <c r="F125" s="504"/>
      <c r="G125" s="504"/>
      <c r="H125" s="504"/>
      <c r="L125" s="504"/>
      <c r="M125" s="504"/>
      <c r="N125" s="504"/>
      <c r="O125" s="504"/>
      <c r="P125" s="504"/>
      <c r="Q125" s="504"/>
    </row>
    <row r="126" spans="1:17" x14ac:dyDescent="0.25">
      <c r="A126" s="504"/>
      <c r="B126" s="504"/>
      <c r="C126" s="504"/>
      <c r="D126" s="504"/>
      <c r="E126" s="504"/>
      <c r="F126" s="504"/>
      <c r="G126" s="504"/>
      <c r="H126" s="504"/>
      <c r="L126" s="504"/>
      <c r="M126" s="504"/>
      <c r="N126" s="504"/>
      <c r="O126" s="504"/>
      <c r="P126" s="504"/>
      <c r="Q126" s="504"/>
    </row>
    <row r="127" spans="1:17" x14ac:dyDescent="0.25">
      <c r="A127" s="514"/>
      <c r="B127" s="514"/>
      <c r="C127" s="514"/>
      <c r="D127" s="514"/>
      <c r="E127" s="514"/>
      <c r="F127" s="514"/>
      <c r="G127" s="514"/>
      <c r="H127" s="514"/>
      <c r="I127" s="514"/>
      <c r="J127" s="514"/>
    </row>
    <row r="128" spans="1:17" x14ac:dyDescent="0.25">
      <c r="A128" s="515" t="s">
        <v>670</v>
      </c>
      <c r="I128" s="497">
        <f>1+I63</f>
        <v>193</v>
      </c>
    </row>
    <row r="129" spans="1:10" x14ac:dyDescent="0.25">
      <c r="A129" s="515" t="s">
        <v>671</v>
      </c>
    </row>
    <row r="132" spans="1:10" x14ac:dyDescent="0.25">
      <c r="A132" s="496"/>
      <c r="E132" s="843" t="s">
        <v>650</v>
      </c>
      <c r="F132" s="843"/>
      <c r="G132" s="843"/>
    </row>
    <row r="133" spans="1:10" x14ac:dyDescent="0.25">
      <c r="A133" s="496"/>
      <c r="B133" s="498"/>
      <c r="E133" s="843"/>
      <c r="F133" s="843"/>
      <c r="G133" s="843"/>
    </row>
    <row r="134" spans="1:10" x14ac:dyDescent="0.25">
      <c r="A134" s="499"/>
      <c r="B134" s="500" t="s">
        <v>651</v>
      </c>
      <c r="C134" s="499"/>
      <c r="D134" s="499"/>
      <c r="E134" s="499"/>
      <c r="F134" s="499"/>
      <c r="G134" s="499"/>
      <c r="H134" s="499"/>
      <c r="I134" s="499"/>
      <c r="J134" s="499"/>
    </row>
    <row r="136" spans="1:10" x14ac:dyDescent="0.25">
      <c r="B136" s="497" t="s">
        <v>686</v>
      </c>
    </row>
    <row r="137" spans="1:10" x14ac:dyDescent="0.25">
      <c r="B137" s="842" t="s">
        <v>687</v>
      </c>
      <c r="C137" s="842"/>
      <c r="D137" s="842"/>
      <c r="E137" s="842"/>
      <c r="F137" s="842"/>
      <c r="G137" s="842"/>
      <c r="H137" s="842"/>
      <c r="I137" s="842"/>
      <c r="J137" s="504"/>
    </row>
    <row r="138" spans="1:10" x14ac:dyDescent="0.25">
      <c r="B138" s="842" t="s">
        <v>688</v>
      </c>
      <c r="C138" s="842"/>
      <c r="D138" s="842"/>
      <c r="E138" s="842"/>
      <c r="F138" s="842"/>
      <c r="G138" s="842"/>
      <c r="H138" s="842"/>
      <c r="I138" s="842"/>
      <c r="J138" s="504"/>
    </row>
    <row r="139" spans="1:10" x14ac:dyDescent="0.25">
      <c r="A139" s="846" t="s">
        <v>346</v>
      </c>
      <c r="B139" s="847"/>
      <c r="C139" s="852" t="s">
        <v>668</v>
      </c>
      <c r="D139" s="852"/>
      <c r="E139" s="852"/>
      <c r="F139" s="852"/>
      <c r="G139" s="852"/>
      <c r="H139" s="852"/>
      <c r="I139" s="853"/>
      <c r="J139" s="504"/>
    </row>
    <row r="140" spans="1:10" x14ac:dyDescent="0.25">
      <c r="A140" s="848"/>
      <c r="B140" s="849"/>
      <c r="C140" s="505">
        <v>5</v>
      </c>
      <c r="D140" s="506">
        <v>4</v>
      </c>
      <c r="E140" s="507">
        <v>3</v>
      </c>
      <c r="F140" s="506">
        <v>2</v>
      </c>
      <c r="G140" s="507">
        <v>1</v>
      </c>
      <c r="H140" s="506">
        <v>0</v>
      </c>
      <c r="I140" s="507" t="s">
        <v>473</v>
      </c>
      <c r="J140" s="504"/>
    </row>
    <row r="141" spans="1:10" x14ac:dyDescent="0.25">
      <c r="A141" s="850"/>
      <c r="B141" s="851"/>
      <c r="C141" s="508" t="s">
        <v>318</v>
      </c>
      <c r="D141" s="509" t="s">
        <v>319</v>
      </c>
      <c r="E141" s="510" t="s">
        <v>320</v>
      </c>
      <c r="F141" s="509" t="s">
        <v>321</v>
      </c>
      <c r="G141" s="510" t="s">
        <v>322</v>
      </c>
      <c r="H141" s="509" t="s">
        <v>477</v>
      </c>
      <c r="I141" s="510"/>
      <c r="J141" s="504"/>
    </row>
    <row r="142" spans="1:10" x14ac:dyDescent="0.25">
      <c r="A142" s="854">
        <v>101</v>
      </c>
      <c r="B142" s="853"/>
      <c r="C142" s="511">
        <f>+IF(L113&gt;100,100,L113)</f>
        <v>0</v>
      </c>
      <c r="D142" s="511">
        <f t="shared" ref="D142:H146" si="2">+IF(L113&gt;=100,0,IF(M113&gt;100,100-L113,D113))</f>
        <v>0</v>
      </c>
      <c r="E142" s="511">
        <f t="shared" si="2"/>
        <v>0</v>
      </c>
      <c r="F142" s="511">
        <f t="shared" si="2"/>
        <v>40</v>
      </c>
      <c r="G142" s="511">
        <f t="shared" si="2"/>
        <v>60</v>
      </c>
      <c r="H142" s="511">
        <f t="shared" si="2"/>
        <v>0</v>
      </c>
      <c r="I142" s="511">
        <f>SUM(C142:H142)</f>
        <v>100</v>
      </c>
      <c r="J142" s="504"/>
    </row>
    <row r="143" spans="1:10" x14ac:dyDescent="0.25">
      <c r="A143" s="855">
        <v>201</v>
      </c>
      <c r="B143" s="856"/>
      <c r="C143" s="513">
        <f>+IF(L114&gt;100,100,L114)</f>
        <v>0</v>
      </c>
      <c r="D143" s="513">
        <f t="shared" si="2"/>
        <v>80</v>
      </c>
      <c r="E143" s="513">
        <f t="shared" si="2"/>
        <v>20</v>
      </c>
      <c r="F143" s="513">
        <f t="shared" si="2"/>
        <v>0</v>
      </c>
      <c r="G143" s="513">
        <f t="shared" si="2"/>
        <v>0</v>
      </c>
      <c r="H143" s="513">
        <f t="shared" si="2"/>
        <v>0</v>
      </c>
      <c r="I143" s="513">
        <f>SUM(C143:H143)</f>
        <v>100</v>
      </c>
      <c r="J143" s="504"/>
    </row>
    <row r="144" spans="1:10" x14ac:dyDescent="0.25">
      <c r="A144" s="855">
        <v>301</v>
      </c>
      <c r="B144" s="856"/>
      <c r="C144" s="513">
        <f>+IF(L115&gt;100,100,L115)</f>
        <v>100</v>
      </c>
      <c r="D144" s="513">
        <f t="shared" si="2"/>
        <v>0</v>
      </c>
      <c r="E144" s="513">
        <f t="shared" si="2"/>
        <v>0</v>
      </c>
      <c r="F144" s="513">
        <f t="shared" si="2"/>
        <v>0</v>
      </c>
      <c r="G144" s="513">
        <f t="shared" si="2"/>
        <v>0</v>
      </c>
      <c r="H144" s="513">
        <f t="shared" si="2"/>
        <v>0</v>
      </c>
      <c r="I144" s="513">
        <f>SUM(C144:H144)</f>
        <v>100</v>
      </c>
      <c r="J144" s="504"/>
    </row>
    <row r="145" spans="1:10" x14ac:dyDescent="0.25">
      <c r="A145" s="855">
        <v>401</v>
      </c>
      <c r="B145" s="856"/>
      <c r="C145" s="513">
        <f>+IF(L116&gt;100,100,L116)</f>
        <v>66</v>
      </c>
      <c r="D145" s="513">
        <f t="shared" si="2"/>
        <v>34</v>
      </c>
      <c r="E145" s="513">
        <f t="shared" si="2"/>
        <v>0</v>
      </c>
      <c r="F145" s="513">
        <f t="shared" si="2"/>
        <v>0</v>
      </c>
      <c r="G145" s="513">
        <f t="shared" si="2"/>
        <v>0</v>
      </c>
      <c r="H145" s="513">
        <f t="shared" si="2"/>
        <v>0</v>
      </c>
      <c r="I145" s="513">
        <f>SUM(C145:H145)</f>
        <v>100</v>
      </c>
      <c r="J145" s="504"/>
    </row>
    <row r="146" spans="1:10" x14ac:dyDescent="0.25">
      <c r="A146" s="857">
        <v>501</v>
      </c>
      <c r="B146" s="858"/>
      <c r="C146" s="510">
        <f>+IF(L117&gt;100,100,L117)</f>
        <v>0</v>
      </c>
      <c r="D146" s="510">
        <f t="shared" si="2"/>
        <v>0</v>
      </c>
      <c r="E146" s="510">
        <f t="shared" si="2"/>
        <v>100</v>
      </c>
      <c r="F146" s="510">
        <f t="shared" si="2"/>
        <v>0</v>
      </c>
      <c r="G146" s="510">
        <f t="shared" si="2"/>
        <v>0</v>
      </c>
      <c r="H146" s="510">
        <f t="shared" si="2"/>
        <v>0</v>
      </c>
      <c r="I146" s="510">
        <f>SUM(C146:H146)</f>
        <v>100</v>
      </c>
      <c r="J146" s="504"/>
    </row>
    <row r="148" spans="1:10" ht="13.8" x14ac:dyDescent="0.25">
      <c r="A148" s="502">
        <v>2.4</v>
      </c>
      <c r="B148" s="845" t="s">
        <v>689</v>
      </c>
      <c r="C148" s="845"/>
      <c r="D148" s="845"/>
      <c r="E148" s="845"/>
      <c r="F148" s="845"/>
      <c r="G148" s="845"/>
      <c r="H148" s="845"/>
      <c r="I148" s="845"/>
    </row>
    <row r="149" spans="1:10" ht="13.8" x14ac:dyDescent="0.25">
      <c r="A149" s="502"/>
      <c r="B149" s="845"/>
      <c r="C149" s="845"/>
      <c r="D149" s="845"/>
      <c r="E149" s="845"/>
      <c r="F149" s="845"/>
      <c r="G149" s="845"/>
      <c r="H149" s="845"/>
      <c r="I149" s="845"/>
    </row>
    <row r="150" spans="1:10" ht="13.8" x14ac:dyDescent="0.25">
      <c r="A150" s="502"/>
      <c r="B150" s="845"/>
      <c r="C150" s="845"/>
      <c r="D150" s="845"/>
      <c r="E150" s="845"/>
      <c r="F150" s="845"/>
      <c r="G150" s="845"/>
      <c r="H150" s="845"/>
      <c r="I150" s="845"/>
    </row>
    <row r="151" spans="1:10" ht="13.8" x14ac:dyDescent="0.25">
      <c r="A151" s="502"/>
      <c r="B151" s="845"/>
      <c r="C151" s="845"/>
      <c r="D151" s="845"/>
      <c r="E151" s="845"/>
      <c r="F151" s="845"/>
      <c r="G151" s="845"/>
      <c r="H151" s="845"/>
      <c r="I151" s="845"/>
    </row>
    <row r="152" spans="1:10" ht="13.8" x14ac:dyDescent="0.25">
      <c r="A152" s="502"/>
      <c r="B152" s="845"/>
      <c r="C152" s="845"/>
      <c r="D152" s="845"/>
      <c r="E152" s="845"/>
      <c r="F152" s="845"/>
      <c r="G152" s="845"/>
      <c r="H152" s="845"/>
      <c r="I152" s="845"/>
    </row>
    <row r="153" spans="1:10" ht="13.8" x14ac:dyDescent="0.25">
      <c r="A153" s="502"/>
      <c r="B153" s="516"/>
    </row>
    <row r="154" spans="1:10" x14ac:dyDescent="0.25">
      <c r="B154" s="497" t="s">
        <v>690</v>
      </c>
      <c r="C154" s="845" t="s">
        <v>691</v>
      </c>
      <c r="D154" s="845"/>
      <c r="E154" s="845"/>
      <c r="F154" s="845"/>
      <c r="G154" s="845"/>
      <c r="H154" s="845"/>
      <c r="I154" s="845"/>
    </row>
    <row r="155" spans="1:10" ht="13.8" x14ac:dyDescent="0.25">
      <c r="B155" s="517"/>
      <c r="C155" s="845"/>
      <c r="D155" s="845"/>
      <c r="E155" s="845"/>
      <c r="F155" s="845"/>
      <c r="G155" s="845"/>
      <c r="H155" s="845"/>
      <c r="I155" s="845"/>
    </row>
    <row r="156" spans="1:10" ht="13.8" x14ac:dyDescent="0.25">
      <c r="B156" s="518"/>
      <c r="C156" s="518"/>
      <c r="D156" s="518"/>
      <c r="E156" s="518"/>
      <c r="F156" s="518"/>
      <c r="G156" s="518"/>
      <c r="H156" s="518"/>
      <c r="I156" s="518"/>
    </row>
    <row r="157" spans="1:10" ht="13.8" x14ac:dyDescent="0.25">
      <c r="B157" s="497" t="s">
        <v>690</v>
      </c>
      <c r="C157" s="502" t="s">
        <v>692</v>
      </c>
    </row>
    <row r="158" spans="1:10" ht="13.8" x14ac:dyDescent="0.25">
      <c r="C158" s="502"/>
    </row>
    <row r="159" spans="1:10" ht="13.8" x14ac:dyDescent="0.25">
      <c r="B159" s="497" t="s">
        <v>690</v>
      </c>
      <c r="C159" s="502" t="s">
        <v>693</v>
      </c>
    </row>
    <row r="160" spans="1:10" ht="13.8" x14ac:dyDescent="0.25">
      <c r="B160" s="502"/>
    </row>
    <row r="161" spans="1:10" ht="13.8" x14ac:dyDescent="0.25">
      <c r="B161" s="502" t="s">
        <v>694</v>
      </c>
    </row>
    <row r="163" spans="1:10" x14ac:dyDescent="0.25">
      <c r="B163" s="497" t="s">
        <v>695</v>
      </c>
    </row>
    <row r="164" spans="1:10" x14ac:dyDescent="0.25">
      <c r="B164" s="842" t="s">
        <v>696</v>
      </c>
      <c r="C164" s="842"/>
      <c r="D164" s="842"/>
      <c r="E164" s="842"/>
      <c r="F164" s="842"/>
      <c r="G164" s="842"/>
      <c r="H164" s="842"/>
      <c r="I164" s="842"/>
      <c r="J164" s="504"/>
    </row>
    <row r="165" spans="1:10" x14ac:dyDescent="0.25">
      <c r="B165" s="842" t="s">
        <v>697</v>
      </c>
      <c r="C165" s="842"/>
      <c r="D165" s="842"/>
      <c r="E165" s="842"/>
      <c r="F165" s="842"/>
      <c r="G165" s="842"/>
      <c r="H165" s="842"/>
      <c r="I165" s="842"/>
      <c r="J165" s="504"/>
    </row>
    <row r="166" spans="1:10" x14ac:dyDescent="0.25">
      <c r="A166" s="846" t="s">
        <v>346</v>
      </c>
      <c r="B166" s="847"/>
      <c r="C166" s="852" t="s">
        <v>668</v>
      </c>
      <c r="D166" s="852"/>
      <c r="E166" s="852"/>
      <c r="F166" s="852"/>
      <c r="G166" s="852"/>
      <c r="H166" s="852"/>
      <c r="I166" s="853"/>
      <c r="J166" s="504"/>
    </row>
    <row r="167" spans="1:10" x14ac:dyDescent="0.25">
      <c r="A167" s="848"/>
      <c r="B167" s="849"/>
      <c r="C167" s="505">
        <v>5</v>
      </c>
      <c r="D167" s="506">
        <v>4</v>
      </c>
      <c r="E167" s="507">
        <v>3</v>
      </c>
      <c r="F167" s="506">
        <v>2</v>
      </c>
      <c r="G167" s="507">
        <v>1</v>
      </c>
      <c r="H167" s="506">
        <v>0</v>
      </c>
      <c r="I167" s="865" t="s">
        <v>698</v>
      </c>
      <c r="J167" s="519"/>
    </row>
    <row r="168" spans="1:10" x14ac:dyDescent="0.25">
      <c r="A168" s="850"/>
      <c r="B168" s="851"/>
      <c r="C168" s="508" t="s">
        <v>318</v>
      </c>
      <c r="D168" s="509" t="s">
        <v>319</v>
      </c>
      <c r="E168" s="510" t="s">
        <v>320</v>
      </c>
      <c r="F168" s="509" t="s">
        <v>321</v>
      </c>
      <c r="G168" s="510" t="s">
        <v>322</v>
      </c>
      <c r="H168" s="509" t="s">
        <v>477</v>
      </c>
      <c r="I168" s="866"/>
      <c r="J168" s="519"/>
    </row>
    <row r="169" spans="1:10" x14ac:dyDescent="0.25">
      <c r="A169" s="854">
        <v>101</v>
      </c>
      <c r="B169" s="853"/>
      <c r="C169" s="511">
        <f t="shared" ref="C169:H173" si="3">+C$167^5*C142/100</f>
        <v>0</v>
      </c>
      <c r="D169" s="511">
        <f t="shared" si="3"/>
        <v>0</v>
      </c>
      <c r="E169" s="511">
        <f t="shared" si="3"/>
        <v>0</v>
      </c>
      <c r="F169" s="511">
        <f t="shared" si="3"/>
        <v>12.8</v>
      </c>
      <c r="G169" s="511">
        <f t="shared" si="3"/>
        <v>0.6</v>
      </c>
      <c r="H169" s="511">
        <f t="shared" si="3"/>
        <v>0</v>
      </c>
      <c r="I169" s="520">
        <f>ROUND((SUM(C169:H169))^0.2,2)</f>
        <v>1.68</v>
      </c>
      <c r="J169" s="521"/>
    </row>
    <row r="170" spans="1:10" x14ac:dyDescent="0.25">
      <c r="A170" s="855">
        <v>201</v>
      </c>
      <c r="B170" s="856"/>
      <c r="C170" s="513">
        <f t="shared" si="3"/>
        <v>0</v>
      </c>
      <c r="D170" s="513">
        <f t="shared" si="3"/>
        <v>819.2</v>
      </c>
      <c r="E170" s="513">
        <f t="shared" si="3"/>
        <v>48.6</v>
      </c>
      <c r="F170" s="513">
        <f t="shared" si="3"/>
        <v>0</v>
      </c>
      <c r="G170" s="513">
        <f t="shared" si="3"/>
        <v>0</v>
      </c>
      <c r="H170" s="513">
        <f t="shared" si="3"/>
        <v>0</v>
      </c>
      <c r="I170" s="522">
        <f>ROUND((SUM(C170:H170))^0.2,2)</f>
        <v>3.87</v>
      </c>
      <c r="J170" s="521"/>
    </row>
    <row r="171" spans="1:10" x14ac:dyDescent="0.25">
      <c r="A171" s="855">
        <v>301</v>
      </c>
      <c r="B171" s="856"/>
      <c r="C171" s="513">
        <f t="shared" si="3"/>
        <v>3125</v>
      </c>
      <c r="D171" s="513">
        <f t="shared" si="3"/>
        <v>0</v>
      </c>
      <c r="E171" s="513">
        <f t="shared" si="3"/>
        <v>0</v>
      </c>
      <c r="F171" s="513">
        <f t="shared" si="3"/>
        <v>0</v>
      </c>
      <c r="G171" s="513">
        <f t="shared" si="3"/>
        <v>0</v>
      </c>
      <c r="H171" s="513">
        <f t="shared" si="3"/>
        <v>0</v>
      </c>
      <c r="I171" s="522">
        <f>ROUND((SUM(C171:H171))^0.2,2)</f>
        <v>5</v>
      </c>
      <c r="J171" s="521"/>
    </row>
    <row r="172" spans="1:10" x14ac:dyDescent="0.25">
      <c r="A172" s="855">
        <v>401</v>
      </c>
      <c r="B172" s="856"/>
      <c r="C172" s="513">
        <f t="shared" si="3"/>
        <v>2062.5</v>
      </c>
      <c r="D172" s="513">
        <f t="shared" si="3"/>
        <v>348.16</v>
      </c>
      <c r="E172" s="513">
        <f t="shared" si="3"/>
        <v>0</v>
      </c>
      <c r="F172" s="513">
        <f t="shared" si="3"/>
        <v>0</v>
      </c>
      <c r="G172" s="513">
        <f t="shared" si="3"/>
        <v>0</v>
      </c>
      <c r="H172" s="513">
        <f t="shared" si="3"/>
        <v>0</v>
      </c>
      <c r="I172" s="522">
        <f>ROUND((SUM(C172:H172))^0.2,2)</f>
        <v>4.75</v>
      </c>
      <c r="J172" s="521"/>
    </row>
    <row r="173" spans="1:10" x14ac:dyDescent="0.25">
      <c r="A173" s="857">
        <v>501</v>
      </c>
      <c r="B173" s="858"/>
      <c r="C173" s="510">
        <f t="shared" si="3"/>
        <v>0</v>
      </c>
      <c r="D173" s="510">
        <f t="shared" si="3"/>
        <v>0</v>
      </c>
      <c r="E173" s="510">
        <f t="shared" si="3"/>
        <v>243</v>
      </c>
      <c r="F173" s="510">
        <f t="shared" si="3"/>
        <v>0</v>
      </c>
      <c r="G173" s="510">
        <f t="shared" si="3"/>
        <v>0</v>
      </c>
      <c r="H173" s="510">
        <f t="shared" si="3"/>
        <v>0</v>
      </c>
      <c r="I173" s="523">
        <f>ROUND((SUM(C173:H173))^0.2,2)</f>
        <v>3</v>
      </c>
      <c r="J173" s="521"/>
    </row>
    <row r="175" spans="1:10" x14ac:dyDescent="0.25">
      <c r="B175" s="845" t="s">
        <v>699</v>
      </c>
      <c r="C175" s="845"/>
      <c r="D175" s="845"/>
      <c r="E175" s="845"/>
      <c r="F175" s="845"/>
      <c r="G175" s="845"/>
      <c r="H175" s="845"/>
      <c r="I175" s="845"/>
    </row>
    <row r="176" spans="1:10" ht="13.8" x14ac:dyDescent="0.25">
      <c r="A176" s="502"/>
      <c r="B176" s="845"/>
      <c r="C176" s="845"/>
      <c r="D176" s="845"/>
      <c r="E176" s="845"/>
      <c r="F176" s="845"/>
      <c r="G176" s="845"/>
      <c r="H176" s="845"/>
      <c r="I176" s="845"/>
    </row>
    <row r="177" spans="1:10" ht="13.8" x14ac:dyDescent="0.25">
      <c r="A177" s="502"/>
    </row>
    <row r="178" spans="1:10" x14ac:dyDescent="0.25">
      <c r="B178" s="497" t="s">
        <v>690</v>
      </c>
      <c r="C178" s="845" t="s">
        <v>700</v>
      </c>
      <c r="D178" s="845"/>
      <c r="E178" s="845"/>
      <c r="F178" s="845"/>
      <c r="G178" s="845"/>
      <c r="H178" s="845"/>
      <c r="I178" s="845"/>
    </row>
    <row r="179" spans="1:10" x14ac:dyDescent="0.25">
      <c r="C179" s="845"/>
      <c r="D179" s="845"/>
      <c r="E179" s="845"/>
      <c r="F179" s="845"/>
      <c r="G179" s="845"/>
      <c r="H179" s="845"/>
      <c r="I179" s="845"/>
    </row>
    <row r="180" spans="1:10" ht="13.8" x14ac:dyDescent="0.25">
      <c r="C180" s="502"/>
    </row>
    <row r="181" spans="1:10" x14ac:dyDescent="0.25">
      <c r="B181" s="497" t="s">
        <v>690</v>
      </c>
      <c r="C181" s="845" t="s">
        <v>701</v>
      </c>
      <c r="D181" s="845"/>
      <c r="E181" s="845"/>
      <c r="F181" s="845"/>
      <c r="G181" s="845"/>
      <c r="H181" s="845"/>
      <c r="I181" s="845"/>
    </row>
    <row r="182" spans="1:10" x14ac:dyDescent="0.25">
      <c r="C182" s="845"/>
      <c r="D182" s="845"/>
      <c r="E182" s="845"/>
      <c r="F182" s="845"/>
      <c r="G182" s="845"/>
      <c r="H182" s="845"/>
      <c r="I182" s="845"/>
    </row>
    <row r="183" spans="1:10" x14ac:dyDescent="0.25">
      <c r="C183" s="845"/>
      <c r="D183" s="845"/>
      <c r="E183" s="845"/>
      <c r="F183" s="845"/>
      <c r="G183" s="845"/>
      <c r="H183" s="845"/>
      <c r="I183" s="845"/>
    </row>
    <row r="184" spans="1:10" ht="13.8" x14ac:dyDescent="0.25">
      <c r="C184" s="518"/>
      <c r="D184" s="518"/>
      <c r="E184" s="518"/>
      <c r="F184" s="518"/>
      <c r="G184" s="518"/>
      <c r="H184" s="518"/>
      <c r="I184" s="518"/>
    </row>
    <row r="185" spans="1:10" ht="13.8" x14ac:dyDescent="0.25">
      <c r="A185" s="503" t="s">
        <v>702</v>
      </c>
      <c r="B185" s="516"/>
      <c r="C185" s="518"/>
      <c r="D185" s="518"/>
      <c r="E185" s="518"/>
      <c r="F185" s="518"/>
      <c r="G185" s="518"/>
      <c r="H185" s="518"/>
      <c r="I185" s="518"/>
    </row>
    <row r="186" spans="1:10" ht="13.8" x14ac:dyDescent="0.25">
      <c r="A186" s="502"/>
      <c r="B186" s="516"/>
      <c r="C186" s="518"/>
      <c r="D186" s="518"/>
      <c r="E186" s="518"/>
      <c r="F186" s="518"/>
      <c r="G186" s="518"/>
      <c r="H186" s="518"/>
      <c r="I186" s="518"/>
    </row>
    <row r="187" spans="1:10" x14ac:dyDescent="0.25">
      <c r="A187" s="845" t="s">
        <v>703</v>
      </c>
      <c r="B187" s="845"/>
      <c r="C187" s="845"/>
      <c r="D187" s="845"/>
      <c r="E187" s="845"/>
      <c r="F187" s="845"/>
      <c r="G187" s="845"/>
      <c r="H187" s="845"/>
      <c r="I187" s="845"/>
    </row>
    <row r="188" spans="1:10" x14ac:dyDescent="0.25">
      <c r="A188" s="845"/>
      <c r="B188" s="845"/>
      <c r="C188" s="845"/>
      <c r="D188" s="845"/>
      <c r="E188" s="845"/>
      <c r="F188" s="845"/>
      <c r="G188" s="845"/>
      <c r="H188" s="845"/>
      <c r="I188" s="845"/>
    </row>
    <row r="189" spans="1:10" ht="13.8" x14ac:dyDescent="0.25">
      <c r="A189" s="502"/>
      <c r="B189" s="516"/>
      <c r="C189" s="518"/>
      <c r="D189" s="518"/>
      <c r="E189" s="518"/>
      <c r="F189" s="518"/>
      <c r="G189" s="518"/>
      <c r="H189" s="518"/>
      <c r="I189" s="518"/>
    </row>
    <row r="190" spans="1:10" ht="13.8" x14ac:dyDescent="0.25">
      <c r="A190" s="502" t="s">
        <v>704</v>
      </c>
      <c r="B190" s="516"/>
      <c r="C190" s="518"/>
      <c r="D190" s="518"/>
      <c r="E190" s="518"/>
      <c r="F190" s="518"/>
      <c r="G190" s="518"/>
      <c r="H190" s="518"/>
      <c r="I190" s="518"/>
    </row>
    <row r="191" spans="1:10" ht="13.8" x14ac:dyDescent="0.25">
      <c r="A191" s="502"/>
      <c r="B191" s="516"/>
      <c r="C191" s="518"/>
      <c r="D191" s="518"/>
      <c r="E191" s="518"/>
      <c r="F191" s="518"/>
      <c r="G191" s="518"/>
      <c r="H191" s="518"/>
      <c r="I191" s="518"/>
    </row>
    <row r="192" spans="1:10" x14ac:dyDescent="0.25">
      <c r="A192" s="514"/>
      <c r="B192" s="514"/>
      <c r="C192" s="514"/>
      <c r="D192" s="514"/>
      <c r="E192" s="514"/>
      <c r="F192" s="514"/>
      <c r="G192" s="514"/>
      <c r="H192" s="514"/>
      <c r="I192" s="514"/>
      <c r="J192" s="514"/>
    </row>
    <row r="193" spans="1:10" x14ac:dyDescent="0.25">
      <c r="A193" s="515" t="s">
        <v>670</v>
      </c>
      <c r="I193" s="497">
        <f>1+I128</f>
        <v>194</v>
      </c>
    </row>
    <row r="194" spans="1:10" x14ac:dyDescent="0.25">
      <c r="A194" s="515" t="s">
        <v>671</v>
      </c>
    </row>
    <row r="197" spans="1:10" x14ac:dyDescent="0.25">
      <c r="A197" s="496"/>
      <c r="E197" s="843" t="s">
        <v>650</v>
      </c>
      <c r="F197" s="843"/>
      <c r="G197" s="843"/>
    </row>
    <row r="198" spans="1:10" x14ac:dyDescent="0.25">
      <c r="A198" s="496"/>
      <c r="B198" s="498"/>
      <c r="E198" s="843"/>
      <c r="F198" s="843"/>
      <c r="G198" s="843"/>
    </row>
    <row r="199" spans="1:10" x14ac:dyDescent="0.25">
      <c r="A199" s="499"/>
      <c r="B199" s="500" t="s">
        <v>651</v>
      </c>
      <c r="C199" s="499"/>
      <c r="D199" s="499"/>
      <c r="E199" s="499"/>
      <c r="F199" s="499"/>
      <c r="G199" s="499"/>
      <c r="H199" s="499"/>
      <c r="I199" s="499"/>
      <c r="J199" s="499"/>
    </row>
    <row r="200" spans="1:10" ht="13.8" x14ac:dyDescent="0.25">
      <c r="A200" s="502"/>
      <c r="B200" s="516"/>
      <c r="C200" s="518"/>
      <c r="D200" s="518"/>
      <c r="E200" s="518"/>
      <c r="F200" s="518"/>
      <c r="G200" s="518"/>
      <c r="H200" s="518"/>
      <c r="I200" s="518"/>
    </row>
    <row r="201" spans="1:10" ht="13.8" x14ac:dyDescent="0.25">
      <c r="B201" s="497" t="s">
        <v>690</v>
      </c>
      <c r="C201" s="502" t="s">
        <v>705</v>
      </c>
      <c r="E201" s="518"/>
      <c r="F201" s="518"/>
      <c r="G201" s="518"/>
      <c r="H201" s="518"/>
      <c r="I201" s="518"/>
    </row>
    <row r="202" spans="1:10" ht="13.8" x14ac:dyDescent="0.25">
      <c r="C202" s="516"/>
      <c r="E202" s="518"/>
      <c r="F202" s="518"/>
      <c r="G202" s="518"/>
      <c r="H202" s="518"/>
      <c r="I202" s="518"/>
    </row>
    <row r="203" spans="1:10" ht="13.8" x14ac:dyDescent="0.25">
      <c r="B203" s="497" t="s">
        <v>690</v>
      </c>
      <c r="C203" s="502" t="s">
        <v>706</v>
      </c>
      <c r="E203" s="518"/>
      <c r="F203" s="518"/>
      <c r="G203" s="518"/>
      <c r="H203" s="518"/>
      <c r="I203" s="518"/>
    </row>
    <row r="204" spans="1:10" ht="13.8" x14ac:dyDescent="0.25">
      <c r="C204" s="516"/>
      <c r="E204" s="518"/>
      <c r="F204" s="518"/>
      <c r="G204" s="518"/>
      <c r="H204" s="518"/>
      <c r="I204" s="518"/>
    </row>
    <row r="205" spans="1:10" x14ac:dyDescent="0.25">
      <c r="B205" s="497" t="s">
        <v>690</v>
      </c>
      <c r="C205" s="845" t="s">
        <v>707</v>
      </c>
      <c r="D205" s="845"/>
      <c r="E205" s="845"/>
      <c r="F205" s="845"/>
      <c r="G205" s="845"/>
      <c r="H205" s="845"/>
      <c r="I205" s="845"/>
    </row>
    <row r="206" spans="1:10" x14ac:dyDescent="0.25">
      <c r="C206" s="845"/>
      <c r="D206" s="845"/>
      <c r="E206" s="845"/>
      <c r="F206" s="845"/>
      <c r="G206" s="845"/>
      <c r="H206" s="845"/>
      <c r="I206" s="845"/>
    </row>
    <row r="207" spans="1:10" x14ac:dyDescent="0.25">
      <c r="C207" s="845"/>
      <c r="D207" s="845"/>
      <c r="E207" s="845"/>
      <c r="F207" s="845"/>
      <c r="G207" s="845"/>
      <c r="H207" s="845"/>
      <c r="I207" s="845"/>
    </row>
    <row r="208" spans="1:10" ht="13.8" x14ac:dyDescent="0.25">
      <c r="C208" s="516"/>
      <c r="E208" s="518"/>
      <c r="F208" s="518"/>
      <c r="G208" s="518"/>
      <c r="H208" s="518"/>
      <c r="I208" s="518"/>
    </row>
    <row r="209" spans="1:9" x14ac:dyDescent="0.25">
      <c r="B209" s="497" t="s">
        <v>690</v>
      </c>
      <c r="C209" s="845" t="s">
        <v>708</v>
      </c>
      <c r="D209" s="845"/>
      <c r="E209" s="845"/>
      <c r="F209" s="845"/>
      <c r="G209" s="845"/>
      <c r="H209" s="845"/>
      <c r="I209" s="845"/>
    </row>
    <row r="210" spans="1:9" x14ac:dyDescent="0.25">
      <c r="C210" s="845"/>
      <c r="D210" s="845"/>
      <c r="E210" s="845"/>
      <c r="F210" s="845"/>
      <c r="G210" s="845"/>
      <c r="H210" s="845"/>
      <c r="I210" s="845"/>
    </row>
    <row r="211" spans="1:9" ht="13.8" x14ac:dyDescent="0.25">
      <c r="C211" s="516"/>
      <c r="E211" s="518"/>
      <c r="F211" s="518"/>
      <c r="G211" s="518"/>
      <c r="H211" s="518"/>
      <c r="I211" s="518"/>
    </row>
    <row r="212" spans="1:9" x14ac:dyDescent="0.25">
      <c r="B212" s="497" t="s">
        <v>690</v>
      </c>
      <c r="C212" s="845" t="s">
        <v>709</v>
      </c>
      <c r="D212" s="845"/>
      <c r="E212" s="845"/>
      <c r="F212" s="845"/>
      <c r="G212" s="845"/>
      <c r="H212" s="845"/>
      <c r="I212" s="845"/>
    </row>
    <row r="213" spans="1:9" x14ac:dyDescent="0.25">
      <c r="C213" s="845"/>
      <c r="D213" s="845"/>
      <c r="E213" s="845"/>
      <c r="F213" s="845"/>
      <c r="G213" s="845"/>
      <c r="H213" s="845"/>
      <c r="I213" s="845"/>
    </row>
    <row r="214" spans="1:9" ht="13.8" x14ac:dyDescent="0.25">
      <c r="C214" s="516"/>
      <c r="E214" s="518"/>
      <c r="F214" s="518"/>
      <c r="G214" s="518"/>
      <c r="H214" s="518"/>
      <c r="I214" s="518"/>
    </row>
    <row r="215" spans="1:9" x14ac:dyDescent="0.25">
      <c r="B215" s="497" t="s">
        <v>690</v>
      </c>
      <c r="C215" s="845" t="s">
        <v>710</v>
      </c>
      <c r="D215" s="845"/>
      <c r="E215" s="845"/>
      <c r="F215" s="845"/>
      <c r="G215" s="845"/>
      <c r="H215" s="845"/>
      <c r="I215" s="845"/>
    </row>
    <row r="216" spans="1:9" x14ac:dyDescent="0.25">
      <c r="C216" s="845"/>
      <c r="D216" s="845"/>
      <c r="E216" s="845"/>
      <c r="F216" s="845"/>
      <c r="G216" s="845"/>
      <c r="H216" s="845"/>
      <c r="I216" s="845"/>
    </row>
    <row r="217" spans="1:9" x14ac:dyDescent="0.25">
      <c r="C217" s="845"/>
      <c r="D217" s="845"/>
      <c r="E217" s="845"/>
      <c r="F217" s="845"/>
      <c r="G217" s="845"/>
      <c r="H217" s="845"/>
      <c r="I217" s="845"/>
    </row>
    <row r="218" spans="1:9" x14ac:dyDescent="0.25">
      <c r="C218" s="516"/>
    </row>
    <row r="219" spans="1:9" x14ac:dyDescent="0.25">
      <c r="B219" s="497" t="s">
        <v>690</v>
      </c>
      <c r="C219" s="845" t="s">
        <v>711</v>
      </c>
      <c r="D219" s="845"/>
      <c r="E219" s="845"/>
      <c r="F219" s="845"/>
      <c r="G219" s="845"/>
      <c r="H219" s="845"/>
      <c r="I219" s="845"/>
    </row>
    <row r="220" spans="1:9" x14ac:dyDescent="0.25">
      <c r="C220" s="845"/>
      <c r="D220" s="845"/>
      <c r="E220" s="845"/>
      <c r="F220" s="845"/>
      <c r="G220" s="845"/>
      <c r="H220" s="845"/>
      <c r="I220" s="845"/>
    </row>
    <row r="222" spans="1:9" x14ac:dyDescent="0.25">
      <c r="B222" s="497" t="s">
        <v>712</v>
      </c>
    </row>
    <row r="223" spans="1:9" x14ac:dyDescent="0.25">
      <c r="B223" s="842" t="s">
        <v>713</v>
      </c>
      <c r="C223" s="842"/>
      <c r="D223" s="842"/>
      <c r="E223" s="842"/>
      <c r="F223" s="842"/>
    </row>
    <row r="224" spans="1:9" ht="36" x14ac:dyDescent="0.25">
      <c r="A224" s="867" t="s">
        <v>346</v>
      </c>
      <c r="B224" s="868"/>
      <c r="C224" s="524" t="s">
        <v>714</v>
      </c>
      <c r="D224" s="524" t="s">
        <v>715</v>
      </c>
      <c r="E224" s="524" t="s">
        <v>716</v>
      </c>
      <c r="F224" s="524" t="s">
        <v>717</v>
      </c>
    </row>
    <row r="225" spans="1:9" x14ac:dyDescent="0.25">
      <c r="A225" s="854">
        <v>101</v>
      </c>
      <c r="B225" s="853"/>
      <c r="C225" s="520">
        <f>+I169</f>
        <v>1.68</v>
      </c>
      <c r="D225" s="520">
        <v>1</v>
      </c>
      <c r="E225" s="520">
        <f>+C225*D225</f>
        <v>1.68</v>
      </c>
      <c r="F225" s="869">
        <f>ROUND(E232+E234/((E231-1)*E232),2)</f>
        <v>4.3</v>
      </c>
    </row>
    <row r="226" spans="1:9" x14ac:dyDescent="0.25">
      <c r="A226" s="855">
        <v>201</v>
      </c>
      <c r="B226" s="856"/>
      <c r="C226" s="522">
        <f>+I170</f>
        <v>3.87</v>
      </c>
      <c r="D226" s="522">
        <v>1</v>
      </c>
      <c r="E226" s="522">
        <f>+C226*D226</f>
        <v>3.87</v>
      </c>
      <c r="F226" s="870"/>
    </row>
    <row r="227" spans="1:9" x14ac:dyDescent="0.25">
      <c r="A227" s="855">
        <v>301</v>
      </c>
      <c r="B227" s="856"/>
      <c r="C227" s="522">
        <f>+I171</f>
        <v>5</v>
      </c>
      <c r="D227" s="522">
        <v>0.6</v>
      </c>
      <c r="E227" s="522">
        <f>+C227*D227</f>
        <v>3</v>
      </c>
      <c r="F227" s="870"/>
    </row>
    <row r="228" spans="1:9" x14ac:dyDescent="0.25">
      <c r="A228" s="855">
        <v>401</v>
      </c>
      <c r="B228" s="856"/>
      <c r="C228" s="522">
        <f>+I172</f>
        <v>4.75</v>
      </c>
      <c r="D228" s="522">
        <v>0.4</v>
      </c>
      <c r="E228" s="522">
        <f>+C228*D228</f>
        <v>1.9000000000000001</v>
      </c>
      <c r="F228" s="870"/>
    </row>
    <row r="229" spans="1:9" x14ac:dyDescent="0.25">
      <c r="A229" s="857">
        <v>501</v>
      </c>
      <c r="B229" s="858"/>
      <c r="C229" s="523">
        <f>+I173</f>
        <v>3</v>
      </c>
      <c r="D229" s="523">
        <v>0</v>
      </c>
      <c r="E229" s="523">
        <f>+C229*D229</f>
        <v>0</v>
      </c>
      <c r="F229" s="871"/>
    </row>
    <row r="231" spans="1:9" x14ac:dyDescent="0.25">
      <c r="C231" s="872" t="s">
        <v>718</v>
      </c>
      <c r="D231" s="872"/>
      <c r="E231" s="525">
        <f>COUNT(A225:A229)</f>
        <v>5</v>
      </c>
    </row>
    <row r="232" spans="1:9" x14ac:dyDescent="0.25">
      <c r="C232" s="872" t="s">
        <v>719</v>
      </c>
      <c r="D232" s="872"/>
      <c r="E232" s="525">
        <f>MAX(E225:E229)</f>
        <v>3.87</v>
      </c>
    </row>
    <row r="233" spans="1:9" x14ac:dyDescent="0.25">
      <c r="C233" s="872" t="s">
        <v>720</v>
      </c>
      <c r="D233" s="872"/>
      <c r="E233" s="525">
        <f>SUM(E225:E229)</f>
        <v>10.450000000000001</v>
      </c>
    </row>
    <row r="234" spans="1:9" x14ac:dyDescent="0.25">
      <c r="C234" s="872" t="s">
        <v>721</v>
      </c>
      <c r="D234" s="872"/>
      <c r="E234" s="525">
        <f>+E233-E232</f>
        <v>6.580000000000001</v>
      </c>
    </row>
    <row r="236" spans="1:9" x14ac:dyDescent="0.25">
      <c r="A236" s="845" t="s">
        <v>722</v>
      </c>
      <c r="B236" s="845"/>
      <c r="C236" s="845"/>
      <c r="D236" s="845"/>
      <c r="E236" s="845"/>
      <c r="F236" s="845"/>
      <c r="G236" s="845"/>
      <c r="H236" s="845"/>
      <c r="I236" s="845"/>
    </row>
    <row r="237" spans="1:9" x14ac:dyDescent="0.25">
      <c r="A237" s="845"/>
      <c r="B237" s="845"/>
      <c r="C237" s="845"/>
      <c r="D237" s="845"/>
      <c r="E237" s="845"/>
      <c r="F237" s="845"/>
      <c r="G237" s="845"/>
      <c r="H237" s="845"/>
      <c r="I237" s="845"/>
    </row>
    <row r="238" spans="1:9" ht="13.8" x14ac:dyDescent="0.25">
      <c r="A238" s="502"/>
    </row>
    <row r="239" spans="1:9" x14ac:dyDescent="0.25">
      <c r="A239" s="845" t="s">
        <v>723</v>
      </c>
      <c r="B239" s="845"/>
      <c r="C239" s="845"/>
      <c r="D239" s="845"/>
      <c r="E239" s="845"/>
      <c r="F239" s="845"/>
      <c r="G239" s="845"/>
      <c r="H239" s="845"/>
      <c r="I239" s="845"/>
    </row>
    <row r="240" spans="1:9" x14ac:dyDescent="0.25">
      <c r="A240" s="845"/>
      <c r="B240" s="845"/>
      <c r="C240" s="845"/>
      <c r="D240" s="845"/>
      <c r="E240" s="845"/>
      <c r="F240" s="845"/>
      <c r="G240" s="845"/>
      <c r="H240" s="845"/>
      <c r="I240" s="845"/>
    </row>
    <row r="241" spans="1:9" ht="13.8" x14ac:dyDescent="0.25">
      <c r="A241" s="502"/>
    </row>
    <row r="242" spans="1:9" x14ac:dyDescent="0.25">
      <c r="A242" s="845" t="s">
        <v>724</v>
      </c>
      <c r="B242" s="845"/>
      <c r="C242" s="845"/>
      <c r="D242" s="845"/>
      <c r="E242" s="845"/>
      <c r="F242" s="845"/>
      <c r="G242" s="845"/>
      <c r="H242" s="845"/>
      <c r="I242" s="845"/>
    </row>
    <row r="243" spans="1:9" x14ac:dyDescent="0.25">
      <c r="A243" s="845"/>
      <c r="B243" s="845"/>
      <c r="C243" s="845"/>
      <c r="D243" s="845"/>
      <c r="E243" s="845"/>
      <c r="F243" s="845"/>
      <c r="G243" s="845"/>
      <c r="H243" s="845"/>
      <c r="I243" s="845"/>
    </row>
    <row r="244" spans="1:9" x14ac:dyDescent="0.25">
      <c r="A244" s="845"/>
      <c r="B244" s="845"/>
      <c r="C244" s="845"/>
      <c r="D244" s="845"/>
      <c r="E244" s="845"/>
      <c r="F244" s="845"/>
      <c r="G244" s="845"/>
      <c r="H244" s="845"/>
      <c r="I244" s="845"/>
    </row>
    <row r="246" spans="1:9" ht="13.8" x14ac:dyDescent="0.25">
      <c r="A246" s="526" t="s">
        <v>725</v>
      </c>
    </row>
    <row r="247" spans="1:9" x14ac:dyDescent="0.25">
      <c r="A247" s="845" t="s">
        <v>726</v>
      </c>
      <c r="B247" s="845"/>
      <c r="C247" s="845"/>
      <c r="D247" s="845"/>
      <c r="E247" s="845"/>
      <c r="F247" s="845"/>
      <c r="G247" s="845"/>
      <c r="H247" s="845"/>
      <c r="I247" s="845"/>
    </row>
    <row r="248" spans="1:9" x14ac:dyDescent="0.25">
      <c r="A248" s="845"/>
      <c r="B248" s="845"/>
      <c r="C248" s="845"/>
      <c r="D248" s="845"/>
      <c r="E248" s="845"/>
      <c r="F248" s="845"/>
      <c r="G248" s="845"/>
      <c r="H248" s="845"/>
      <c r="I248" s="845"/>
    </row>
    <row r="249" spans="1:9" x14ac:dyDescent="0.25">
      <c r="A249" s="845"/>
      <c r="B249" s="845"/>
      <c r="C249" s="845"/>
      <c r="D249" s="845"/>
      <c r="E249" s="845"/>
      <c r="F249" s="845"/>
      <c r="G249" s="845"/>
      <c r="H249" s="845"/>
      <c r="I249" s="845"/>
    </row>
    <row r="250" spans="1:9" ht="13.8" x14ac:dyDescent="0.25">
      <c r="A250" s="518"/>
      <c r="B250" s="518"/>
      <c r="C250" s="518"/>
      <c r="D250" s="518"/>
      <c r="E250" s="518"/>
      <c r="F250" s="518"/>
      <c r="G250" s="518"/>
      <c r="H250" s="518"/>
      <c r="I250" s="518"/>
    </row>
    <row r="251" spans="1:9" s="516" customFormat="1" x14ac:dyDescent="0.25">
      <c r="A251" s="527" t="s">
        <v>349</v>
      </c>
      <c r="B251" s="528" t="s">
        <v>350</v>
      </c>
      <c r="C251" s="527"/>
      <c r="D251" s="528" t="s">
        <v>346</v>
      </c>
      <c r="E251" s="527"/>
      <c r="F251" s="527"/>
      <c r="G251" s="527"/>
      <c r="H251" s="527"/>
      <c r="I251" s="529" t="s">
        <v>352</v>
      </c>
    </row>
    <row r="252" spans="1:9" s="516" customFormat="1" x14ac:dyDescent="0.25">
      <c r="A252" s="504">
        <v>1</v>
      </c>
      <c r="B252" s="528" t="s">
        <v>727</v>
      </c>
      <c r="C252" s="497"/>
      <c r="D252" s="528" t="s">
        <v>353</v>
      </c>
      <c r="E252" s="497"/>
      <c r="F252" s="497"/>
      <c r="G252" s="497"/>
      <c r="H252" s="497"/>
      <c r="I252" s="521">
        <v>1</v>
      </c>
    </row>
    <row r="253" spans="1:9" s="516" customFormat="1" x14ac:dyDescent="0.25">
      <c r="A253" s="504">
        <f>1+A252</f>
        <v>2</v>
      </c>
      <c r="B253" s="528" t="s">
        <v>728</v>
      </c>
      <c r="C253" s="497"/>
      <c r="D253" s="528" t="s">
        <v>361</v>
      </c>
      <c r="E253" s="497"/>
      <c r="F253" s="497"/>
      <c r="G253" s="497"/>
      <c r="H253" s="497"/>
      <c r="I253" s="521">
        <v>1</v>
      </c>
    </row>
    <row r="254" spans="1:9" s="516" customFormat="1" x14ac:dyDescent="0.25">
      <c r="A254" s="504">
        <f>1+A253</f>
        <v>3</v>
      </c>
      <c r="B254" s="528" t="s">
        <v>729</v>
      </c>
      <c r="C254" s="497"/>
      <c r="D254" s="528" t="s">
        <v>358</v>
      </c>
      <c r="E254" s="497"/>
      <c r="F254" s="497"/>
      <c r="G254" s="497"/>
      <c r="H254" s="497"/>
      <c r="I254" s="521">
        <v>1</v>
      </c>
    </row>
    <row r="255" spans="1:9" s="516" customFormat="1" x14ac:dyDescent="0.25">
      <c r="A255" s="504">
        <f>1+A254</f>
        <v>4</v>
      </c>
      <c r="B255" s="528" t="s">
        <v>730</v>
      </c>
      <c r="C255" s="497"/>
      <c r="D255" s="528" t="s">
        <v>362</v>
      </c>
      <c r="E255" s="497"/>
      <c r="F255" s="497"/>
      <c r="G255" s="497"/>
      <c r="H255" s="497"/>
      <c r="I255" s="521">
        <v>1</v>
      </c>
    </row>
    <row r="256" spans="1:9" s="516" customFormat="1" x14ac:dyDescent="0.25"/>
    <row r="257" spans="1:10" x14ac:dyDescent="0.25">
      <c r="A257" s="514"/>
      <c r="B257" s="514"/>
      <c r="C257" s="514"/>
      <c r="D257" s="514"/>
      <c r="E257" s="514"/>
      <c r="F257" s="514"/>
      <c r="G257" s="514"/>
      <c r="H257" s="514"/>
      <c r="I257" s="514"/>
      <c r="J257" s="514"/>
    </row>
    <row r="258" spans="1:10" x14ac:dyDescent="0.25">
      <c r="A258" s="515" t="s">
        <v>670</v>
      </c>
      <c r="I258" s="497">
        <f>1+I193</f>
        <v>195</v>
      </c>
    </row>
    <row r="259" spans="1:10" x14ac:dyDescent="0.25">
      <c r="A259" s="515" t="s">
        <v>671</v>
      </c>
    </row>
    <row r="262" spans="1:10" x14ac:dyDescent="0.25">
      <c r="A262" s="496"/>
      <c r="E262" s="843" t="s">
        <v>650</v>
      </c>
      <c r="F262" s="843"/>
      <c r="G262" s="843"/>
    </row>
    <row r="263" spans="1:10" x14ac:dyDescent="0.25">
      <c r="A263" s="496"/>
      <c r="B263" s="498"/>
      <c r="E263" s="843"/>
      <c r="F263" s="843"/>
      <c r="G263" s="843"/>
    </row>
    <row r="264" spans="1:10" x14ac:dyDescent="0.25">
      <c r="A264" s="499"/>
      <c r="B264" s="500" t="s">
        <v>651</v>
      </c>
      <c r="C264" s="499"/>
      <c r="D264" s="499"/>
      <c r="E264" s="499"/>
      <c r="F264" s="499"/>
      <c r="G264" s="499"/>
      <c r="H264" s="499"/>
      <c r="I264" s="499"/>
      <c r="J264" s="499"/>
    </row>
    <row r="266" spans="1:10" s="516" customFormat="1" ht="13.8" x14ac:dyDescent="0.25">
      <c r="A266" s="527" t="s">
        <v>349</v>
      </c>
      <c r="B266" s="528" t="s">
        <v>350</v>
      </c>
      <c r="C266" s="527"/>
      <c r="D266" s="528" t="s">
        <v>346</v>
      </c>
      <c r="E266" s="530"/>
      <c r="F266" s="530"/>
      <c r="G266" s="530"/>
      <c r="H266" s="530"/>
      <c r="I266" s="529" t="s">
        <v>352</v>
      </c>
    </row>
    <row r="267" spans="1:10" x14ac:dyDescent="0.25">
      <c r="A267" s="504">
        <f>1+A255</f>
        <v>5</v>
      </c>
      <c r="B267" s="528" t="s">
        <v>731</v>
      </c>
      <c r="D267" s="528" t="s">
        <v>359</v>
      </c>
      <c r="I267" s="521">
        <v>1</v>
      </c>
    </row>
    <row r="268" spans="1:10" x14ac:dyDescent="0.25">
      <c r="A268" s="504">
        <f t="shared" ref="A268:A319" si="4">1+A267</f>
        <v>6</v>
      </c>
      <c r="B268" s="528" t="s">
        <v>732</v>
      </c>
      <c r="D268" s="528" t="s">
        <v>363</v>
      </c>
      <c r="I268" s="521">
        <v>1</v>
      </c>
    </row>
    <row r="269" spans="1:10" x14ac:dyDescent="0.25">
      <c r="A269" s="504">
        <f t="shared" si="4"/>
        <v>7</v>
      </c>
      <c r="B269" s="528" t="s">
        <v>733</v>
      </c>
      <c r="D269" s="528" t="s">
        <v>364</v>
      </c>
      <c r="I269" s="521">
        <v>1</v>
      </c>
    </row>
    <row r="270" spans="1:10" x14ac:dyDescent="0.25">
      <c r="A270" s="504">
        <f t="shared" si="4"/>
        <v>8</v>
      </c>
      <c r="B270" s="528" t="s">
        <v>734</v>
      </c>
      <c r="D270" s="528" t="s">
        <v>366</v>
      </c>
      <c r="I270" s="521">
        <v>1</v>
      </c>
    </row>
    <row r="271" spans="1:10" x14ac:dyDescent="0.25">
      <c r="A271" s="504">
        <f t="shared" si="4"/>
        <v>9</v>
      </c>
      <c r="B271" s="528" t="s">
        <v>735</v>
      </c>
      <c r="D271" s="528" t="s">
        <v>367</v>
      </c>
      <c r="I271" s="521">
        <v>1</v>
      </c>
    </row>
    <row r="272" spans="1:10" x14ac:dyDescent="0.25">
      <c r="A272" s="504">
        <f t="shared" si="4"/>
        <v>10</v>
      </c>
      <c r="B272" s="528" t="s">
        <v>736</v>
      </c>
      <c r="D272" s="528" t="s">
        <v>368</v>
      </c>
      <c r="I272" s="521">
        <v>1</v>
      </c>
    </row>
    <row r="273" spans="1:9" x14ac:dyDescent="0.25">
      <c r="A273" s="504">
        <f t="shared" si="4"/>
        <v>11</v>
      </c>
      <c r="B273" s="528" t="s">
        <v>737</v>
      </c>
      <c r="D273" s="528" t="s">
        <v>369</v>
      </c>
      <c r="I273" s="521">
        <v>1</v>
      </c>
    </row>
    <row r="274" spans="1:9" x14ac:dyDescent="0.25">
      <c r="A274" s="504">
        <f t="shared" si="4"/>
        <v>12</v>
      </c>
      <c r="B274" s="528" t="s">
        <v>738</v>
      </c>
      <c r="D274" s="528" t="s">
        <v>370</v>
      </c>
      <c r="I274" s="521">
        <v>1</v>
      </c>
    </row>
    <row r="275" spans="1:9" x14ac:dyDescent="0.25">
      <c r="A275" s="504">
        <f t="shared" si="4"/>
        <v>13</v>
      </c>
      <c r="B275" s="528" t="s">
        <v>739</v>
      </c>
      <c r="D275" s="528" t="s">
        <v>371</v>
      </c>
      <c r="I275" s="521">
        <v>1</v>
      </c>
    </row>
    <row r="276" spans="1:9" x14ac:dyDescent="0.25">
      <c r="A276" s="504">
        <f t="shared" si="4"/>
        <v>14</v>
      </c>
      <c r="B276" s="528" t="s">
        <v>740</v>
      </c>
      <c r="D276" s="528" t="s">
        <v>300</v>
      </c>
      <c r="I276" s="521">
        <v>1</v>
      </c>
    </row>
    <row r="277" spans="1:9" x14ac:dyDescent="0.25">
      <c r="A277" s="504">
        <f t="shared" si="4"/>
        <v>15</v>
      </c>
      <c r="B277" s="528" t="s">
        <v>741</v>
      </c>
      <c r="D277" s="528" t="s">
        <v>372</v>
      </c>
      <c r="I277" s="521">
        <v>1</v>
      </c>
    </row>
    <row r="278" spans="1:9" x14ac:dyDescent="0.25">
      <c r="A278" s="504">
        <f t="shared" si="4"/>
        <v>16</v>
      </c>
      <c r="B278" s="528" t="s">
        <v>742</v>
      </c>
      <c r="D278" s="528" t="s">
        <v>299</v>
      </c>
      <c r="I278" s="521">
        <v>1</v>
      </c>
    </row>
    <row r="279" spans="1:9" x14ac:dyDescent="0.25">
      <c r="A279" s="504">
        <f t="shared" si="4"/>
        <v>17</v>
      </c>
      <c r="B279" s="528" t="s">
        <v>743</v>
      </c>
      <c r="D279" s="528" t="s">
        <v>373</v>
      </c>
      <c r="I279" s="521">
        <v>1</v>
      </c>
    </row>
    <row r="280" spans="1:9" x14ac:dyDescent="0.25">
      <c r="A280" s="504">
        <f t="shared" si="4"/>
        <v>18</v>
      </c>
      <c r="B280" s="528" t="s">
        <v>744</v>
      </c>
      <c r="D280" s="528" t="s">
        <v>375</v>
      </c>
      <c r="I280" s="521">
        <v>1</v>
      </c>
    </row>
    <row r="281" spans="1:9" x14ac:dyDescent="0.25">
      <c r="A281" s="504">
        <f t="shared" si="4"/>
        <v>19</v>
      </c>
      <c r="B281" s="528" t="s">
        <v>745</v>
      </c>
      <c r="D281" s="528" t="s">
        <v>376</v>
      </c>
      <c r="I281" s="521">
        <v>1</v>
      </c>
    </row>
    <row r="282" spans="1:9" x14ac:dyDescent="0.25">
      <c r="A282" s="504">
        <f t="shared" si="4"/>
        <v>20</v>
      </c>
      <c r="B282" s="528" t="s">
        <v>746</v>
      </c>
      <c r="D282" s="528" t="s">
        <v>377</v>
      </c>
      <c r="I282" s="521">
        <v>1</v>
      </c>
    </row>
    <row r="283" spans="1:9" x14ac:dyDescent="0.25">
      <c r="A283" s="504">
        <f t="shared" si="4"/>
        <v>21</v>
      </c>
      <c r="B283" s="528" t="s">
        <v>747</v>
      </c>
      <c r="D283" s="528" t="s">
        <v>378</v>
      </c>
      <c r="I283" s="521">
        <v>1</v>
      </c>
    </row>
    <row r="284" spans="1:9" x14ac:dyDescent="0.25">
      <c r="A284" s="504">
        <f t="shared" si="4"/>
        <v>22</v>
      </c>
      <c r="B284" s="528" t="s">
        <v>748</v>
      </c>
      <c r="D284" s="528" t="s">
        <v>379</v>
      </c>
      <c r="I284" s="521">
        <v>1</v>
      </c>
    </row>
    <row r="285" spans="1:9" x14ac:dyDescent="0.25">
      <c r="A285" s="504">
        <f t="shared" si="4"/>
        <v>23</v>
      </c>
      <c r="B285" s="528" t="s">
        <v>749</v>
      </c>
      <c r="D285" s="528" t="s">
        <v>380</v>
      </c>
      <c r="I285" s="521">
        <v>1</v>
      </c>
    </row>
    <row r="286" spans="1:9" x14ac:dyDescent="0.25">
      <c r="A286" s="504">
        <f t="shared" si="4"/>
        <v>24</v>
      </c>
      <c r="B286" s="528" t="s">
        <v>750</v>
      </c>
      <c r="D286" s="528" t="s">
        <v>382</v>
      </c>
      <c r="I286" s="521">
        <v>1</v>
      </c>
    </row>
    <row r="287" spans="1:9" x14ac:dyDescent="0.25">
      <c r="A287" s="504">
        <f t="shared" si="4"/>
        <v>25</v>
      </c>
      <c r="B287" s="528" t="s">
        <v>751</v>
      </c>
      <c r="D287" s="528" t="s">
        <v>383</v>
      </c>
      <c r="I287" s="521">
        <v>1</v>
      </c>
    </row>
    <row r="288" spans="1:9" x14ac:dyDescent="0.25">
      <c r="A288" s="504">
        <f t="shared" si="4"/>
        <v>26</v>
      </c>
      <c r="B288" s="528" t="s">
        <v>752</v>
      </c>
      <c r="D288" s="528" t="s">
        <v>385</v>
      </c>
      <c r="I288" s="521">
        <v>1</v>
      </c>
    </row>
    <row r="289" spans="1:9" x14ac:dyDescent="0.25">
      <c r="A289" s="504">
        <f t="shared" si="4"/>
        <v>27</v>
      </c>
      <c r="B289" s="528" t="s">
        <v>753</v>
      </c>
      <c r="D289" s="528" t="s">
        <v>387</v>
      </c>
      <c r="I289" s="521">
        <v>1</v>
      </c>
    </row>
    <row r="290" spans="1:9" x14ac:dyDescent="0.25">
      <c r="A290" s="504">
        <f t="shared" si="4"/>
        <v>28</v>
      </c>
      <c r="B290" s="528" t="s">
        <v>754</v>
      </c>
      <c r="D290" s="528" t="s">
        <v>389</v>
      </c>
      <c r="I290" s="521">
        <v>1</v>
      </c>
    </row>
    <row r="291" spans="1:9" x14ac:dyDescent="0.25">
      <c r="A291" s="504">
        <f t="shared" si="4"/>
        <v>29</v>
      </c>
      <c r="B291" s="528" t="s">
        <v>755</v>
      </c>
      <c r="D291" s="528" t="s">
        <v>390</v>
      </c>
      <c r="I291" s="521">
        <v>1</v>
      </c>
    </row>
    <row r="292" spans="1:9" x14ac:dyDescent="0.25">
      <c r="A292" s="504">
        <f t="shared" si="4"/>
        <v>30</v>
      </c>
      <c r="B292" s="528" t="s">
        <v>756</v>
      </c>
      <c r="D292" s="528" t="s">
        <v>391</v>
      </c>
      <c r="I292" s="521">
        <v>1</v>
      </c>
    </row>
    <row r="293" spans="1:9" x14ac:dyDescent="0.25">
      <c r="A293" s="504">
        <f t="shared" si="4"/>
        <v>31</v>
      </c>
      <c r="B293" s="528" t="s">
        <v>757</v>
      </c>
      <c r="D293" s="528" t="s">
        <v>392</v>
      </c>
      <c r="I293" s="521">
        <v>1</v>
      </c>
    </row>
    <row r="294" spans="1:9" x14ac:dyDescent="0.25">
      <c r="A294" s="504">
        <f t="shared" si="4"/>
        <v>32</v>
      </c>
      <c r="B294" s="528" t="s">
        <v>758</v>
      </c>
      <c r="D294" s="528" t="s">
        <v>393</v>
      </c>
      <c r="I294" s="521">
        <v>1</v>
      </c>
    </row>
    <row r="295" spans="1:9" x14ac:dyDescent="0.25">
      <c r="A295" s="504">
        <f t="shared" si="4"/>
        <v>33</v>
      </c>
      <c r="B295" s="528" t="s">
        <v>759</v>
      </c>
      <c r="D295" s="528" t="s">
        <v>299</v>
      </c>
      <c r="I295" s="521">
        <v>1</v>
      </c>
    </row>
    <row r="296" spans="1:9" x14ac:dyDescent="0.25">
      <c r="A296" s="504">
        <f t="shared" si="4"/>
        <v>34</v>
      </c>
      <c r="B296" s="528" t="s">
        <v>760</v>
      </c>
      <c r="D296" s="528" t="s">
        <v>359</v>
      </c>
      <c r="I296" s="521">
        <v>1</v>
      </c>
    </row>
    <row r="297" spans="1:9" x14ac:dyDescent="0.25">
      <c r="A297" s="531">
        <f t="shared" si="4"/>
        <v>35</v>
      </c>
      <c r="B297" s="532" t="s">
        <v>761</v>
      </c>
      <c r="C297" s="533"/>
      <c r="D297" s="532" t="s">
        <v>353</v>
      </c>
      <c r="E297" s="533"/>
      <c r="F297" s="533"/>
      <c r="G297" s="533"/>
      <c r="I297" s="521">
        <v>1</v>
      </c>
    </row>
    <row r="298" spans="1:9" x14ac:dyDescent="0.25">
      <c r="A298" s="504">
        <f t="shared" si="4"/>
        <v>36</v>
      </c>
      <c r="B298" s="528" t="s">
        <v>762</v>
      </c>
      <c r="D298" s="528" t="s">
        <v>378</v>
      </c>
      <c r="I298" s="521">
        <v>1</v>
      </c>
    </row>
    <row r="299" spans="1:9" x14ac:dyDescent="0.25">
      <c r="A299" s="504">
        <f t="shared" si="4"/>
        <v>37</v>
      </c>
      <c r="B299" s="528" t="s">
        <v>763</v>
      </c>
      <c r="D299" s="528" t="s">
        <v>395</v>
      </c>
      <c r="I299" s="521">
        <v>1</v>
      </c>
    </row>
    <row r="300" spans="1:9" x14ac:dyDescent="0.25">
      <c r="A300" s="504">
        <f t="shared" si="4"/>
        <v>38</v>
      </c>
      <c r="B300" s="528" t="s">
        <v>764</v>
      </c>
      <c r="D300" s="528" t="s">
        <v>397</v>
      </c>
      <c r="I300" s="521">
        <v>1</v>
      </c>
    </row>
    <row r="301" spans="1:9" x14ac:dyDescent="0.25">
      <c r="A301" s="504">
        <f t="shared" si="4"/>
        <v>39</v>
      </c>
      <c r="B301" s="528" t="s">
        <v>765</v>
      </c>
      <c r="D301" s="528" t="s">
        <v>399</v>
      </c>
      <c r="I301" s="521">
        <v>1</v>
      </c>
    </row>
    <row r="302" spans="1:9" x14ac:dyDescent="0.25">
      <c r="A302" s="504">
        <f t="shared" si="4"/>
        <v>40</v>
      </c>
      <c r="B302" s="528" t="s">
        <v>766</v>
      </c>
      <c r="D302" s="528" t="s">
        <v>403</v>
      </c>
      <c r="I302" s="521">
        <v>1</v>
      </c>
    </row>
    <row r="303" spans="1:9" x14ac:dyDescent="0.25">
      <c r="A303" s="504">
        <f t="shared" si="4"/>
        <v>41</v>
      </c>
      <c r="B303" s="528" t="s">
        <v>767</v>
      </c>
      <c r="D303" s="528" t="s">
        <v>303</v>
      </c>
      <c r="I303" s="521">
        <v>1</v>
      </c>
    </row>
    <row r="304" spans="1:9" x14ac:dyDescent="0.25">
      <c r="A304" s="504">
        <f t="shared" si="4"/>
        <v>42</v>
      </c>
      <c r="B304" s="528" t="s">
        <v>768</v>
      </c>
      <c r="D304" s="528" t="s">
        <v>302</v>
      </c>
      <c r="I304" s="521">
        <v>1</v>
      </c>
    </row>
    <row r="305" spans="1:9" x14ac:dyDescent="0.25">
      <c r="A305" s="504">
        <f t="shared" si="4"/>
        <v>43</v>
      </c>
      <c r="B305" s="528" t="s">
        <v>769</v>
      </c>
      <c r="D305" s="528" t="s">
        <v>404</v>
      </c>
      <c r="I305" s="521">
        <v>1</v>
      </c>
    </row>
    <row r="306" spans="1:9" x14ac:dyDescent="0.25">
      <c r="A306" s="504">
        <f t="shared" si="4"/>
        <v>44</v>
      </c>
      <c r="B306" s="528" t="s">
        <v>770</v>
      </c>
      <c r="D306" s="528" t="s">
        <v>304</v>
      </c>
      <c r="I306" s="521">
        <v>1</v>
      </c>
    </row>
    <row r="307" spans="1:9" x14ac:dyDescent="0.25">
      <c r="A307" s="504">
        <f t="shared" si="4"/>
        <v>45</v>
      </c>
      <c r="B307" s="528" t="s">
        <v>771</v>
      </c>
      <c r="D307" s="528" t="s">
        <v>402</v>
      </c>
      <c r="I307" s="521">
        <v>1</v>
      </c>
    </row>
    <row r="308" spans="1:9" x14ac:dyDescent="0.25">
      <c r="A308" s="504">
        <f t="shared" si="4"/>
        <v>46</v>
      </c>
      <c r="B308" s="528" t="s">
        <v>772</v>
      </c>
      <c r="D308" s="528" t="s">
        <v>405</v>
      </c>
      <c r="I308" s="521">
        <v>1</v>
      </c>
    </row>
    <row r="309" spans="1:9" x14ac:dyDescent="0.25">
      <c r="A309" s="504">
        <f t="shared" si="4"/>
        <v>47</v>
      </c>
      <c r="B309" s="528" t="s">
        <v>773</v>
      </c>
      <c r="D309" s="528" t="s">
        <v>406</v>
      </c>
      <c r="I309" s="521">
        <v>1</v>
      </c>
    </row>
    <row r="310" spans="1:9" x14ac:dyDescent="0.25">
      <c r="A310" s="504">
        <f t="shared" si="4"/>
        <v>48</v>
      </c>
      <c r="B310" s="528" t="s">
        <v>774</v>
      </c>
      <c r="D310" s="528" t="s">
        <v>407</v>
      </c>
      <c r="I310" s="521">
        <v>1</v>
      </c>
    </row>
    <row r="311" spans="1:9" x14ac:dyDescent="0.25">
      <c r="A311" s="504">
        <f t="shared" si="4"/>
        <v>49</v>
      </c>
      <c r="B311" s="528" t="s">
        <v>775</v>
      </c>
      <c r="D311" s="528" t="s">
        <v>408</v>
      </c>
      <c r="I311" s="521">
        <v>1</v>
      </c>
    </row>
    <row r="312" spans="1:9" x14ac:dyDescent="0.25">
      <c r="A312" s="504">
        <f t="shared" si="4"/>
        <v>50</v>
      </c>
      <c r="B312" s="528" t="s">
        <v>776</v>
      </c>
      <c r="D312" s="528" t="s">
        <v>409</v>
      </c>
      <c r="I312" s="521">
        <v>1</v>
      </c>
    </row>
    <row r="313" spans="1:9" x14ac:dyDescent="0.25">
      <c r="A313" s="504">
        <f t="shared" si="4"/>
        <v>51</v>
      </c>
      <c r="B313" s="528" t="s">
        <v>777</v>
      </c>
      <c r="D313" s="528" t="s">
        <v>410</v>
      </c>
      <c r="I313" s="521">
        <v>1</v>
      </c>
    </row>
    <row r="314" spans="1:9" x14ac:dyDescent="0.25">
      <c r="A314" s="504">
        <f t="shared" si="4"/>
        <v>52</v>
      </c>
      <c r="B314" s="528" t="s">
        <v>778</v>
      </c>
      <c r="D314" s="528" t="s">
        <v>411</v>
      </c>
      <c r="I314" s="521">
        <v>1</v>
      </c>
    </row>
    <row r="315" spans="1:9" x14ac:dyDescent="0.25">
      <c r="A315" s="504">
        <f t="shared" si="4"/>
        <v>53</v>
      </c>
      <c r="B315" s="528" t="s">
        <v>779</v>
      </c>
      <c r="D315" s="528" t="s">
        <v>412</v>
      </c>
      <c r="I315" s="521">
        <v>1</v>
      </c>
    </row>
    <row r="316" spans="1:9" x14ac:dyDescent="0.25">
      <c r="A316" s="504">
        <f t="shared" si="4"/>
        <v>54</v>
      </c>
      <c r="B316" s="528" t="s">
        <v>780</v>
      </c>
      <c r="D316" s="528" t="s">
        <v>413</v>
      </c>
      <c r="I316" s="521">
        <v>1</v>
      </c>
    </row>
    <row r="317" spans="1:9" x14ac:dyDescent="0.25">
      <c r="A317" s="504">
        <f t="shared" si="4"/>
        <v>55</v>
      </c>
      <c r="B317" s="528" t="s">
        <v>781</v>
      </c>
      <c r="D317" s="528" t="s">
        <v>414</v>
      </c>
      <c r="I317" s="521">
        <v>1</v>
      </c>
    </row>
    <row r="318" spans="1:9" x14ac:dyDescent="0.25">
      <c r="A318" s="504">
        <f t="shared" si="4"/>
        <v>56</v>
      </c>
      <c r="B318" s="528" t="s">
        <v>782</v>
      </c>
      <c r="D318" s="528" t="s">
        <v>415</v>
      </c>
      <c r="I318" s="521">
        <v>1</v>
      </c>
    </row>
    <row r="319" spans="1:9" x14ac:dyDescent="0.25">
      <c r="A319" s="504">
        <f t="shared" si="4"/>
        <v>57</v>
      </c>
      <c r="B319" s="528" t="s">
        <v>783</v>
      </c>
      <c r="D319" s="528" t="s">
        <v>417</v>
      </c>
      <c r="I319" s="521">
        <v>1</v>
      </c>
    </row>
    <row r="322" spans="1:10" x14ac:dyDescent="0.25">
      <c r="A322" s="514"/>
      <c r="B322" s="514"/>
      <c r="C322" s="514"/>
      <c r="D322" s="514"/>
      <c r="E322" s="514"/>
      <c r="F322" s="514"/>
      <c r="G322" s="514"/>
      <c r="H322" s="514"/>
      <c r="I322" s="514"/>
      <c r="J322" s="514"/>
    </row>
    <row r="323" spans="1:10" x14ac:dyDescent="0.25">
      <c r="A323" s="515" t="s">
        <v>670</v>
      </c>
      <c r="I323" s="497">
        <f>1+I258</f>
        <v>196</v>
      </c>
    </row>
    <row r="324" spans="1:10" x14ac:dyDescent="0.25">
      <c r="A324" s="515" t="s">
        <v>671</v>
      </c>
    </row>
    <row r="327" spans="1:10" x14ac:dyDescent="0.25">
      <c r="A327" s="496"/>
      <c r="E327" s="843" t="s">
        <v>650</v>
      </c>
      <c r="F327" s="843"/>
      <c r="G327" s="843"/>
    </row>
    <row r="328" spans="1:10" x14ac:dyDescent="0.25">
      <c r="A328" s="496"/>
      <c r="B328" s="498"/>
      <c r="E328" s="843"/>
      <c r="F328" s="843"/>
      <c r="G328" s="843"/>
    </row>
    <row r="329" spans="1:10" x14ac:dyDescent="0.25">
      <c r="A329" s="499"/>
      <c r="B329" s="500" t="s">
        <v>651</v>
      </c>
      <c r="C329" s="499"/>
      <c r="D329" s="499"/>
      <c r="E329" s="499"/>
      <c r="F329" s="499"/>
      <c r="G329" s="499"/>
      <c r="H329" s="499"/>
      <c r="I329" s="499"/>
      <c r="J329" s="499"/>
    </row>
    <row r="330" spans="1:10" x14ac:dyDescent="0.25">
      <c r="A330" s="504"/>
      <c r="B330" s="528"/>
      <c r="D330" s="528"/>
      <c r="I330" s="521"/>
    </row>
    <row r="331" spans="1:10" s="516" customFormat="1" ht="13.8" x14ac:dyDescent="0.25">
      <c r="A331" s="527" t="s">
        <v>349</v>
      </c>
      <c r="B331" s="528" t="s">
        <v>350</v>
      </c>
      <c r="C331" s="527"/>
      <c r="D331" s="528" t="s">
        <v>346</v>
      </c>
      <c r="E331" s="530"/>
      <c r="F331" s="530"/>
      <c r="G331" s="530"/>
      <c r="H331" s="530"/>
      <c r="I331" s="529" t="s">
        <v>352</v>
      </c>
    </row>
    <row r="332" spans="1:10" s="516" customFormat="1" x14ac:dyDescent="0.25">
      <c r="A332" s="504">
        <f>1+A319</f>
        <v>58</v>
      </c>
      <c r="B332" s="528" t="s">
        <v>784</v>
      </c>
      <c r="C332" s="497"/>
      <c r="D332" s="528" t="s">
        <v>419</v>
      </c>
      <c r="E332" s="497"/>
      <c r="F332" s="497"/>
      <c r="G332" s="497"/>
      <c r="H332" s="497"/>
      <c r="I332" s="521">
        <v>0.6</v>
      </c>
    </row>
    <row r="333" spans="1:10" x14ac:dyDescent="0.25">
      <c r="A333" s="504">
        <f>1+A332</f>
        <v>59</v>
      </c>
      <c r="B333" s="528" t="s">
        <v>785</v>
      </c>
      <c r="D333" s="528" t="s">
        <v>422</v>
      </c>
      <c r="I333" s="521">
        <v>0.6</v>
      </c>
    </row>
    <row r="334" spans="1:10" x14ac:dyDescent="0.25">
      <c r="A334" s="504">
        <f>1+A333</f>
        <v>60</v>
      </c>
      <c r="B334" s="528" t="s">
        <v>786</v>
      </c>
      <c r="D334" s="528" t="s">
        <v>423</v>
      </c>
      <c r="I334" s="521">
        <v>0.6</v>
      </c>
    </row>
    <row r="335" spans="1:10" x14ac:dyDescent="0.25">
      <c r="A335" s="504">
        <f t="shared" ref="A335:A367" si="5">1+A334</f>
        <v>61</v>
      </c>
      <c r="B335" s="528" t="s">
        <v>787</v>
      </c>
      <c r="D335" s="528" t="s">
        <v>424</v>
      </c>
      <c r="I335" s="521">
        <v>0.6</v>
      </c>
    </row>
    <row r="336" spans="1:10" x14ac:dyDescent="0.25">
      <c r="A336" s="504">
        <f t="shared" si="5"/>
        <v>62</v>
      </c>
      <c r="B336" s="528" t="s">
        <v>788</v>
      </c>
      <c r="D336" s="528" t="s">
        <v>427</v>
      </c>
      <c r="I336" s="521">
        <v>0.6</v>
      </c>
    </row>
    <row r="337" spans="1:9" x14ac:dyDescent="0.25">
      <c r="A337" s="504">
        <f t="shared" si="5"/>
        <v>63</v>
      </c>
      <c r="B337" s="528" t="s">
        <v>789</v>
      </c>
      <c r="D337" s="528" t="s">
        <v>428</v>
      </c>
      <c r="I337" s="521">
        <v>0.6</v>
      </c>
    </row>
    <row r="338" spans="1:9" x14ac:dyDescent="0.25">
      <c r="A338" s="504">
        <f t="shared" si="5"/>
        <v>64</v>
      </c>
      <c r="B338" s="528" t="s">
        <v>790</v>
      </c>
      <c r="D338" s="528" t="s">
        <v>430</v>
      </c>
      <c r="I338" s="521">
        <v>0.6</v>
      </c>
    </row>
    <row r="339" spans="1:9" x14ac:dyDescent="0.25">
      <c r="A339" s="504">
        <f t="shared" si="5"/>
        <v>65</v>
      </c>
      <c r="B339" s="528" t="s">
        <v>791</v>
      </c>
      <c r="D339" s="528" t="s">
        <v>431</v>
      </c>
      <c r="I339" s="521">
        <v>0.6</v>
      </c>
    </row>
    <row r="340" spans="1:9" x14ac:dyDescent="0.25">
      <c r="A340" s="504">
        <f t="shared" si="5"/>
        <v>66</v>
      </c>
      <c r="B340" s="528" t="s">
        <v>792</v>
      </c>
      <c r="D340" s="528" t="s">
        <v>432</v>
      </c>
      <c r="I340" s="521">
        <v>0.6</v>
      </c>
    </row>
    <row r="341" spans="1:9" x14ac:dyDescent="0.25">
      <c r="A341" s="504">
        <f t="shared" si="5"/>
        <v>67</v>
      </c>
      <c r="B341" s="528" t="s">
        <v>793</v>
      </c>
      <c r="D341" s="528" t="s">
        <v>433</v>
      </c>
      <c r="I341" s="521">
        <v>0.6</v>
      </c>
    </row>
    <row r="342" spans="1:9" x14ac:dyDescent="0.25">
      <c r="A342" s="504">
        <f t="shared" si="5"/>
        <v>68</v>
      </c>
      <c r="B342" s="528" t="s">
        <v>794</v>
      </c>
      <c r="D342" s="528" t="s">
        <v>334</v>
      </c>
      <c r="I342" s="521">
        <v>0.6</v>
      </c>
    </row>
    <row r="343" spans="1:9" x14ac:dyDescent="0.25">
      <c r="A343" s="504">
        <f t="shared" si="5"/>
        <v>69</v>
      </c>
      <c r="B343" s="528" t="s">
        <v>795</v>
      </c>
      <c r="D343" s="528" t="s">
        <v>434</v>
      </c>
      <c r="I343" s="521">
        <v>0.6</v>
      </c>
    </row>
    <row r="344" spans="1:9" x14ac:dyDescent="0.25">
      <c r="A344" s="504">
        <f t="shared" si="5"/>
        <v>70</v>
      </c>
      <c r="B344" s="528" t="s">
        <v>796</v>
      </c>
      <c r="D344" s="528" t="s">
        <v>435</v>
      </c>
      <c r="I344" s="521">
        <v>0.6</v>
      </c>
    </row>
    <row r="345" spans="1:9" x14ac:dyDescent="0.25">
      <c r="A345" s="504">
        <f t="shared" si="5"/>
        <v>71</v>
      </c>
      <c r="B345" s="528" t="s">
        <v>797</v>
      </c>
      <c r="D345" s="528" t="s">
        <v>436</v>
      </c>
      <c r="I345" s="521">
        <v>0.6</v>
      </c>
    </row>
    <row r="346" spans="1:9" x14ac:dyDescent="0.25">
      <c r="A346" s="504">
        <f t="shared" si="5"/>
        <v>72</v>
      </c>
      <c r="B346" s="528" t="s">
        <v>798</v>
      </c>
      <c r="D346" s="528" t="s">
        <v>199</v>
      </c>
      <c r="I346" s="521">
        <v>0.6</v>
      </c>
    </row>
    <row r="347" spans="1:9" x14ac:dyDescent="0.25">
      <c r="A347" s="504">
        <f t="shared" si="5"/>
        <v>73</v>
      </c>
      <c r="B347" s="528" t="s">
        <v>799</v>
      </c>
      <c r="D347" s="528" t="s">
        <v>168</v>
      </c>
      <c r="I347" s="521">
        <v>0.6</v>
      </c>
    </row>
    <row r="348" spans="1:9" x14ac:dyDescent="0.25">
      <c r="A348" s="504">
        <f t="shared" si="5"/>
        <v>74</v>
      </c>
      <c r="B348" s="528" t="s">
        <v>800</v>
      </c>
      <c r="D348" s="528" t="s">
        <v>438</v>
      </c>
      <c r="I348" s="521">
        <v>0.6</v>
      </c>
    </row>
    <row r="349" spans="1:9" x14ac:dyDescent="0.25">
      <c r="A349" s="504">
        <f t="shared" si="5"/>
        <v>75</v>
      </c>
      <c r="B349" s="528" t="s">
        <v>801</v>
      </c>
      <c r="D349" s="528" t="s">
        <v>439</v>
      </c>
      <c r="I349" s="521">
        <v>0.6</v>
      </c>
    </row>
    <row r="350" spans="1:9" x14ac:dyDescent="0.25">
      <c r="A350" s="504">
        <f t="shared" si="5"/>
        <v>76</v>
      </c>
      <c r="B350" s="528" t="s">
        <v>802</v>
      </c>
      <c r="D350" s="528" t="s">
        <v>440</v>
      </c>
      <c r="I350" s="521">
        <v>0.6</v>
      </c>
    </row>
    <row r="351" spans="1:9" x14ac:dyDescent="0.25">
      <c r="A351" s="504">
        <f t="shared" si="5"/>
        <v>77</v>
      </c>
      <c r="B351" s="528" t="s">
        <v>803</v>
      </c>
      <c r="D351" s="528" t="s">
        <v>442</v>
      </c>
      <c r="I351" s="521">
        <v>0.6</v>
      </c>
    </row>
    <row r="352" spans="1:9" x14ac:dyDescent="0.25">
      <c r="A352" s="504">
        <f t="shared" si="5"/>
        <v>78</v>
      </c>
      <c r="B352" s="528" t="s">
        <v>804</v>
      </c>
      <c r="D352" s="528" t="s">
        <v>309</v>
      </c>
      <c r="I352" s="521">
        <v>0.6</v>
      </c>
    </row>
    <row r="353" spans="1:9" x14ac:dyDescent="0.25">
      <c r="A353" s="504">
        <f t="shared" si="5"/>
        <v>79</v>
      </c>
      <c r="B353" s="528" t="s">
        <v>805</v>
      </c>
      <c r="D353" s="528" t="s">
        <v>443</v>
      </c>
      <c r="I353" s="521">
        <v>0.6</v>
      </c>
    </row>
    <row r="354" spans="1:9" x14ac:dyDescent="0.25">
      <c r="A354" s="504">
        <f t="shared" si="5"/>
        <v>80</v>
      </c>
      <c r="B354" s="528" t="s">
        <v>806</v>
      </c>
      <c r="D354" s="528" t="s">
        <v>310</v>
      </c>
      <c r="I354" s="521">
        <v>0.6</v>
      </c>
    </row>
    <row r="355" spans="1:9" x14ac:dyDescent="0.25">
      <c r="A355" s="504">
        <f t="shared" si="5"/>
        <v>81</v>
      </c>
      <c r="B355" s="528" t="s">
        <v>807</v>
      </c>
      <c r="D355" s="528" t="s">
        <v>446</v>
      </c>
      <c r="I355" s="521">
        <v>0.4</v>
      </c>
    </row>
    <row r="356" spans="1:9" x14ac:dyDescent="0.25">
      <c r="A356" s="504">
        <f t="shared" si="5"/>
        <v>82</v>
      </c>
      <c r="B356" s="528" t="s">
        <v>808</v>
      </c>
      <c r="D356" s="528" t="s">
        <v>448</v>
      </c>
      <c r="I356" s="521">
        <v>0.4</v>
      </c>
    </row>
    <row r="357" spans="1:9" x14ac:dyDescent="0.25">
      <c r="A357" s="504">
        <f t="shared" si="5"/>
        <v>83</v>
      </c>
      <c r="B357" s="528" t="s">
        <v>809</v>
      </c>
      <c r="D357" s="528" t="s">
        <v>313</v>
      </c>
      <c r="I357" s="521">
        <v>0.4</v>
      </c>
    </row>
    <row r="358" spans="1:9" x14ac:dyDescent="0.25">
      <c r="A358" s="504">
        <f t="shared" si="5"/>
        <v>84</v>
      </c>
      <c r="B358" s="528" t="s">
        <v>810</v>
      </c>
      <c r="D358" s="528" t="s">
        <v>453</v>
      </c>
      <c r="I358" s="521">
        <v>0.4</v>
      </c>
    </row>
    <row r="359" spans="1:9" x14ac:dyDescent="0.25">
      <c r="A359" s="504">
        <f t="shared" si="5"/>
        <v>85</v>
      </c>
      <c r="B359" s="528" t="s">
        <v>811</v>
      </c>
      <c r="D359" s="528" t="s">
        <v>454</v>
      </c>
      <c r="I359" s="521">
        <v>0.4</v>
      </c>
    </row>
    <row r="360" spans="1:9" x14ac:dyDescent="0.25">
      <c r="A360" s="504">
        <f t="shared" si="5"/>
        <v>86</v>
      </c>
      <c r="B360" s="528" t="s">
        <v>812</v>
      </c>
      <c r="D360" s="528" t="s">
        <v>455</v>
      </c>
      <c r="I360" s="521">
        <v>0.4</v>
      </c>
    </row>
    <row r="361" spans="1:9" x14ac:dyDescent="0.25">
      <c r="A361" s="504">
        <f t="shared" si="5"/>
        <v>87</v>
      </c>
      <c r="B361" s="528" t="s">
        <v>813</v>
      </c>
      <c r="D361" s="528" t="s">
        <v>456</v>
      </c>
      <c r="I361" s="521">
        <v>0.4</v>
      </c>
    </row>
    <row r="362" spans="1:9" x14ac:dyDescent="0.25">
      <c r="A362" s="504">
        <f t="shared" si="5"/>
        <v>88</v>
      </c>
      <c r="B362" s="528" t="s">
        <v>814</v>
      </c>
      <c r="D362" s="528" t="s">
        <v>457</v>
      </c>
      <c r="I362" s="521">
        <v>0</v>
      </c>
    </row>
    <row r="363" spans="1:9" x14ac:dyDescent="0.25">
      <c r="A363" s="504">
        <f t="shared" si="5"/>
        <v>89</v>
      </c>
      <c r="B363" s="528" t="s">
        <v>815</v>
      </c>
      <c r="D363" s="528" t="s">
        <v>460</v>
      </c>
      <c r="I363" s="521">
        <v>0</v>
      </c>
    </row>
    <row r="364" spans="1:9" x14ac:dyDescent="0.25">
      <c r="A364" s="504">
        <f t="shared" si="5"/>
        <v>90</v>
      </c>
      <c r="B364" s="528" t="s">
        <v>816</v>
      </c>
      <c r="D364" s="528" t="s">
        <v>461</v>
      </c>
      <c r="I364" s="521">
        <v>0</v>
      </c>
    </row>
    <row r="365" spans="1:9" x14ac:dyDescent="0.25">
      <c r="A365" s="504">
        <f t="shared" si="5"/>
        <v>91</v>
      </c>
      <c r="B365" s="528" t="s">
        <v>817</v>
      </c>
      <c r="D365" s="528" t="s">
        <v>462</v>
      </c>
      <c r="I365" s="521">
        <v>0</v>
      </c>
    </row>
    <row r="366" spans="1:9" x14ac:dyDescent="0.25">
      <c r="A366" s="504">
        <f t="shared" si="5"/>
        <v>92</v>
      </c>
      <c r="B366" s="528" t="s">
        <v>818</v>
      </c>
      <c r="D366" s="528" t="s">
        <v>463</v>
      </c>
      <c r="I366" s="521">
        <v>0</v>
      </c>
    </row>
    <row r="367" spans="1:9" x14ac:dyDescent="0.25">
      <c r="A367" s="504">
        <f t="shared" si="5"/>
        <v>93</v>
      </c>
      <c r="B367" s="528" t="s">
        <v>819</v>
      </c>
      <c r="D367" s="528" t="s">
        <v>468</v>
      </c>
      <c r="I367" s="521">
        <v>0</v>
      </c>
    </row>
    <row r="387" spans="1:10" x14ac:dyDescent="0.25">
      <c r="A387" s="514"/>
      <c r="B387" s="514"/>
      <c r="C387" s="514"/>
      <c r="D387" s="514"/>
      <c r="E387" s="514"/>
      <c r="F387" s="514"/>
      <c r="G387" s="514"/>
      <c r="H387" s="514"/>
      <c r="I387" s="514"/>
      <c r="J387" s="514"/>
    </row>
    <row r="388" spans="1:10" x14ac:dyDescent="0.25">
      <c r="A388" s="515" t="s">
        <v>670</v>
      </c>
      <c r="I388" s="497">
        <f>1+I323</f>
        <v>197</v>
      </c>
    </row>
    <row r="389" spans="1:10" x14ac:dyDescent="0.25">
      <c r="A389" s="515" t="s">
        <v>671</v>
      </c>
    </row>
  </sheetData>
  <mergeCells count="95">
    <mergeCell ref="A239:I240"/>
    <mergeCell ref="A242:I244"/>
    <mergeCell ref="A247:I249"/>
    <mergeCell ref="E262:G263"/>
    <mergeCell ref="E327:G328"/>
    <mergeCell ref="A236:I237"/>
    <mergeCell ref="C212:I213"/>
    <mergeCell ref="C215:I217"/>
    <mergeCell ref="C219:I220"/>
    <mergeCell ref="B223:F223"/>
    <mergeCell ref="A224:B224"/>
    <mergeCell ref="A225:B225"/>
    <mergeCell ref="F225:F229"/>
    <mergeCell ref="A226:B226"/>
    <mergeCell ref="A227:B227"/>
    <mergeCell ref="A228:B228"/>
    <mergeCell ref="A229:B229"/>
    <mergeCell ref="C231:D231"/>
    <mergeCell ref="C232:D232"/>
    <mergeCell ref="C233:D233"/>
    <mergeCell ref="C234:D234"/>
    <mergeCell ref="C209:I210"/>
    <mergeCell ref="A169:B169"/>
    <mergeCell ref="A170:B170"/>
    <mergeCell ref="A171:B171"/>
    <mergeCell ref="A172:B172"/>
    <mergeCell ref="A173:B173"/>
    <mergeCell ref="B175:I176"/>
    <mergeCell ref="C178:I179"/>
    <mergeCell ref="C181:I183"/>
    <mergeCell ref="A187:I188"/>
    <mergeCell ref="E197:G198"/>
    <mergeCell ref="C205:I207"/>
    <mergeCell ref="A166:B168"/>
    <mergeCell ref="C166:I166"/>
    <mergeCell ref="I167:I168"/>
    <mergeCell ref="A139:B141"/>
    <mergeCell ref="C139:I139"/>
    <mergeCell ref="A142:B142"/>
    <mergeCell ref="A143:B143"/>
    <mergeCell ref="A144:B144"/>
    <mergeCell ref="A145:B145"/>
    <mergeCell ref="A146:B146"/>
    <mergeCell ref="B148:I152"/>
    <mergeCell ref="C154:I155"/>
    <mergeCell ref="B164:I164"/>
    <mergeCell ref="B165:I165"/>
    <mergeCell ref="B138:I138"/>
    <mergeCell ref="B109:H109"/>
    <mergeCell ref="A110:B112"/>
    <mergeCell ref="C110:H110"/>
    <mergeCell ref="A113:B113"/>
    <mergeCell ref="A114:B114"/>
    <mergeCell ref="A115:B115"/>
    <mergeCell ref="A116:B116"/>
    <mergeCell ref="A117:B117"/>
    <mergeCell ref="B119:I121"/>
    <mergeCell ref="E132:G133"/>
    <mergeCell ref="B137:I137"/>
    <mergeCell ref="B108:H108"/>
    <mergeCell ref="B87:H87"/>
    <mergeCell ref="B88:H88"/>
    <mergeCell ref="A89:B91"/>
    <mergeCell ref="C89:H89"/>
    <mergeCell ref="A92:B92"/>
    <mergeCell ref="A93:B93"/>
    <mergeCell ref="A94:B94"/>
    <mergeCell ref="A95:B95"/>
    <mergeCell ref="A96:B96"/>
    <mergeCell ref="B98:I99"/>
    <mergeCell ref="B101:I103"/>
    <mergeCell ref="B81:I82"/>
    <mergeCell ref="A50:B52"/>
    <mergeCell ref="C50:I50"/>
    <mergeCell ref="A53:B53"/>
    <mergeCell ref="A54:B54"/>
    <mergeCell ref="A55:B55"/>
    <mergeCell ref="A56:B56"/>
    <mergeCell ref="A57:B57"/>
    <mergeCell ref="A59:I60"/>
    <mergeCell ref="E67:G68"/>
    <mergeCell ref="B71:I75"/>
    <mergeCell ref="B77:I79"/>
    <mergeCell ref="B49:I49"/>
    <mergeCell ref="E2:G3"/>
    <mergeCell ref="A6:I6"/>
    <mergeCell ref="A8:I8"/>
    <mergeCell ref="A12:I13"/>
    <mergeCell ref="A17:I19"/>
    <mergeCell ref="A21:I24"/>
    <mergeCell ref="A26:I28"/>
    <mergeCell ref="A30:I33"/>
    <mergeCell ref="A39:I40"/>
    <mergeCell ref="A42:I45"/>
    <mergeCell ref="B48:I48"/>
  </mergeCells>
  <pageMargins left="0.7" right="0.7" top="0.75" bottom="0.75" header="0.3" footer="0.3"/>
  <drawing r:id="rId1"/>
  <legacyDrawing r:id="rId2"/>
  <oleObjects>
    <mc:AlternateContent xmlns:mc="http://schemas.openxmlformats.org/markup-compatibility/2006">
      <mc:Choice Requires="x14">
        <oleObject progId="Word.Picture.8" shapeId="8193" r:id="rId3">
          <objectPr defaultSize="0" autoPict="0" r:id="rId4">
            <anchor moveWithCells="1" sizeWithCells="1">
              <from>
                <xdr:col>7</xdr:col>
                <xdr:colOff>411480</xdr:colOff>
                <xdr:row>1</xdr:row>
                <xdr:rowOff>68580</xdr:rowOff>
              </from>
              <to>
                <xdr:col>8</xdr:col>
                <xdr:colOff>464820</xdr:colOff>
                <xdr:row>2</xdr:row>
                <xdr:rowOff>152400</xdr:rowOff>
              </to>
            </anchor>
          </objectPr>
        </oleObject>
      </mc:Choice>
      <mc:Fallback>
        <oleObject progId="Word.Picture.8" shapeId="8193" r:id="rId3"/>
      </mc:Fallback>
    </mc:AlternateContent>
    <mc:AlternateContent xmlns:mc="http://schemas.openxmlformats.org/markup-compatibility/2006">
      <mc:Choice Requires="x14">
        <oleObject progId="Word.Picture.8" shapeId="8194" r:id="rId5">
          <objectPr defaultSize="0" autoPict="0" r:id="rId4">
            <anchor moveWithCells="1" sizeWithCells="1">
              <from>
                <xdr:col>7</xdr:col>
                <xdr:colOff>411480</xdr:colOff>
                <xdr:row>66</xdr:row>
                <xdr:rowOff>68580</xdr:rowOff>
              </from>
              <to>
                <xdr:col>8</xdr:col>
                <xdr:colOff>464820</xdr:colOff>
                <xdr:row>67</xdr:row>
                <xdr:rowOff>152400</xdr:rowOff>
              </to>
            </anchor>
          </objectPr>
        </oleObject>
      </mc:Choice>
      <mc:Fallback>
        <oleObject progId="Word.Picture.8" shapeId="8194" r:id="rId5"/>
      </mc:Fallback>
    </mc:AlternateContent>
    <mc:AlternateContent xmlns:mc="http://schemas.openxmlformats.org/markup-compatibility/2006">
      <mc:Choice Requires="x14">
        <oleObject progId="Word.Picture.8" shapeId="8195" r:id="rId6">
          <objectPr defaultSize="0" autoPict="0" r:id="rId4">
            <anchor moveWithCells="1" sizeWithCells="1">
              <from>
                <xdr:col>7</xdr:col>
                <xdr:colOff>518160</xdr:colOff>
                <xdr:row>131</xdr:row>
                <xdr:rowOff>30480</xdr:rowOff>
              </from>
              <to>
                <xdr:col>8</xdr:col>
                <xdr:colOff>464820</xdr:colOff>
                <xdr:row>132</xdr:row>
                <xdr:rowOff>152400</xdr:rowOff>
              </to>
            </anchor>
          </objectPr>
        </oleObject>
      </mc:Choice>
      <mc:Fallback>
        <oleObject progId="Word.Picture.8" shapeId="8195" r:id="rId6"/>
      </mc:Fallback>
    </mc:AlternateContent>
    <mc:AlternateContent xmlns:mc="http://schemas.openxmlformats.org/markup-compatibility/2006">
      <mc:Choice Requires="x14">
        <oleObject progId="Word.Picture.8" shapeId="8196" r:id="rId7">
          <objectPr defaultSize="0" autoPict="0" r:id="rId4">
            <anchor moveWithCells="1" sizeWithCells="1">
              <from>
                <xdr:col>7</xdr:col>
                <xdr:colOff>411480</xdr:colOff>
                <xdr:row>261</xdr:row>
                <xdr:rowOff>68580</xdr:rowOff>
              </from>
              <to>
                <xdr:col>8</xdr:col>
                <xdr:colOff>464820</xdr:colOff>
                <xdr:row>262</xdr:row>
                <xdr:rowOff>152400</xdr:rowOff>
              </to>
            </anchor>
          </objectPr>
        </oleObject>
      </mc:Choice>
      <mc:Fallback>
        <oleObject progId="Word.Picture.8" shapeId="8196" r:id="rId7"/>
      </mc:Fallback>
    </mc:AlternateContent>
    <mc:AlternateContent xmlns:mc="http://schemas.openxmlformats.org/markup-compatibility/2006">
      <mc:Choice Requires="x14">
        <oleObject progId="Word.Picture.8" shapeId="8197" r:id="rId8">
          <objectPr defaultSize="0" autoPict="0" r:id="rId4">
            <anchor moveWithCells="1" sizeWithCells="1">
              <from>
                <xdr:col>7</xdr:col>
                <xdr:colOff>411480</xdr:colOff>
                <xdr:row>196</xdr:row>
                <xdr:rowOff>68580</xdr:rowOff>
              </from>
              <to>
                <xdr:col>8</xdr:col>
                <xdr:colOff>464820</xdr:colOff>
                <xdr:row>197</xdr:row>
                <xdr:rowOff>152400</xdr:rowOff>
              </to>
            </anchor>
          </objectPr>
        </oleObject>
      </mc:Choice>
      <mc:Fallback>
        <oleObject progId="Word.Picture.8" shapeId="8197" r:id="rId8"/>
      </mc:Fallback>
    </mc:AlternateContent>
    <mc:AlternateContent xmlns:mc="http://schemas.openxmlformats.org/markup-compatibility/2006">
      <mc:Choice Requires="x14">
        <oleObject progId="Word.Picture.8" shapeId="8198" r:id="rId9">
          <objectPr defaultSize="0" autoPict="0" r:id="rId4">
            <anchor moveWithCells="1" sizeWithCells="1">
              <from>
                <xdr:col>7</xdr:col>
                <xdr:colOff>411480</xdr:colOff>
                <xdr:row>326</xdr:row>
                <xdr:rowOff>68580</xdr:rowOff>
              </from>
              <to>
                <xdr:col>8</xdr:col>
                <xdr:colOff>464820</xdr:colOff>
                <xdr:row>327</xdr:row>
                <xdr:rowOff>152400</xdr:rowOff>
              </to>
            </anchor>
          </objectPr>
        </oleObject>
      </mc:Choice>
      <mc:Fallback>
        <oleObject progId="Word.Picture.8" shapeId="8198" r:id="rId9"/>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8"/>
  <dimension ref="B1:C27"/>
  <sheetViews>
    <sheetView workbookViewId="0"/>
  </sheetViews>
  <sheetFormatPr baseColWidth="10" defaultRowHeight="14.4" x14ac:dyDescent="0.3"/>
  <cols>
    <col min="2" max="2" width="21.6640625" bestFit="1" customWidth="1"/>
    <col min="3" max="3" width="18.5546875" bestFit="1" customWidth="1"/>
  </cols>
  <sheetData>
    <row r="1" spans="2:3" ht="15" thickBot="1" x14ac:dyDescent="0.35"/>
    <row r="2" spans="2:3" ht="15" thickBot="1" x14ac:dyDescent="0.35">
      <c r="B2" s="873" t="s">
        <v>822</v>
      </c>
      <c r="C2" s="874"/>
    </row>
    <row r="3" spans="2:3" ht="15" thickBot="1" x14ac:dyDescent="0.35">
      <c r="B3" s="538" t="s">
        <v>823</v>
      </c>
      <c r="C3" s="539" t="str">
        <f>+'A-D.- FICHA'!J19</f>
        <v>Matalaque</v>
      </c>
    </row>
    <row r="4" spans="2:3" ht="15" thickBot="1" x14ac:dyDescent="0.35">
      <c r="B4" s="538" t="s">
        <v>824</v>
      </c>
      <c r="C4" s="539" t="str">
        <f>+'A-D.- FICHA'!J17</f>
        <v>Gral. Sanchez Cerro</v>
      </c>
    </row>
    <row r="5" spans="2:3" ht="15" thickBot="1" x14ac:dyDescent="0.35">
      <c r="B5" s="538" t="s">
        <v>825</v>
      </c>
      <c r="C5" s="539" t="str">
        <f>+'A-D.- FICHA'!J13</f>
        <v>Moquegua</v>
      </c>
    </row>
    <row r="6" spans="2:3" ht="15" thickBot="1" x14ac:dyDescent="0.35">
      <c r="B6" s="538" t="s">
        <v>826</v>
      </c>
      <c r="C6" s="539" t="str">
        <f>+'A-D.- FICHA'!J15</f>
        <v>Moquegua</v>
      </c>
    </row>
    <row r="7" spans="2:3" ht="15" thickBot="1" x14ac:dyDescent="0.35">
      <c r="B7" s="538" t="s">
        <v>587</v>
      </c>
      <c r="C7" s="539" t="str">
        <f>+'A-D.- FICHA'!P15</f>
        <v>MO-100</v>
      </c>
    </row>
    <row r="8" spans="2:3" ht="15" thickBot="1" x14ac:dyDescent="0.35">
      <c r="B8" s="538" t="s">
        <v>827</v>
      </c>
      <c r="C8" s="539" t="str">
        <f>+'A-D.- FICHA'!P19</f>
        <v>Departamental</v>
      </c>
    </row>
    <row r="9" spans="2:3" ht="15" thickBot="1" x14ac:dyDescent="0.35">
      <c r="B9" s="538" t="s">
        <v>828</v>
      </c>
      <c r="C9" s="554">
        <f>+'A-D.- FICHA'!E19</f>
        <v>11</v>
      </c>
    </row>
    <row r="10" spans="2:3" ht="15" thickBot="1" x14ac:dyDescent="0.35">
      <c r="B10" s="538" t="s">
        <v>590</v>
      </c>
      <c r="C10" s="555">
        <f>+'A-D.- FICHA'!P17</f>
        <v>30298</v>
      </c>
    </row>
    <row r="11" spans="2:3" ht="15" thickBot="1" x14ac:dyDescent="0.35">
      <c r="B11" s="538" t="s">
        <v>829</v>
      </c>
      <c r="C11" s="539" t="str">
        <f>+'A-D.- FICHA'!J9</f>
        <v>PUENTE AGUA BLANCA</v>
      </c>
    </row>
    <row r="12" spans="2:3" ht="15" thickBot="1" x14ac:dyDescent="0.35">
      <c r="B12" s="873" t="s">
        <v>830</v>
      </c>
      <c r="C12" s="874"/>
    </row>
    <row r="13" spans="2:3" ht="15" thickBot="1" x14ac:dyDescent="0.35">
      <c r="B13" s="538" t="s">
        <v>63</v>
      </c>
      <c r="C13" s="556" t="str">
        <f>+'A-D.- FICHA'!E78</f>
        <v xml:space="preserve">  Losa con Vigas</v>
      </c>
    </row>
    <row r="14" spans="2:3" ht="15" thickBot="1" x14ac:dyDescent="0.35">
      <c r="B14" s="538" t="s">
        <v>64</v>
      </c>
      <c r="C14" s="556" t="str">
        <f>+'A-D.- FICHA'!E84</f>
        <v>Concreto armado</v>
      </c>
    </row>
    <row r="15" spans="2:3" ht="15" thickBot="1" x14ac:dyDescent="0.35">
      <c r="B15" s="538" t="s">
        <v>831</v>
      </c>
      <c r="C15" s="556">
        <f>+'A-D.- FICHA'!E62</f>
        <v>1</v>
      </c>
    </row>
    <row r="16" spans="2:3" ht="15" thickBot="1" x14ac:dyDescent="0.35">
      <c r="B16" s="538" t="s">
        <v>832</v>
      </c>
      <c r="C16" s="556" t="str">
        <f>+'A-D.- FICHA'!E82</f>
        <v>Empotrado</v>
      </c>
    </row>
    <row r="17" spans="2:3" ht="15" thickBot="1" x14ac:dyDescent="0.35">
      <c r="B17" s="538" t="s">
        <v>14</v>
      </c>
      <c r="C17" s="557">
        <f>+'A-D.- FICHA'!E66</f>
        <v>31.2</v>
      </c>
    </row>
    <row r="18" spans="2:3" ht="15" thickBot="1" x14ac:dyDescent="0.35">
      <c r="B18" s="538" t="s">
        <v>833</v>
      </c>
      <c r="C18" s="556" t="str">
        <f>+'A-D.- FICHA'!E102</f>
        <v>Concreto Pobre</v>
      </c>
    </row>
    <row r="19" spans="2:3" ht="15" thickBot="1" x14ac:dyDescent="0.35">
      <c r="B19" s="538" t="s">
        <v>834</v>
      </c>
      <c r="C19" s="556">
        <f>+'A-D.- FICHA'!E33</f>
        <v>1</v>
      </c>
    </row>
    <row r="20" spans="2:3" ht="15" thickBot="1" x14ac:dyDescent="0.35">
      <c r="B20" s="538" t="s">
        <v>835</v>
      </c>
      <c r="C20" s="556">
        <f>+'A-D.- FICHA'!E37</f>
        <v>0</v>
      </c>
    </row>
    <row r="21" spans="2:3" ht="15" thickBot="1" x14ac:dyDescent="0.35">
      <c r="B21" s="538" t="s">
        <v>836</v>
      </c>
      <c r="C21" s="557">
        <f>+'A-D.- FICHA'!E100</f>
        <v>0.2</v>
      </c>
    </row>
    <row r="22" spans="2:3" ht="15" thickBot="1" x14ac:dyDescent="0.35">
      <c r="B22" s="538" t="s">
        <v>837</v>
      </c>
      <c r="C22" s="557">
        <f>+'A-D.- FICHA'!P104</f>
        <v>4</v>
      </c>
    </row>
    <row r="23" spans="2:3" ht="15" thickBot="1" x14ac:dyDescent="0.35">
      <c r="B23" s="538" t="s">
        <v>838</v>
      </c>
      <c r="C23" s="557" t="str">
        <f>+'A-D.- FICHA'!J106</f>
        <v>1.65-2.95m</v>
      </c>
    </row>
    <row r="24" spans="2:3" ht="15" thickBot="1" x14ac:dyDescent="0.35">
      <c r="B24" s="538" t="s">
        <v>839</v>
      </c>
      <c r="C24" s="556">
        <f>+'A-D.- FICHA'!J100</f>
        <v>2</v>
      </c>
    </row>
    <row r="25" spans="2:3" ht="15" thickBot="1" x14ac:dyDescent="0.35">
      <c r="B25" s="873" t="s">
        <v>840</v>
      </c>
      <c r="C25" s="874"/>
    </row>
    <row r="26" spans="2:3" ht="15" thickBot="1" x14ac:dyDescent="0.35">
      <c r="B26" s="538" t="s">
        <v>841</v>
      </c>
      <c r="C26" s="539" t="str">
        <f>+'A-D.- FICHA'!J120</f>
        <v>Portico</v>
      </c>
    </row>
    <row r="27" spans="2:3" ht="15" thickBot="1" x14ac:dyDescent="0.35">
      <c r="B27" s="538" t="s">
        <v>842</v>
      </c>
      <c r="C27" s="539" t="str">
        <f>IF(+'A-D.- FICHA'!G183=0,"No aplica",+'A-D.- FICHA'!G183=0)</f>
        <v>No aplica</v>
      </c>
    </row>
  </sheetData>
  <mergeCells count="3">
    <mergeCell ref="B2:C2"/>
    <mergeCell ref="B12:C12"/>
    <mergeCell ref="B25:C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10</vt:i4>
      </vt:variant>
      <vt:variant>
        <vt:lpstr>Rangos con nombre</vt:lpstr>
      </vt:variant>
      <vt:variant>
        <vt:i4>44</vt:i4>
      </vt:variant>
    </vt:vector>
  </HeadingPairs>
  <TitlesOfParts>
    <vt:vector size="54" baseType="lpstr">
      <vt:lpstr>A-D.- FICHA</vt:lpstr>
      <vt:lpstr>E.- CROQUIS</vt:lpstr>
      <vt:lpstr>F.- ELEMENTOS</vt:lpstr>
      <vt:lpstr>sec F</vt:lpstr>
      <vt:lpstr>F.2.-PANEL FOTOGRAFICO</vt:lpstr>
      <vt:lpstr>G.- CONDICION ESTADISTICA</vt:lpstr>
      <vt:lpstr>CONCLUSIONES</vt:lpstr>
      <vt:lpstr>AUXILIAR</vt:lpstr>
      <vt:lpstr>Hoja1</vt:lpstr>
      <vt:lpstr>Hoja3</vt:lpstr>
      <vt:lpstr>'A-D.- FICHA'!Alineamiento</vt:lpstr>
      <vt:lpstr>'A-D.- FICHA'!Área_de_impresión</vt:lpstr>
      <vt:lpstr>'E.- CROQUIS'!Área_de_impresión</vt:lpstr>
      <vt:lpstr>'F.- ELEMENTOS'!Área_de_impresión</vt:lpstr>
      <vt:lpstr>'F.2.-PANEL FOTOGRAFICO'!Área_de_impresión</vt:lpstr>
      <vt:lpstr>'G.- CONDICION ESTADISTICA'!Área_de_impresión</vt:lpstr>
      <vt:lpstr>'sec F'!Área_de_impresión</vt:lpstr>
      <vt:lpstr>'A-D.- FICHA'!CatTipo</vt:lpstr>
      <vt:lpstr>'A-D.- FICHA'!Cond.Borde</vt:lpstr>
      <vt:lpstr>'A-D.- FICHA'!Cond.Carretera</vt:lpstr>
      <vt:lpstr>'A-D.- FICHA'!CondAmb</vt:lpstr>
      <vt:lpstr>elementos</vt:lpstr>
      <vt:lpstr>'A-D.- FICHA'!FormaViga</vt:lpstr>
      <vt:lpstr>'A-D.- FICHA'!luisa</vt:lpstr>
      <vt:lpstr>'A-D.- FICHA'!MarcasdeCalzada</vt:lpstr>
      <vt:lpstr>'A-D.- FICHA'!Mat</vt:lpstr>
      <vt:lpstr>'A-D.- FICHA'!Mat.Predo</vt:lpstr>
      <vt:lpstr>'A-D.- FICHA'!MatBaranda</vt:lpstr>
      <vt:lpstr>'A-D.- FICHA'!MatDrenaje</vt:lpstr>
      <vt:lpstr>'A-D.- FICHA'!MaterialCimenta</vt:lpstr>
      <vt:lpstr>'A-D.- FICHA'!MaterialEleva</vt:lpstr>
      <vt:lpstr>'A-D.- FICHA'!Materiallosa</vt:lpstr>
      <vt:lpstr>'A-D.- FICHA'!MatJuntas</vt:lpstr>
      <vt:lpstr>'A-D.- FICHA'!MatVeredas</vt:lpstr>
      <vt:lpstr>'A-D.- FICHA'!MatVigas</vt:lpstr>
      <vt:lpstr>'A-D.- FICHA'!Nat.Suelo</vt:lpstr>
      <vt:lpstr>'A-D.- FICHA'!SeñalInformativa</vt:lpstr>
      <vt:lpstr>'A-D.- FICHA'!Señalpreventiva</vt:lpstr>
      <vt:lpstr>'A-D.- FICHA'!SeñalReglamentaria</vt:lpstr>
      <vt:lpstr>'A-D.- FICHA'!Sobre</vt:lpstr>
      <vt:lpstr>'A-D.- FICHA'!Subestructura</vt:lpstr>
      <vt:lpstr>'A-D.- FICHA'!SuperDesgaste</vt:lpstr>
      <vt:lpstr>'A-D.- FICHA'!TipoApoyos</vt:lpstr>
      <vt:lpstr>'A-D.- FICHA'!TipoBarandas</vt:lpstr>
      <vt:lpstr>'A-D.- FICHA'!TipoCimentación</vt:lpstr>
      <vt:lpstr>'A-D.- FICHA'!TipoDrenaje</vt:lpstr>
      <vt:lpstr>'A-D.- FICHA'!TipoElevación</vt:lpstr>
      <vt:lpstr>'A-D.- FICHA'!Tiposerv</vt:lpstr>
      <vt:lpstr>'A-D.- FICHA'!TipoVigas</vt:lpstr>
      <vt:lpstr>'A-D.- FICHA'!Títulos_a_imprimir</vt:lpstr>
      <vt:lpstr>'F.2.-PANEL FOTOGRAFICO'!Títulos_a_imprimir</vt:lpstr>
      <vt:lpstr>'G.- CONDICION ESTADISTICA'!Títulos_a_imprimir</vt:lpstr>
      <vt:lpstr>'A-D.- FICHA'!Tramos</vt:lpstr>
      <vt:lpstr>'A-D.- FICHA'!Visibilidad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FICHA SCAP</dc:title>
  <dc:creator>ING. NELSON PAREJA</dc:creator>
  <cp:keywords>EF</cp:keywords>
  <cp:lastModifiedBy>User</cp:lastModifiedBy>
  <cp:lastPrinted>2026-07-25T20:58:55Z</cp:lastPrinted>
  <dcterms:created xsi:type="dcterms:W3CDTF">2011-03-30T15:30:47Z</dcterms:created>
  <dcterms:modified xsi:type="dcterms:W3CDTF">2026-07-25T21:11:48Z</dcterms:modified>
</cp:coreProperties>
</file>