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redding/Desktop/"/>
    </mc:Choice>
  </mc:AlternateContent>
  <xr:revisionPtr revIDLastSave="0" documentId="8_{5A91E29F-E36C-CC40-A6E9-6E032B3F2A3B}" xr6:coauthVersionLast="47" xr6:coauthVersionMax="47" xr10:uidLastSave="{00000000-0000-0000-0000-000000000000}"/>
  <bookViews>
    <workbookView xWindow="0" yWindow="500" windowWidth="28800" windowHeight="16200" xr2:uid="{410C0021-0A89-4043-B5AF-F7FF8F8B1E08}"/>
  </bookViews>
  <sheets>
    <sheet name="Redding_et-al_CaseyKey_Excava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8" i="1" l="1"/>
  <c r="P78" i="1" s="1"/>
  <c r="Q78" i="1" s="1"/>
  <c r="O79" i="1"/>
  <c r="P79" i="1" s="1"/>
  <c r="Q79" i="1" s="1"/>
  <c r="O80" i="1"/>
  <c r="P80" i="1"/>
  <c r="Q80" i="1" s="1"/>
  <c r="O81" i="1"/>
  <c r="P81" i="1"/>
  <c r="Q81" i="1" s="1"/>
  <c r="O82" i="1"/>
  <c r="P82" i="1" s="1"/>
  <c r="Q82" i="1" s="1"/>
  <c r="O83" i="1"/>
  <c r="P83" i="1" s="1"/>
  <c r="Q83" i="1" s="1"/>
  <c r="O84" i="1"/>
  <c r="P84" i="1" s="1"/>
  <c r="Q84" i="1" s="1"/>
  <c r="O85" i="1"/>
  <c r="P85" i="1"/>
  <c r="Q85" i="1" s="1"/>
  <c r="O86" i="1"/>
  <c r="P86" i="1" s="1"/>
  <c r="Q86" i="1" s="1"/>
  <c r="O87" i="1"/>
  <c r="P87" i="1" s="1"/>
  <c r="Q87" i="1" s="1"/>
  <c r="O88" i="1"/>
  <c r="P88" i="1" s="1"/>
  <c r="Q88" i="1" s="1"/>
  <c r="O89" i="1"/>
  <c r="P89" i="1" s="1"/>
  <c r="Q89" i="1" s="1"/>
  <c r="O90" i="1"/>
  <c r="P90" i="1" s="1"/>
  <c r="Q90" i="1" s="1"/>
  <c r="O91" i="1"/>
  <c r="P91" i="1" s="1"/>
  <c r="Q91" i="1" s="1"/>
  <c r="O93" i="1"/>
  <c r="P93" i="1"/>
  <c r="Q93" i="1" s="1"/>
  <c r="O77" i="1"/>
  <c r="P77" i="1" s="1"/>
  <c r="Q77" i="1" s="1"/>
  <c r="O34" i="1"/>
  <c r="O3" i="1"/>
  <c r="O7" i="1"/>
  <c r="O8" i="1"/>
  <c r="O4" i="1"/>
  <c r="O9" i="1"/>
  <c r="O24" i="1"/>
  <c r="P24" i="1" s="1"/>
  <c r="O23" i="1"/>
  <c r="O5" i="1"/>
  <c r="P5" i="1" s="1"/>
  <c r="O22" i="1"/>
  <c r="P22" i="1" s="1"/>
  <c r="O2" i="1"/>
  <c r="P2" i="1" s="1"/>
  <c r="O6" i="1"/>
  <c r="P6" i="1" s="1"/>
  <c r="O62" i="1"/>
  <c r="P62" i="1" s="1"/>
  <c r="O32" i="1"/>
  <c r="P32" i="1" s="1"/>
  <c r="O63" i="1"/>
  <c r="P63" i="1" s="1"/>
  <c r="O33" i="1"/>
  <c r="P33" i="1" s="1"/>
  <c r="O64" i="1"/>
  <c r="P64" i="1" s="1"/>
  <c r="O21" i="1"/>
  <c r="P21" i="1" s="1"/>
  <c r="R26" i="1" l="1"/>
  <c r="AB77" i="1"/>
  <c r="AB2" i="1"/>
  <c r="Q23" i="1" l="1"/>
  <c r="Q50" i="1"/>
  <c r="Q66" i="1"/>
  <c r="Q36" i="1"/>
  <c r="Q11" i="1"/>
  <c r="Q29" i="1"/>
  <c r="Q8" i="1"/>
  <c r="Q27" i="1"/>
  <c r="Q54" i="1"/>
  <c r="Q72" i="1"/>
  <c r="Q44" i="1"/>
  <c r="Q73" i="1"/>
  <c r="Q74" i="1"/>
  <c r="Q75" i="1"/>
  <c r="Q49" i="1"/>
  <c r="Q9" i="1"/>
  <c r="Q10" i="1"/>
  <c r="Q32" i="1"/>
  <c r="Q14" i="1"/>
  <c r="Q34" i="1"/>
  <c r="Q35" i="1"/>
  <c r="Q65" i="1"/>
  <c r="Q28" i="1"/>
  <c r="Q25" i="1"/>
  <c r="Q67" i="1"/>
  <c r="Q37" i="1"/>
  <c r="Q51" i="1"/>
  <c r="Q68" i="1"/>
  <c r="Q15" i="1"/>
  <c r="Q26" i="1"/>
  <c r="Q38" i="1"/>
  <c r="Q52" i="1"/>
  <c r="Q16" i="1"/>
  <c r="Q21" i="1"/>
  <c r="Q3" i="1"/>
  <c r="Q7" i="1"/>
  <c r="Q5" i="1"/>
  <c r="Q39" i="1"/>
  <c r="Q53" i="1"/>
  <c r="Q69" i="1"/>
  <c r="Q70" i="1"/>
  <c r="Q30" i="1"/>
  <c r="Q40" i="1"/>
  <c r="Q31" i="1"/>
  <c r="Q22" i="1"/>
  <c r="Q41" i="1"/>
  <c r="Q42" i="1"/>
  <c r="Q55" i="1"/>
  <c r="Q43" i="1"/>
  <c r="Q71" i="1"/>
  <c r="Q45" i="1"/>
  <c r="Q46" i="1"/>
  <c r="Q47" i="1"/>
  <c r="Q48" i="1"/>
  <c r="Q56" i="1"/>
  <c r="Q57" i="1"/>
  <c r="Q58" i="1"/>
  <c r="Q59" i="1"/>
  <c r="Q60" i="1"/>
  <c r="Q76" i="1"/>
  <c r="Q12" i="1"/>
  <c r="Q13" i="1"/>
  <c r="Q63" i="1"/>
  <c r="Q62" i="1"/>
  <c r="Q4" i="1"/>
  <c r="Q17" i="1"/>
  <c r="Q33" i="1"/>
  <c r="Q64" i="1"/>
  <c r="Q6" i="1"/>
  <c r="Q18" i="1"/>
  <c r="Q61" i="1"/>
  <c r="Q19" i="1"/>
  <c r="Q20" i="1"/>
  <c r="Q24" i="1"/>
  <c r="Q2" i="1"/>
  <c r="AB14" i="1" l="1"/>
  <c r="AB24" i="1"/>
  <c r="AB20" i="1"/>
  <c r="T70" i="1"/>
  <c r="T30" i="1"/>
  <c r="T40" i="1"/>
  <c r="T31" i="1"/>
  <c r="T92" i="1"/>
  <c r="T22" i="1"/>
  <c r="T41" i="1"/>
  <c r="T42" i="1"/>
  <c r="T54" i="1"/>
  <c r="T55" i="1"/>
  <c r="T43" i="1"/>
  <c r="T71" i="1"/>
  <c r="T72" i="1"/>
  <c r="T93" i="1"/>
  <c r="T94" i="1"/>
  <c r="T82" i="1"/>
  <c r="T44" i="1"/>
  <c r="T45" i="1"/>
  <c r="T46" i="1"/>
  <c r="T47" i="1"/>
  <c r="T73" i="1"/>
  <c r="T48" i="1"/>
  <c r="T56" i="1"/>
  <c r="T57" i="1"/>
  <c r="T74" i="1"/>
  <c r="T58" i="1"/>
  <c r="T59" i="1"/>
  <c r="T60" i="1"/>
  <c r="T75" i="1"/>
  <c r="T76" i="1"/>
  <c r="T12" i="1"/>
  <c r="T13" i="1"/>
  <c r="T49" i="1"/>
  <c r="T63" i="1"/>
  <c r="T62" i="1"/>
  <c r="T4" i="1"/>
  <c r="T9" i="1"/>
  <c r="T17" i="1"/>
  <c r="T33" i="1"/>
  <c r="T64" i="1"/>
  <c r="T10" i="1"/>
  <c r="T6" i="1"/>
  <c r="T18" i="1"/>
  <c r="T61" i="1"/>
  <c r="T32" i="1"/>
  <c r="T19" i="1"/>
  <c r="T20" i="1"/>
  <c r="T24" i="1"/>
  <c r="T14" i="1"/>
  <c r="T2" i="1"/>
  <c r="T77" i="1"/>
  <c r="AF19" i="1"/>
  <c r="AF20" i="1"/>
  <c r="AF24" i="1"/>
  <c r="AF14" i="1"/>
  <c r="AF2" i="1"/>
  <c r="AO2" i="1" s="1"/>
  <c r="AL2" i="1" s="1"/>
  <c r="AF77" i="1"/>
  <c r="AB19" i="1"/>
  <c r="AF32" i="1"/>
  <c r="AB32" i="1"/>
  <c r="AF61" i="1"/>
  <c r="AB61" i="1"/>
  <c r="X61" i="1"/>
  <c r="AF18" i="1"/>
  <c r="AB18" i="1"/>
  <c r="AF6" i="1"/>
  <c r="AB6" i="1"/>
  <c r="AF10" i="1"/>
  <c r="AB10" i="1"/>
  <c r="AF64" i="1"/>
  <c r="AO64" i="1" s="1"/>
  <c r="AM64" i="1" s="1"/>
  <c r="AF33" i="1"/>
  <c r="AB33" i="1"/>
  <c r="X33" i="1"/>
  <c r="AF17" i="1"/>
  <c r="AB17" i="1"/>
  <c r="AF9" i="1"/>
  <c r="AB9" i="1"/>
  <c r="AF4" i="1"/>
  <c r="AB4" i="1"/>
  <c r="AF62" i="1"/>
  <c r="AB62" i="1"/>
  <c r="X62" i="1"/>
  <c r="AF63" i="1"/>
  <c r="AB63" i="1"/>
  <c r="AF49" i="1"/>
  <c r="AB49" i="1"/>
  <c r="AF13" i="1"/>
  <c r="AB13" i="1"/>
  <c r="AF12" i="1"/>
  <c r="AB12" i="1"/>
  <c r="AF76" i="1"/>
  <c r="AB76" i="1"/>
  <c r="X76" i="1"/>
  <c r="AF75" i="1"/>
  <c r="AB75" i="1"/>
  <c r="AF60" i="1"/>
  <c r="AO60" i="1" s="1"/>
  <c r="AM60" i="1" s="1"/>
  <c r="AF59" i="1"/>
  <c r="AB59" i="1"/>
  <c r="X59" i="1"/>
  <c r="AF58" i="1"/>
  <c r="AB58" i="1"/>
  <c r="AF74" i="1"/>
  <c r="AB74" i="1"/>
  <c r="AF57" i="1"/>
  <c r="AB57" i="1"/>
  <c r="AF56" i="1"/>
  <c r="AB56" i="1"/>
  <c r="AF48" i="1"/>
  <c r="AB48" i="1"/>
  <c r="AF73" i="1"/>
  <c r="AB73" i="1"/>
  <c r="AF47" i="1"/>
  <c r="AB47" i="1"/>
  <c r="AF46" i="1"/>
  <c r="AB46" i="1"/>
  <c r="AF45" i="1"/>
  <c r="AB45" i="1"/>
  <c r="AF44" i="1"/>
  <c r="AB44" i="1"/>
  <c r="AF82" i="1"/>
  <c r="AB82" i="1"/>
  <c r="AF94" i="1"/>
  <c r="AB94" i="1"/>
  <c r="AF93" i="1"/>
  <c r="AB93" i="1"/>
  <c r="AF72" i="1"/>
  <c r="AB72" i="1"/>
  <c r="X72" i="1"/>
  <c r="AF71" i="1"/>
  <c r="AB71" i="1"/>
  <c r="AF43" i="1"/>
  <c r="AB43" i="1"/>
  <c r="X43" i="1"/>
  <c r="AF55" i="1"/>
  <c r="AB55" i="1"/>
  <c r="X55" i="1"/>
  <c r="AF54" i="1"/>
  <c r="AB54" i="1"/>
  <c r="AF42" i="1"/>
  <c r="AB42" i="1"/>
  <c r="AF41" i="1"/>
  <c r="AB41" i="1"/>
  <c r="AF22" i="1"/>
  <c r="AB22" i="1"/>
  <c r="AF92" i="1"/>
  <c r="AB92" i="1"/>
  <c r="AF31" i="1"/>
  <c r="AB31" i="1"/>
  <c r="AF40" i="1"/>
  <c r="AB40" i="1"/>
  <c r="AF30" i="1"/>
  <c r="AB30" i="1"/>
  <c r="AF81" i="1"/>
  <c r="AB81" i="1"/>
  <c r="R81" i="1"/>
  <c r="T81" i="1" s="1"/>
  <c r="AF70" i="1"/>
  <c r="AB70" i="1"/>
  <c r="AF69" i="1"/>
  <c r="AB69" i="1"/>
  <c r="U69" i="1"/>
  <c r="S69" i="1"/>
  <c r="R69" i="1"/>
  <c r="AF53" i="1"/>
  <c r="AB53" i="1"/>
  <c r="U53" i="1"/>
  <c r="S53" i="1"/>
  <c r="R53" i="1"/>
  <c r="AF27" i="1"/>
  <c r="AB27" i="1"/>
  <c r="U27" i="1"/>
  <c r="S27" i="1"/>
  <c r="R27" i="1"/>
  <c r="AF39" i="1"/>
  <c r="AB39" i="1"/>
  <c r="X39" i="1"/>
  <c r="U39" i="1"/>
  <c r="S39" i="1"/>
  <c r="R39" i="1"/>
  <c r="AF80" i="1"/>
  <c r="AB80" i="1"/>
  <c r="U80" i="1"/>
  <c r="S80" i="1"/>
  <c r="R80" i="1"/>
  <c r="AF79" i="1"/>
  <c r="AB79" i="1"/>
  <c r="U79" i="1"/>
  <c r="S79" i="1"/>
  <c r="R79" i="1"/>
  <c r="AF8" i="1"/>
  <c r="AB8" i="1"/>
  <c r="X8" i="1"/>
  <c r="U8" i="1"/>
  <c r="S8" i="1"/>
  <c r="R8" i="1"/>
  <c r="AF5" i="1"/>
  <c r="AB5" i="1"/>
  <c r="U5" i="1"/>
  <c r="S5" i="1"/>
  <c r="R5" i="1"/>
  <c r="AF7" i="1"/>
  <c r="AB7" i="1"/>
  <c r="U7" i="1"/>
  <c r="S7" i="1"/>
  <c r="R7" i="1"/>
  <c r="AF3" i="1"/>
  <c r="U3" i="1"/>
  <c r="S3" i="1"/>
  <c r="R3" i="1"/>
  <c r="AF78" i="1"/>
  <c r="AB78" i="1"/>
  <c r="U78" i="1"/>
  <c r="S78" i="1"/>
  <c r="R78" i="1"/>
  <c r="AF21" i="1"/>
  <c r="AB21" i="1"/>
  <c r="U21" i="1"/>
  <c r="S21" i="1"/>
  <c r="R21" i="1"/>
  <c r="AF91" i="1"/>
  <c r="AB91" i="1"/>
  <c r="X91" i="1"/>
  <c r="U91" i="1"/>
  <c r="S91" i="1"/>
  <c r="R91" i="1"/>
  <c r="AF90" i="1"/>
  <c r="AB90" i="1"/>
  <c r="U90" i="1"/>
  <c r="S90" i="1"/>
  <c r="R90" i="1"/>
  <c r="AF29" i="1"/>
  <c r="AB29" i="1"/>
  <c r="X29" i="1"/>
  <c r="U29" i="1"/>
  <c r="S29" i="1"/>
  <c r="R29" i="1"/>
  <c r="AF16" i="1"/>
  <c r="AO16" i="1" s="1"/>
  <c r="AM16" i="1" s="1"/>
  <c r="X16" i="1"/>
  <c r="U16" i="1"/>
  <c r="S16" i="1"/>
  <c r="R16" i="1"/>
  <c r="AF52" i="1"/>
  <c r="AB52" i="1"/>
  <c r="U52" i="1"/>
  <c r="S52" i="1"/>
  <c r="R52" i="1"/>
  <c r="AF38" i="1"/>
  <c r="AB38" i="1"/>
  <c r="U38" i="1"/>
  <c r="S38" i="1"/>
  <c r="R38" i="1"/>
  <c r="AF89" i="1"/>
  <c r="AB89" i="1"/>
  <c r="U89" i="1"/>
  <c r="S89" i="1"/>
  <c r="R89" i="1"/>
  <c r="AF88" i="1"/>
  <c r="AB88" i="1"/>
  <c r="U88" i="1"/>
  <c r="S88" i="1"/>
  <c r="R88" i="1"/>
  <c r="AF87" i="1"/>
  <c r="AB87" i="1"/>
  <c r="X87" i="1"/>
  <c r="U87" i="1"/>
  <c r="S87" i="1"/>
  <c r="R87" i="1"/>
  <c r="AF26" i="1"/>
  <c r="AB26" i="1"/>
  <c r="X26" i="1"/>
  <c r="U26" i="1"/>
  <c r="S26" i="1"/>
  <c r="AF11" i="1"/>
  <c r="AB11" i="1"/>
  <c r="X11" i="1"/>
  <c r="U11" i="1"/>
  <c r="S11" i="1"/>
  <c r="R11" i="1"/>
  <c r="AF15" i="1"/>
  <c r="AB15" i="1"/>
  <c r="X15" i="1"/>
  <c r="U15" i="1"/>
  <c r="S15" i="1"/>
  <c r="R15" i="1"/>
  <c r="AF68" i="1"/>
  <c r="AB68" i="1"/>
  <c r="X68" i="1"/>
  <c r="U68" i="1"/>
  <c r="S68" i="1"/>
  <c r="R68" i="1"/>
  <c r="AF51" i="1"/>
  <c r="AB51" i="1"/>
  <c r="X51" i="1"/>
  <c r="U51" i="1"/>
  <c r="S51" i="1"/>
  <c r="R51" i="1"/>
  <c r="AF86" i="1"/>
  <c r="AB86" i="1"/>
  <c r="X86" i="1"/>
  <c r="U86" i="1"/>
  <c r="S86" i="1"/>
  <c r="R86" i="1"/>
  <c r="AF85" i="1"/>
  <c r="AB85" i="1"/>
  <c r="X85" i="1"/>
  <c r="U85" i="1"/>
  <c r="S85" i="1"/>
  <c r="R85" i="1"/>
  <c r="AF84" i="1"/>
  <c r="AB84" i="1"/>
  <c r="X84" i="1"/>
  <c r="U84" i="1"/>
  <c r="S84" i="1"/>
  <c r="R84" i="1"/>
  <c r="AF37" i="1"/>
  <c r="AB37" i="1"/>
  <c r="U37" i="1"/>
  <c r="S37" i="1"/>
  <c r="R37" i="1"/>
  <c r="AF36" i="1"/>
  <c r="AB36" i="1"/>
  <c r="X36" i="1"/>
  <c r="U36" i="1"/>
  <c r="S36" i="1"/>
  <c r="R36" i="1"/>
  <c r="AF83" i="1"/>
  <c r="AB83" i="1"/>
  <c r="U83" i="1"/>
  <c r="S83" i="1"/>
  <c r="R83" i="1"/>
  <c r="AF67" i="1"/>
  <c r="AB67" i="1"/>
  <c r="U67" i="1"/>
  <c r="S67" i="1"/>
  <c r="R67" i="1"/>
  <c r="AF25" i="1"/>
  <c r="AB25" i="1"/>
  <c r="X25" i="1"/>
  <c r="U25" i="1"/>
  <c r="S25" i="1"/>
  <c r="R25" i="1"/>
  <c r="AF66" i="1"/>
  <c r="AB66" i="1"/>
  <c r="X66" i="1"/>
  <c r="U66" i="1"/>
  <c r="S66" i="1"/>
  <c r="R66" i="1"/>
  <c r="AF28" i="1"/>
  <c r="AB28" i="1"/>
  <c r="X28" i="1"/>
  <c r="U28" i="1"/>
  <c r="S28" i="1"/>
  <c r="R28" i="1"/>
  <c r="AF65" i="1"/>
  <c r="AB65" i="1"/>
  <c r="X65" i="1"/>
  <c r="U65" i="1"/>
  <c r="S65" i="1"/>
  <c r="R65" i="1"/>
  <c r="AF35" i="1"/>
  <c r="AB35" i="1"/>
  <c r="X35" i="1"/>
  <c r="U35" i="1"/>
  <c r="S35" i="1"/>
  <c r="R35" i="1"/>
  <c r="AF50" i="1"/>
  <c r="AB50" i="1"/>
  <c r="X50" i="1"/>
  <c r="U50" i="1"/>
  <c r="S50" i="1"/>
  <c r="R50" i="1"/>
  <c r="AF34" i="1"/>
  <c r="AB34" i="1"/>
  <c r="X34" i="1"/>
  <c r="W34" i="1"/>
  <c r="U34" i="1"/>
  <c r="S34" i="1"/>
  <c r="R34" i="1"/>
  <c r="AF23" i="1"/>
  <c r="AB23" i="1"/>
  <c r="X23" i="1"/>
  <c r="U23" i="1"/>
  <c r="S23" i="1"/>
  <c r="R23" i="1"/>
  <c r="AO20" i="1" l="1"/>
  <c r="AL20" i="1" s="1"/>
  <c r="AO24" i="1"/>
  <c r="AM24" i="1" s="1"/>
  <c r="T88" i="1"/>
  <c r="T16" i="1"/>
  <c r="T91" i="1"/>
  <c r="T3" i="1"/>
  <c r="T7" i="1"/>
  <c r="T79" i="1"/>
  <c r="T27" i="1"/>
  <c r="T34" i="1"/>
  <c r="T85" i="1"/>
  <c r="T51" i="1"/>
  <c r="T15" i="1"/>
  <c r="T26" i="1"/>
  <c r="AO23" i="1"/>
  <c r="AM23" i="1" s="1"/>
  <c r="AO35" i="1"/>
  <c r="AM35" i="1" s="1"/>
  <c r="T65" i="1"/>
  <c r="T66" i="1"/>
  <c r="T67" i="1"/>
  <c r="T37" i="1"/>
  <c r="T89" i="1"/>
  <c r="T29" i="1"/>
  <c r="T5" i="1"/>
  <c r="T80" i="1"/>
  <c r="T53" i="1"/>
  <c r="T23" i="1"/>
  <c r="T83" i="1"/>
  <c r="T87" i="1"/>
  <c r="T38" i="1"/>
  <c r="T8" i="1"/>
  <c r="T39" i="1"/>
  <c r="T69" i="1"/>
  <c r="T86" i="1"/>
  <c r="T68" i="1"/>
  <c r="T11" i="1"/>
  <c r="T21" i="1"/>
  <c r="T50" i="1"/>
  <c r="T28" i="1"/>
  <c r="T25" i="1"/>
  <c r="T36" i="1"/>
  <c r="T52" i="1"/>
  <c r="T90" i="1"/>
  <c r="T78" i="1"/>
  <c r="T35" i="1"/>
  <c r="T84" i="1"/>
  <c r="AN64" i="1"/>
  <c r="AO14" i="1"/>
  <c r="AL14" i="1" s="1"/>
  <c r="AO31" i="1"/>
  <c r="AM31" i="1" s="1"/>
  <c r="AN2" i="1"/>
  <c r="AO19" i="1"/>
  <c r="AL19" i="1" s="1"/>
  <c r="AO77" i="1"/>
  <c r="AL77" i="1" s="1"/>
  <c r="AO30" i="1"/>
  <c r="AL30" i="1" s="1"/>
  <c r="AO22" i="1"/>
  <c r="AN16" i="1"/>
  <c r="AO11" i="1"/>
  <c r="AO33" i="1"/>
  <c r="AL33" i="1" s="1"/>
  <c r="AM2" i="1"/>
  <c r="AL24" i="1"/>
  <c r="AL64" i="1"/>
  <c r="AL16" i="1"/>
  <c r="AO67" i="1"/>
  <c r="AL67" i="1" s="1"/>
  <c r="AO51" i="1"/>
  <c r="AL51" i="1" s="1"/>
  <c r="AN60" i="1"/>
  <c r="AO3" i="1"/>
  <c r="AL3" i="1" s="1"/>
  <c r="AM20" i="1"/>
  <c r="AN20" i="1"/>
  <c r="AL60" i="1"/>
  <c r="AO49" i="1"/>
  <c r="AL49" i="1" s="1"/>
  <c r="AO73" i="1"/>
  <c r="AL73" i="1" s="1"/>
  <c r="AO5" i="1"/>
  <c r="AO80" i="1"/>
  <c r="AO42" i="1"/>
  <c r="AO43" i="1"/>
  <c r="AO48" i="1"/>
  <c r="AL48" i="1" s="1"/>
  <c r="AO58" i="1"/>
  <c r="AL58" i="1" s="1"/>
  <c r="AO62" i="1"/>
  <c r="AO18" i="1"/>
  <c r="AL18" i="1" s="1"/>
  <c r="AO38" i="1"/>
  <c r="AO29" i="1"/>
  <c r="AL29" i="1" s="1"/>
  <c r="AO69" i="1"/>
  <c r="AO74" i="1"/>
  <c r="AL74" i="1" s="1"/>
  <c r="AO61" i="1"/>
  <c r="AL61" i="1" s="1"/>
  <c r="AO90" i="1"/>
  <c r="AO78" i="1"/>
  <c r="AO72" i="1"/>
  <c r="AL72" i="1" s="1"/>
  <c r="AO94" i="1"/>
  <c r="AL94" i="1" s="1"/>
  <c r="AO44" i="1"/>
  <c r="AO46" i="1"/>
  <c r="AO76" i="1"/>
  <c r="AO13" i="1"/>
  <c r="AL13" i="1" s="1"/>
  <c r="AO50" i="1"/>
  <c r="AO83" i="1"/>
  <c r="AL83" i="1" s="1"/>
  <c r="AO75" i="1"/>
  <c r="AL75" i="1" s="1"/>
  <c r="AO4" i="1"/>
  <c r="AL4" i="1" s="1"/>
  <c r="AO6" i="1"/>
  <c r="AO32" i="1"/>
  <c r="AL32" i="1" s="1"/>
  <c r="AO91" i="1"/>
  <c r="AO7" i="1"/>
  <c r="AL7" i="1" s="1"/>
  <c r="AO27" i="1"/>
  <c r="AO89" i="1"/>
  <c r="AL89" i="1" s="1"/>
  <c r="AO47" i="1"/>
  <c r="AO65" i="1"/>
  <c r="AL65" i="1" s="1"/>
  <c r="AO66" i="1"/>
  <c r="AL66" i="1" s="1"/>
  <c r="AO25" i="1"/>
  <c r="AL25" i="1" s="1"/>
  <c r="AO84" i="1"/>
  <c r="AO86" i="1"/>
  <c r="AO68" i="1"/>
  <c r="AL68" i="1" s="1"/>
  <c r="AO88" i="1"/>
  <c r="AO8" i="1"/>
  <c r="AO81" i="1"/>
  <c r="AO71" i="1"/>
  <c r="AL71" i="1" s="1"/>
  <c r="AO59" i="1"/>
  <c r="AO9" i="1"/>
  <c r="AO85" i="1"/>
  <c r="AO63" i="1"/>
  <c r="AO15" i="1"/>
  <c r="AL15" i="1" s="1"/>
  <c r="AO17" i="1"/>
  <c r="AO34" i="1"/>
  <c r="AO87" i="1"/>
  <c r="AO52" i="1"/>
  <c r="AL52" i="1" s="1"/>
  <c r="AO21" i="1"/>
  <c r="AL21" i="1" s="1"/>
  <c r="AO79" i="1"/>
  <c r="AL79" i="1" s="1"/>
  <c r="AO57" i="1"/>
  <c r="AL57" i="1" s="1"/>
  <c r="AO10" i="1"/>
  <c r="AL10" i="1" s="1"/>
  <c r="AO28" i="1"/>
  <c r="AO36" i="1"/>
  <c r="AO37" i="1"/>
  <c r="AL37" i="1" s="1"/>
  <c r="AO26" i="1"/>
  <c r="AL26" i="1" s="1"/>
  <c r="AO53" i="1"/>
  <c r="AO70" i="1"/>
  <c r="AO40" i="1"/>
  <c r="AO92" i="1"/>
  <c r="AL92" i="1" s="1"/>
  <c r="AO55" i="1"/>
  <c r="AO93" i="1"/>
  <c r="AL93" i="1" s="1"/>
  <c r="AO82" i="1"/>
  <c r="AL82" i="1" s="1"/>
  <c r="AO56" i="1"/>
  <c r="AL56" i="1" s="1"/>
  <c r="AO12" i="1"/>
  <c r="AO39" i="1"/>
  <c r="AO41" i="1"/>
  <c r="AO54" i="1"/>
  <c r="AO45" i="1"/>
  <c r="AN35" i="1" l="1"/>
  <c r="AN24" i="1"/>
  <c r="AN31" i="1"/>
  <c r="AL31" i="1"/>
  <c r="AL35" i="1"/>
  <c r="AL23" i="1"/>
  <c r="AM14" i="1"/>
  <c r="AN23" i="1"/>
  <c r="AN14" i="1"/>
  <c r="AN77" i="1"/>
  <c r="AM19" i="1"/>
  <c r="AN19" i="1"/>
  <c r="AM77" i="1"/>
  <c r="AM39" i="1"/>
  <c r="AN39" i="1"/>
  <c r="AN93" i="1"/>
  <c r="AM93" i="1"/>
  <c r="AM70" i="1"/>
  <c r="AN70" i="1"/>
  <c r="AM36" i="1"/>
  <c r="AN36" i="1"/>
  <c r="AM57" i="1"/>
  <c r="AN57" i="1"/>
  <c r="AM87" i="1"/>
  <c r="AN87" i="1"/>
  <c r="AN63" i="1"/>
  <c r="AM63" i="1"/>
  <c r="AM71" i="1"/>
  <c r="AN71" i="1"/>
  <c r="AN68" i="1"/>
  <c r="AM68" i="1"/>
  <c r="AM66" i="1"/>
  <c r="AN66" i="1"/>
  <c r="AN27" i="1"/>
  <c r="AM27" i="1"/>
  <c r="AN6" i="1"/>
  <c r="AM6" i="1"/>
  <c r="AM50" i="1"/>
  <c r="AN50" i="1"/>
  <c r="AN44" i="1"/>
  <c r="AM44" i="1"/>
  <c r="AN90" i="1"/>
  <c r="AM90" i="1"/>
  <c r="AM69" i="1"/>
  <c r="AN69" i="1"/>
  <c r="AM62" i="1"/>
  <c r="AN62" i="1"/>
  <c r="AM42" i="1"/>
  <c r="AN42" i="1"/>
  <c r="AN49" i="1"/>
  <c r="AM49" i="1"/>
  <c r="AL90" i="1"/>
  <c r="AM11" i="1"/>
  <c r="AN11" i="1"/>
  <c r="AN22" i="1"/>
  <c r="AM22" i="1"/>
  <c r="AL42" i="1"/>
  <c r="AL11" i="1"/>
  <c r="AL87" i="1"/>
  <c r="AL39" i="1"/>
  <c r="AN45" i="1"/>
  <c r="AM45" i="1"/>
  <c r="AM12" i="1"/>
  <c r="AN12" i="1"/>
  <c r="AN55" i="1"/>
  <c r="AM55" i="1"/>
  <c r="AN53" i="1"/>
  <c r="AM53" i="1"/>
  <c r="AN79" i="1"/>
  <c r="AM79" i="1"/>
  <c r="AN34" i="1"/>
  <c r="AM34" i="1"/>
  <c r="AM85" i="1"/>
  <c r="AN85" i="1"/>
  <c r="AN81" i="1"/>
  <c r="AM81" i="1"/>
  <c r="AM86" i="1"/>
  <c r="AN86" i="1"/>
  <c r="AN65" i="1"/>
  <c r="AM65" i="1"/>
  <c r="AM7" i="1"/>
  <c r="AN7" i="1"/>
  <c r="AM4" i="1"/>
  <c r="AN4" i="1"/>
  <c r="AM13" i="1"/>
  <c r="AN13" i="1"/>
  <c r="AM94" i="1"/>
  <c r="AN94" i="1"/>
  <c r="AN29" i="1"/>
  <c r="AM29" i="1"/>
  <c r="AN58" i="1"/>
  <c r="AM58" i="1"/>
  <c r="AM80" i="1"/>
  <c r="AN80" i="1"/>
  <c r="AL45" i="1"/>
  <c r="AL81" i="1"/>
  <c r="AL6" i="1"/>
  <c r="AL55" i="1"/>
  <c r="AL63" i="1"/>
  <c r="AL36" i="1"/>
  <c r="AL62" i="1"/>
  <c r="AL80" i="1"/>
  <c r="AL86" i="1"/>
  <c r="AL70" i="1"/>
  <c r="AL12" i="1"/>
  <c r="AN54" i="1"/>
  <c r="AM54" i="1"/>
  <c r="AM56" i="1"/>
  <c r="AN56" i="1"/>
  <c r="AN92" i="1"/>
  <c r="AM92" i="1"/>
  <c r="AN26" i="1"/>
  <c r="AM26" i="1"/>
  <c r="AN28" i="1"/>
  <c r="AM28" i="1"/>
  <c r="AM21" i="1"/>
  <c r="AN21" i="1"/>
  <c r="AN17" i="1"/>
  <c r="AM17" i="1"/>
  <c r="AN9" i="1"/>
  <c r="AM9" i="1"/>
  <c r="AN8" i="1"/>
  <c r="AM8" i="1"/>
  <c r="AN84" i="1"/>
  <c r="AM84" i="1"/>
  <c r="AM47" i="1"/>
  <c r="AN47" i="1"/>
  <c r="AM91" i="1"/>
  <c r="AN91" i="1"/>
  <c r="AN75" i="1"/>
  <c r="AM75" i="1"/>
  <c r="AN76" i="1"/>
  <c r="AM76" i="1"/>
  <c r="AN72" i="1"/>
  <c r="AM72" i="1"/>
  <c r="AM61" i="1"/>
  <c r="AN61" i="1"/>
  <c r="AN38" i="1"/>
  <c r="AM38" i="1"/>
  <c r="AN48" i="1"/>
  <c r="AM48" i="1"/>
  <c r="AM5" i="1"/>
  <c r="AN5" i="1"/>
  <c r="AL9" i="1"/>
  <c r="AN3" i="1"/>
  <c r="AM3" i="1"/>
  <c r="AL8" i="1"/>
  <c r="AN67" i="1"/>
  <c r="AM67" i="1"/>
  <c r="AM33" i="1"/>
  <c r="AN33" i="1"/>
  <c r="AL76" i="1"/>
  <c r="AN30" i="1"/>
  <c r="AM30" i="1"/>
  <c r="AL5" i="1"/>
  <c r="AM41" i="1"/>
  <c r="AN41" i="1"/>
  <c r="AM82" i="1"/>
  <c r="AN82" i="1"/>
  <c r="AM40" i="1"/>
  <c r="AN40" i="1"/>
  <c r="AL40" i="1"/>
  <c r="AN37" i="1"/>
  <c r="AM37" i="1"/>
  <c r="AN10" i="1"/>
  <c r="AM10" i="1"/>
  <c r="AM52" i="1"/>
  <c r="AN52" i="1"/>
  <c r="AM15" i="1"/>
  <c r="AN15" i="1"/>
  <c r="AM59" i="1"/>
  <c r="AN59" i="1"/>
  <c r="AL59" i="1"/>
  <c r="AM88" i="1"/>
  <c r="AN88" i="1"/>
  <c r="AN25" i="1"/>
  <c r="AM25" i="1"/>
  <c r="AN89" i="1"/>
  <c r="AM89" i="1"/>
  <c r="AM32" i="1"/>
  <c r="AN32" i="1"/>
  <c r="AM83" i="1"/>
  <c r="AN83" i="1"/>
  <c r="AM46" i="1"/>
  <c r="AN46" i="1"/>
  <c r="AL46" i="1"/>
  <c r="AN78" i="1"/>
  <c r="AM78" i="1"/>
  <c r="AN74" i="1"/>
  <c r="AM74" i="1"/>
  <c r="AM18" i="1"/>
  <c r="AN18" i="1"/>
  <c r="AM43" i="1"/>
  <c r="AN43" i="1"/>
  <c r="AN73" i="1"/>
  <c r="AM73" i="1"/>
  <c r="AL27" i="1"/>
  <c r="AL28" i="1"/>
  <c r="AL54" i="1"/>
  <c r="AL78" i="1"/>
  <c r="AN51" i="1"/>
  <c r="AM51" i="1"/>
  <c r="AL17" i="1"/>
  <c r="AL44" i="1"/>
  <c r="AL38" i="1"/>
  <c r="AL34" i="1"/>
  <c r="AL22" i="1"/>
  <c r="AL53" i="1"/>
  <c r="AL84" i="1"/>
  <c r="AL69" i="1"/>
  <c r="AL43" i="1"/>
  <c r="AL91" i="1"/>
  <c r="AL47" i="1"/>
  <c r="AL88" i="1"/>
  <c r="AL50" i="1"/>
  <c r="AL41" i="1"/>
  <c r="AL85" i="1"/>
</calcChain>
</file>

<file path=xl/sharedStrings.xml><?xml version="1.0" encoding="utf-8"?>
<sst xmlns="http://schemas.openxmlformats.org/spreadsheetml/2006/main" count="593" uniqueCount="228">
  <si>
    <t>Species</t>
  </si>
  <si>
    <t>Key</t>
  </si>
  <si>
    <t>Comments</t>
  </si>
  <si>
    <t>Depredated</t>
  </si>
  <si>
    <t>Notes</t>
  </si>
  <si>
    <t>45 1708 CKR CRO</t>
  </si>
  <si>
    <t>Loggerhead</t>
  </si>
  <si>
    <t>Casey Key</t>
  </si>
  <si>
    <t xml:space="preserve"> -railroad vine
 -salt grass or torpedo grass (seashore dropseed)</t>
  </si>
  <si>
    <t xml:space="preserve"> -small roots</t>
  </si>
  <si>
    <t xml:space="preserve"> -live hatchling had a deformed carapace
 -deformation may have occurred due to roots or heat from being stuck in the nest from roots
 -both hatchlings found were stuck in the nest due to the roots</t>
  </si>
  <si>
    <t>41 933 CKR CRO</t>
  </si>
  <si>
    <t xml:space="preserve"> -railroad vine</t>
  </si>
  <si>
    <t xml:space="preserve"> -large and small roots</t>
  </si>
  <si>
    <t xml:space="preserve"> -of unhatched eggs, one was pipped 
(egg was broken open but hatchling was not formed fully)</t>
  </si>
  <si>
    <t>47 1143 CKR BAB</t>
  </si>
  <si>
    <t>n/a</t>
  </si>
  <si>
    <t xml:space="preserve"> -nest on opon beach
 -one deformed hatchling</t>
  </si>
  <si>
    <t>48 933 CKR CRO</t>
  </si>
  <si>
    <t xml:space="preserve"> -sea oats</t>
  </si>
  <si>
    <t xml:space="preserve"> -root prenetration
 -criss crossing roots
 create web in nest</t>
  </si>
  <si>
    <t xml:space="preserve"> -nest was very close to surface, upper eggs were "cooked"
   -could roots have made it hard to lay and dig deep?</t>
  </si>
  <si>
    <t>49 417 CKR CRO</t>
  </si>
  <si>
    <t xml:space="preserve"> -railroad vine
 -sea oats
 -crested saltbush</t>
  </si>
  <si>
    <t xml:space="preserve"> -no roots in nest, but near vegetation with shorter roots (beach morning glory)</t>
  </si>
  <si>
    <t>49 1500 CKR RPW</t>
  </si>
  <si>
    <t>50 427 CKR CRO</t>
  </si>
  <si>
    <t xml:space="preserve"> -first egg was very far up from the rest of the eggs</t>
  </si>
  <si>
    <t xml:space="preserve"> -sea oats
 -railroad vine</t>
  </si>
  <si>
    <t>53 1404 CKR RPW</t>
  </si>
  <si>
    <t xml:space="preserve"> -penetration of sea 
oat roots into nest</t>
  </si>
  <si>
    <t>52 209 CKR ZLF</t>
  </si>
  <si>
    <t>49 1408 CKR RPW</t>
  </si>
  <si>
    <t>55 1105 CKR BAB</t>
  </si>
  <si>
    <t xml:space="preserve"> -sea oats
 -christmas cactus
 -salt grass/torpedo grass/seashore dropseed
 -unknown</t>
  </si>
  <si>
    <t xml:space="preserve"> -penetration of 
sea oat roots into nest 
and through and around 
eggs</t>
  </si>
  <si>
    <t xml:space="preserve"> -incredibly shallow nest
 -roots through and around eggs
 -nest completely in the vegetation</t>
  </si>
  <si>
    <t>49 945 CKR CR0</t>
  </si>
  <si>
    <t xml:space="preserve"> -sea oats on dune</t>
  </si>
  <si>
    <t xml:space="preserve"> -sea oats roots</t>
  </si>
  <si>
    <t xml:space="preserve"> -nest was relatively far from dune, sea oats roots extended into the nest</t>
  </si>
  <si>
    <t>55 819 CKR CRO</t>
  </si>
  <si>
    <t>55 801 CKR CRO</t>
  </si>
  <si>
    <t xml:space="preserve"> -eggs were relatively spread out throughout the nest</t>
  </si>
  <si>
    <t>54 707 CKR BAB</t>
  </si>
  <si>
    <t>54 521 CKR ZLF</t>
  </si>
  <si>
    <t>57 1916 CKR BAB</t>
  </si>
  <si>
    <t xml:space="preserve"> -sea grapes
 -sea purslane</t>
  </si>
  <si>
    <t>47 1804 CKR NAW</t>
  </si>
  <si>
    <t xml:space="preserve"> -sea oats
 -beach naupaka
 -sea grapes
 -palm
 -sea purslane</t>
  </si>
  <si>
    <t>52 1604 CKR KEV</t>
  </si>
  <si>
    <t xml:space="preserve"> -railroad vine
 -sea oats</t>
  </si>
  <si>
    <t xml:space="preserve"> -sea oat roots 
penetrating nest</t>
  </si>
  <si>
    <t>57 801 CKR BAB</t>
  </si>
  <si>
    <t>53 433 CKR RPW</t>
  </si>
  <si>
    <t>54 1011 CKR NAW</t>
  </si>
  <si>
    <t xml:space="preserve"> -sea grapes
 -sea oats</t>
  </si>
  <si>
    <t xml:space="preserve"> -sea oats roots                                                                                                                                                                                                                                           penetrating nests</t>
  </si>
  <si>
    <t>58 941 CKR CRO</t>
  </si>
  <si>
    <t xml:space="preserve"> -ghost crab hole </t>
  </si>
  <si>
    <t>57 1818 CKR KEV</t>
  </si>
  <si>
    <t xml:space="preserve"> -sea purslane
 -sea grapes</t>
  </si>
  <si>
    <t xml:space="preserve"> -small roots in nest 
(not sure what from)</t>
  </si>
  <si>
    <t xml:space="preserve"> -unidentified small roots in the nest</t>
  </si>
  <si>
    <t>61 1316 CKR ZLF</t>
  </si>
  <si>
    <t>61 561 CKR RPW</t>
  </si>
  <si>
    <t>62 1776 CKR KBS</t>
  </si>
  <si>
    <t xml:space="preserve"> -branch in nest blocking hatchling from emerging</t>
  </si>
  <si>
    <t>61 1312 CKR NAW</t>
  </si>
  <si>
    <t xml:space="preserve"> -small roots 
penetrating nest (railroad vine)</t>
  </si>
  <si>
    <t>63 608 SCKR MMS</t>
  </si>
  <si>
    <t xml:space="preserve"> -small roots in nest</t>
  </si>
  <si>
    <t xml:space="preserve"> -seaside sandmat nearby</t>
  </si>
  <si>
    <t>62 2640 CKR CRO</t>
  </si>
  <si>
    <t xml:space="preserve"> -railroad vine roots in nest</t>
  </si>
  <si>
    <t>65 2501 CKR AWP</t>
  </si>
  <si>
    <t xml:space="preserve"> -sea oats
 -railroad vine
 -crested saltbush</t>
  </si>
  <si>
    <t>64 2411 CKR CRO</t>
  </si>
  <si>
    <t xml:space="preserve"> -all invaded eggs were hatched and were invaded by tan roots, while encased were
 all black roots</t>
  </si>
  <si>
    <t>66 2557 CKR RPW</t>
  </si>
  <si>
    <t xml:space="preserve"> -railroad vine roots in
 nest</t>
  </si>
  <si>
    <t>63 1408 CKR BAB</t>
  </si>
  <si>
    <t xml:space="preserve"> -ses oats roots in nest</t>
  </si>
  <si>
    <t>66 1001 CKR CRO</t>
  </si>
  <si>
    <t xml:space="preserve"> -sea oats
 -sea grapes
 -railroad vine</t>
  </si>
  <si>
    <t xml:space="preserve"> -large sea oat root in nest</t>
  </si>
  <si>
    <t>65 945 CKR CRO</t>
  </si>
  <si>
    <t xml:space="preserve"> -sea oats
 -sea grapes</t>
  </si>
  <si>
    <t xml:space="preserve"> -large sea oats roots in nest</t>
  </si>
  <si>
    <t>67 1600 CKR ZLF</t>
  </si>
  <si>
    <t xml:space="preserve"> -railroad vine or sea 
oat roots in nest</t>
  </si>
  <si>
    <t xml:space="preserve"> -neat depredated twice, lost 90 eggs</t>
  </si>
  <si>
    <t>66 1161 CKR CRO</t>
  </si>
  <si>
    <t>66 521 CKR ZLF</t>
  </si>
  <si>
    <t xml:space="preserve"> -salt grass
 -sea oats
 -railroad vine
 -crested saltbush
 -beach purslane</t>
  </si>
  <si>
    <t>68 335 CKR ZLF</t>
  </si>
  <si>
    <t>71 2640 CKR KCK</t>
  </si>
  <si>
    <t xml:space="preserve"> -salt grass
 -sea oats
 -railroad vine
 -crested saltbush
 -beach naupaka</t>
  </si>
  <si>
    <t xml:space="preserve"> -sea oats roots in nest</t>
  </si>
  <si>
    <t xml:space="preserve"> -deep roots in nest
 -36 eggs depredated</t>
  </si>
  <si>
    <t>68 1350 CKR PCB</t>
  </si>
  <si>
    <t xml:space="preserve"> -beach purslane
 -crested saltbush
 -sea grape
 -railroad vine</t>
  </si>
  <si>
    <t>65 615 CKR CRO</t>
  </si>
  <si>
    <t xml:space="preserve"> -sea oats
 -dune sunflower
 -sea purslane
 -sea grape</t>
  </si>
  <si>
    <t xml:space="preserve"> -lots of roots in nest; each egg had at least one small root on it</t>
  </si>
  <si>
    <t>68 1704 CKR AMS</t>
  </si>
  <si>
    <t xml:space="preserve"> -beach purslane
 -sea grape</t>
  </si>
  <si>
    <t>68 1700 CKR PCB</t>
  </si>
  <si>
    <t>67 1316 CKR NAW</t>
  </si>
  <si>
    <t xml:space="preserve"> -railroad vine
 -sea oats
 -sea grape
 -beach naupaka</t>
  </si>
  <si>
    <t xml:space="preserve"> -railroad vine roots
 -very matted in the bottom</t>
  </si>
  <si>
    <t>66 819 CKR CRO</t>
  </si>
  <si>
    <t xml:space="preserve"> -sea oats
 -salt grass
 -beach purslane</t>
  </si>
  <si>
    <t>67 709 CKR KEV</t>
  </si>
  <si>
    <t xml:space="preserve"> -sea oats
 -salt grass
 -railroad vine</t>
  </si>
  <si>
    <t>68 1001 CKR ZLF</t>
  </si>
  <si>
    <t>67 811 CKR NAW</t>
  </si>
  <si>
    <t>65 721 CKR NAW</t>
  </si>
  <si>
    <t>Caey Key</t>
  </si>
  <si>
    <t xml:space="preserve"> -salt grass
 -sea oats
 -sea grape
 -beach naupaka</t>
  </si>
  <si>
    <t xml:space="preserve"> -nest depredated twice, 7 eggs lost</t>
  </si>
  <si>
    <t>71 205 CKR ZLF</t>
  </si>
  <si>
    <t>71 433 CKR KTN</t>
  </si>
  <si>
    <t xml:space="preserve"> -salt grass
 -sea oats</t>
  </si>
  <si>
    <t>71 427 CKR ZLF B</t>
  </si>
  <si>
    <t>Casey key</t>
  </si>
  <si>
    <t>72 205 CKR NAW</t>
  </si>
  <si>
    <t xml:space="preserve"> -beach purslane
 -crested saltbush
 -sea oats 
 -railroad vine
 -seaside spurge (sandmat)</t>
  </si>
  <si>
    <t xml:space="preserve"> -sea oats root in nest</t>
  </si>
  <si>
    <t xml:space="preserve"> -hatchling stuck in roots</t>
  </si>
  <si>
    <t>74 1011 CKR BAB</t>
  </si>
  <si>
    <t xml:space="preserve"> -sea oats
 -salt grass
 -sea grape
 -railroad vine</t>
  </si>
  <si>
    <t>74 945 CKR RPW</t>
  </si>
  <si>
    <t xml:space="preserve"> -sea oats
 -sea purslane</t>
  </si>
  <si>
    <t>70 815CKR RPW</t>
  </si>
  <si>
    <t xml:space="preserve"> -sea oats
 -sea purslane
 -salt grass
 -crested saltbrush</t>
  </si>
  <si>
    <t>73 801 CKR NAW</t>
  </si>
  <si>
    <t xml:space="preserve"> -sea oats
 -railroad vine
 -salt grass</t>
  </si>
  <si>
    <t>73 409 CKR NAW</t>
  </si>
  <si>
    <t>74 805 CKR KEV</t>
  </si>
  <si>
    <t xml:space="preserve"> -sea oats
 -sea purslane
 -salt grass
 -railroad vine</t>
  </si>
  <si>
    <t>76 1143 CKR KEC</t>
  </si>
  <si>
    <t>70 805 CKR KEV</t>
  </si>
  <si>
    <t>70 615 CKR KEV</t>
  </si>
  <si>
    <t xml:space="preserve"> -eggs spread out</t>
  </si>
  <si>
    <t>74 1217 CKR NAW</t>
  </si>
  <si>
    <t xml:space="preserve">79 1161 CKR ZLF </t>
  </si>
  <si>
    <t>71 621 CKR CRO</t>
  </si>
  <si>
    <t>73 309 CKR NAW</t>
  </si>
  <si>
    <t>72 217 CKR ZLF</t>
  </si>
  <si>
    <t>76 1776 CKR KEC</t>
  </si>
  <si>
    <t xml:space="preserve"> -sea purslane
 -sea oats 
 -beach naupaka</t>
  </si>
  <si>
    <t xml:space="preserve"> -sea oats roots in nest
 -sea purslane roots in nest</t>
  </si>
  <si>
    <t>81 2000 CKR NAW</t>
  </si>
  <si>
    <t>74 703 CKR KEV</t>
  </si>
  <si>
    <t>76 329 CKR NAW</t>
  </si>
  <si>
    <t>72 317 CKR NAW</t>
  </si>
  <si>
    <t>77 2701 CKR BAB</t>
  </si>
  <si>
    <t xml:space="preserve"> -railroad vine 
 -sea oats</t>
  </si>
  <si>
    <t xml:space="preserve"> -railroad vine and sea oat roots in nest</t>
  </si>
  <si>
    <t>81 2411 CKR AWP</t>
  </si>
  <si>
    <t>79 2120 CKR NAW</t>
  </si>
  <si>
    <t>75 1161 CKR KTN</t>
  </si>
  <si>
    <t>76 335 CKR BAB</t>
  </si>
  <si>
    <t>78 2315 CKR CRO</t>
  </si>
  <si>
    <t>79 2209 CKR AWP</t>
  </si>
  <si>
    <t>80 2120 CKR NAW</t>
  </si>
  <si>
    <t>76 819 CKR NAW</t>
  </si>
  <si>
    <t>76 815 CKR BAB</t>
  </si>
  <si>
    <t xml:space="preserve"> -sea oats
 -beach purslane</t>
  </si>
  <si>
    <t>ZoneID</t>
  </si>
  <si>
    <t>NestID</t>
  </si>
  <si>
    <t>ExDate</t>
  </si>
  <si>
    <t>VegPresence</t>
  </si>
  <si>
    <t>RootPresence</t>
  </si>
  <si>
    <t>SurfaceDepth</t>
  </si>
  <si>
    <t>BottomDepth</t>
  </si>
  <si>
    <t>CavityWidth</t>
  </si>
  <si>
    <t>Hatched</t>
  </si>
  <si>
    <t>Unhatched</t>
  </si>
  <si>
    <t>LivePip</t>
  </si>
  <si>
    <t>DeadPip</t>
  </si>
  <si>
    <t>Yolkless</t>
  </si>
  <si>
    <t>EncasedTotal</t>
  </si>
  <si>
    <t>InvadedTotal</t>
  </si>
  <si>
    <t>UH_Invaded</t>
  </si>
  <si>
    <t>UH_Encased</t>
  </si>
  <si>
    <t>Developed_UH</t>
  </si>
  <si>
    <t>DevEnc_UH</t>
  </si>
  <si>
    <t>H_Encased</t>
  </si>
  <si>
    <t>Live</t>
  </si>
  <si>
    <t>Dead</t>
  </si>
  <si>
    <t>TotalEggs</t>
  </si>
  <si>
    <t>RootDamageProp</t>
  </si>
  <si>
    <t>HS</t>
  </si>
  <si>
    <t>ES</t>
  </si>
  <si>
    <t>77 1900 CKR AJS</t>
  </si>
  <si>
    <t>InternalDepth</t>
  </si>
  <si>
    <t>H_Invaded</t>
  </si>
  <si>
    <t>94 1812 CKR CRO</t>
  </si>
  <si>
    <t>78 1512 CKR AJS</t>
  </si>
  <si>
    <t>78 1776 CKR CRO</t>
  </si>
  <si>
    <t xml:space="preserve"> -railroad vine roots</t>
  </si>
  <si>
    <t xml:space="preserve"> -unsure of roots in nest</t>
  </si>
  <si>
    <t xml:space="preserve"> -railroad vine
 -sea oats
 -beach purslane</t>
  </si>
  <si>
    <t xml:space="preserve"> -sea oats
 -beach naupaka</t>
  </si>
  <si>
    <t xml:space="preserve">no separation between encased and invaded hatched and unhatched </t>
  </si>
  <si>
    <t>TotalDist</t>
  </si>
  <si>
    <t>Divisions</t>
  </si>
  <si>
    <t>LocOnBeach</t>
  </si>
  <si>
    <t>100 2701 CKR APW</t>
  </si>
  <si>
    <t xml:space="preserve">Loggerhead </t>
  </si>
  <si>
    <t>99 2201 CKR CRO</t>
  </si>
  <si>
    <t xml:space="preserve"> -railorad vine</t>
  </si>
  <si>
    <t xml:space="preserve"> -railroad vine
 -crested saltbush
 -sea oats</t>
  </si>
  <si>
    <t>Long</t>
  </si>
  <si>
    <t>Lat</t>
  </si>
  <si>
    <t>PlantRoot</t>
  </si>
  <si>
    <t>Sea Oats</t>
  </si>
  <si>
    <t>Railroad Vine</t>
  </si>
  <si>
    <t>DistHighWater</t>
  </si>
  <si>
    <t>DistBarrier</t>
  </si>
  <si>
    <t xml:space="preserve"> -4 of the unhatched burst
 -3 green eggs
 -small white worm on one hatched egg</t>
  </si>
  <si>
    <t xml:space="preserve"> -near dune but no vegetation near nest
 -looks like branch in nest </t>
  </si>
  <si>
    <t>55 945 CKR CRO</t>
  </si>
  <si>
    <t>62 1211 CKR KEC</t>
  </si>
  <si>
    <t>67 209 CKR KEV</t>
  </si>
  <si>
    <t>VegType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</si>
</sst>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D1C1D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164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2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164" fontId="0" fillId="0" borderId="0" xfId="0" applyNumberFormat="1"/>
    <xf numFmtId="2" fontId="5" fillId="0" borderId="0" xfId="0" applyNumberFormat="1" applyFont="1"/>
    <xf numFmtId="2" fontId="4" fillId="0" borderId="0" xfId="0" applyNumberFormat="1" applyFont="1"/>
    <xf numFmtId="2" fontId="3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BD03-A704-3C46-97C8-E0B5CD53DC77}">
  <dimension ref="A1:AQ279"/>
  <sheetViews>
    <sheetView tabSelected="1" topLeftCell="I1" workbookViewId="0">
      <pane ySplit="1" topLeftCell="A48" activePane="bottomLeft" state="frozen"/>
      <selection pane="bottomLeft" activeCell="Q66" sqref="Q66"/>
    </sheetView>
  </sheetViews>
  <sheetFormatPr baseColWidth="10" defaultColWidth="11" defaultRowHeight="16" x14ac:dyDescent="0.2"/>
  <cols>
    <col min="1" max="2" width="17.6640625" customWidth="1"/>
    <col min="3" max="4" width="17.6640625" style="8" customWidth="1"/>
    <col min="5" max="6" width="17.6640625" customWidth="1"/>
    <col min="7" max="7" width="11" customWidth="1"/>
    <col min="8" max="8" width="13.6640625" customWidth="1"/>
    <col min="9" max="9" width="19.5" customWidth="1"/>
    <col min="10" max="11" width="12.33203125" customWidth="1"/>
    <col min="12" max="12" width="19.33203125" customWidth="1"/>
    <col min="13" max="13" width="14.5" style="8" customWidth="1"/>
    <col min="14" max="14" width="16.33203125" style="8" customWidth="1"/>
    <col min="15" max="15" width="14.5" style="8" customWidth="1"/>
    <col min="16" max="16" width="14.5" style="12" customWidth="1"/>
    <col min="17" max="17" width="14.5" customWidth="1"/>
    <col min="18" max="18" width="20.33203125" style="13" customWidth="1"/>
    <col min="19" max="20" width="26.5" style="13" customWidth="1"/>
    <col min="21" max="21" width="17.83203125" style="13" customWidth="1"/>
    <col min="22" max="22" width="15.1640625" customWidth="1"/>
    <col min="23" max="23" width="17.33203125" customWidth="1"/>
    <col min="24" max="24" width="20.1640625" customWidth="1"/>
    <col min="25" max="25" width="14.5" customWidth="1"/>
    <col min="26" max="26" width="15.83203125" customWidth="1"/>
    <col min="27" max="27" width="12.1640625" customWidth="1"/>
    <col min="28" max="34" width="11.83203125" customWidth="1"/>
    <col min="35" max="35" width="13" customWidth="1"/>
    <col min="36" max="37" width="14.5" customWidth="1"/>
    <col min="38" max="38" width="15.6640625" style="14" bestFit="1" customWidth="1"/>
    <col min="39" max="40" width="14.5" style="8" customWidth="1"/>
    <col min="41" max="41" width="14.5" customWidth="1"/>
    <col min="42" max="42" width="72.5" customWidth="1"/>
  </cols>
  <sheetData>
    <row r="1" spans="1:43" ht="34" x14ac:dyDescent="0.2">
      <c r="A1" s="1" t="s">
        <v>171</v>
      </c>
      <c r="B1" s="1" t="s">
        <v>170</v>
      </c>
      <c r="C1" s="2" t="s">
        <v>216</v>
      </c>
      <c r="D1" s="2" t="s">
        <v>215</v>
      </c>
      <c r="E1" s="1" t="s">
        <v>172</v>
      </c>
      <c r="F1" s="1" t="s">
        <v>0</v>
      </c>
      <c r="G1" s="1" t="s">
        <v>1</v>
      </c>
      <c r="H1" s="3" t="s">
        <v>173</v>
      </c>
      <c r="I1" s="1" t="s">
        <v>227</v>
      </c>
      <c r="J1" s="3" t="s">
        <v>174</v>
      </c>
      <c r="K1" s="3" t="s">
        <v>217</v>
      </c>
      <c r="L1" s="3" t="s">
        <v>2</v>
      </c>
      <c r="M1" s="4" t="s">
        <v>221</v>
      </c>
      <c r="N1" s="4" t="s">
        <v>220</v>
      </c>
      <c r="O1" s="4" t="s">
        <v>207</v>
      </c>
      <c r="P1" s="5" t="s">
        <v>209</v>
      </c>
      <c r="Q1" s="3" t="s">
        <v>208</v>
      </c>
      <c r="R1" s="6" t="s">
        <v>175</v>
      </c>
      <c r="S1" s="6" t="s">
        <v>176</v>
      </c>
      <c r="T1" s="6" t="s">
        <v>197</v>
      </c>
      <c r="U1" s="6" t="s">
        <v>177</v>
      </c>
      <c r="V1" s="3" t="s">
        <v>178</v>
      </c>
      <c r="W1" s="3" t="s">
        <v>179</v>
      </c>
      <c r="X1" s="3" t="s">
        <v>187</v>
      </c>
      <c r="Y1" s="3" t="s">
        <v>180</v>
      </c>
      <c r="Z1" s="3" t="s">
        <v>181</v>
      </c>
      <c r="AA1" s="3" t="s">
        <v>182</v>
      </c>
      <c r="AB1" s="3" t="s">
        <v>183</v>
      </c>
      <c r="AC1" s="3" t="s">
        <v>188</v>
      </c>
      <c r="AD1" s="3" t="s">
        <v>189</v>
      </c>
      <c r="AE1" s="3" t="s">
        <v>186</v>
      </c>
      <c r="AF1" s="3" t="s">
        <v>184</v>
      </c>
      <c r="AG1" s="3" t="s">
        <v>198</v>
      </c>
      <c r="AH1" s="3" t="s">
        <v>185</v>
      </c>
      <c r="AI1" s="1" t="s">
        <v>190</v>
      </c>
      <c r="AJ1" s="1" t="s">
        <v>191</v>
      </c>
      <c r="AK1" s="1" t="s">
        <v>3</v>
      </c>
      <c r="AL1" s="7" t="s">
        <v>193</v>
      </c>
      <c r="AM1" s="2" t="s">
        <v>194</v>
      </c>
      <c r="AN1" s="2" t="s">
        <v>195</v>
      </c>
      <c r="AO1" s="1" t="s">
        <v>192</v>
      </c>
      <c r="AP1" s="1" t="s">
        <v>4</v>
      </c>
    </row>
    <row r="2" spans="1:43" ht="66" customHeight="1" x14ac:dyDescent="0.2">
      <c r="A2" t="s">
        <v>210</v>
      </c>
      <c r="B2">
        <v>3</v>
      </c>
      <c r="C2" s="8">
        <v>27.16</v>
      </c>
      <c r="D2" s="8">
        <v>-82.48</v>
      </c>
      <c r="E2" s="9">
        <v>44826</v>
      </c>
      <c r="F2" t="s">
        <v>211</v>
      </c>
      <c r="G2" t="s">
        <v>7</v>
      </c>
      <c r="H2">
        <v>1</v>
      </c>
      <c r="I2" s="10" t="s">
        <v>214</v>
      </c>
      <c r="J2" s="10">
        <v>1</v>
      </c>
      <c r="K2" s="10" t="s">
        <v>219</v>
      </c>
      <c r="L2" s="10" t="s">
        <v>202</v>
      </c>
      <c r="M2" s="8">
        <v>10.67</v>
      </c>
      <c r="N2" s="8">
        <v>13.72</v>
      </c>
      <c r="O2" s="11">
        <f t="shared" ref="O2:O9" si="0">M2+N2</f>
        <v>24.39</v>
      </c>
      <c r="P2" s="12">
        <f>1-(M2/O2)</f>
        <v>0.56252562525625249</v>
      </c>
      <c r="Q2" t="str">
        <f t="shared" ref="Q2:Q33" si="1">IF(P2&lt;&gt;"",(IF(P2&gt;0.66,"U",IF(P2&lt;0.33,"L","M"))),"")</f>
        <v>M</v>
      </c>
      <c r="R2" s="13">
        <v>47</v>
      </c>
      <c r="S2" s="13">
        <v>52</v>
      </c>
      <c r="T2" s="13">
        <f t="shared" ref="T2:T33" si="2">S2-R2</f>
        <v>5</v>
      </c>
      <c r="U2" s="13">
        <v>26</v>
      </c>
      <c r="V2" s="13">
        <v>41</v>
      </c>
      <c r="W2" s="13">
        <v>45</v>
      </c>
      <c r="X2" s="8">
        <v>0</v>
      </c>
      <c r="Y2" s="13">
        <v>0</v>
      </c>
      <c r="Z2" s="13">
        <v>1</v>
      </c>
      <c r="AA2" s="13">
        <v>0</v>
      </c>
      <c r="AB2" s="13">
        <f>AD2+AE2</f>
        <v>24</v>
      </c>
      <c r="AC2" s="13">
        <v>6</v>
      </c>
      <c r="AD2" s="13">
        <v>0</v>
      </c>
      <c r="AE2" s="13">
        <v>24</v>
      </c>
      <c r="AF2" s="13">
        <f t="shared" ref="AF2:AF33" si="3">AG2+AH2</f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4">
        <f t="shared" ref="AL2:AL33" si="4">(AB2+AF2)/AO2</f>
        <v>0.21621621621621623</v>
      </c>
      <c r="AM2" s="8">
        <f t="shared" ref="AM2:AM33" si="5">((V2+AD2+AG2)/AO2)*100</f>
        <v>36.936936936936938</v>
      </c>
      <c r="AN2" s="8">
        <f t="shared" ref="AN2:AN33" si="6">(((V2+AD2+AG2)-AJ2-AI2)/AO2)*100</f>
        <v>36.936936936936938</v>
      </c>
      <c r="AO2" s="13">
        <f t="shared" ref="AO2:AO33" si="7">SUM(V2+W2+Y2+Z2+AB2+AF2+AK2)</f>
        <v>111</v>
      </c>
      <c r="AP2" s="13" t="s">
        <v>206</v>
      </c>
    </row>
    <row r="3" spans="1:43" ht="32" customHeight="1" x14ac:dyDescent="0.2">
      <c r="A3" t="s">
        <v>73</v>
      </c>
      <c r="B3">
        <v>3</v>
      </c>
      <c r="C3" s="8">
        <v>27.15879</v>
      </c>
      <c r="D3" s="8">
        <v>-82.486500000000007</v>
      </c>
      <c r="E3" s="9">
        <v>44783</v>
      </c>
      <c r="F3" t="s">
        <v>6</v>
      </c>
      <c r="G3" t="s">
        <v>7</v>
      </c>
      <c r="H3">
        <v>1</v>
      </c>
      <c r="I3" s="10" t="s">
        <v>12</v>
      </c>
      <c r="J3" s="10">
        <v>1</v>
      </c>
      <c r="K3" s="10" t="s">
        <v>219</v>
      </c>
      <c r="L3" s="10" t="s">
        <v>74</v>
      </c>
      <c r="M3" s="8">
        <v>10.667999999999999</v>
      </c>
      <c r="N3" s="8">
        <v>11.5824</v>
      </c>
      <c r="O3" s="11">
        <f t="shared" si="0"/>
        <v>22.250399999999999</v>
      </c>
      <c r="P3" s="12">
        <v>0.52054794520547942</v>
      </c>
      <c r="Q3" t="str">
        <f t="shared" si="1"/>
        <v>M</v>
      </c>
      <c r="R3" s="13">
        <f>(CONVERT(15.5,"in","cm"))</f>
        <v>39.369999999999997</v>
      </c>
      <c r="S3" s="13">
        <f>(CONVERT(19,"in","cm"))</f>
        <v>48.26</v>
      </c>
      <c r="T3" s="13">
        <f t="shared" si="2"/>
        <v>8.89</v>
      </c>
      <c r="U3" s="13">
        <f>(CONVERT(11,"in","cm"))</f>
        <v>27.939999999999998</v>
      </c>
      <c r="V3" s="13">
        <v>87</v>
      </c>
      <c r="W3" s="13">
        <v>10</v>
      </c>
      <c r="X3" s="8">
        <v>0</v>
      </c>
      <c r="Y3" s="13">
        <v>0</v>
      </c>
      <c r="Z3" s="13">
        <v>8</v>
      </c>
      <c r="AA3" s="13">
        <v>0</v>
      </c>
      <c r="AB3" s="13">
        <v>1</v>
      </c>
      <c r="AC3" s="13">
        <v>0</v>
      </c>
      <c r="AD3" s="13">
        <v>0</v>
      </c>
      <c r="AE3" s="13">
        <v>1</v>
      </c>
      <c r="AF3" s="13">
        <f t="shared" si="3"/>
        <v>0</v>
      </c>
      <c r="AG3" s="13">
        <v>0</v>
      </c>
      <c r="AH3" s="13">
        <v>0</v>
      </c>
      <c r="AI3" s="13">
        <v>0</v>
      </c>
      <c r="AJ3" s="13">
        <v>1</v>
      </c>
      <c r="AK3" s="13">
        <v>0</v>
      </c>
      <c r="AL3" s="14">
        <f t="shared" si="4"/>
        <v>9.433962264150943E-3</v>
      </c>
      <c r="AM3" s="8">
        <f t="shared" si="5"/>
        <v>82.075471698113205</v>
      </c>
      <c r="AN3" s="8">
        <f t="shared" si="6"/>
        <v>81.132075471698116</v>
      </c>
      <c r="AO3" s="13">
        <f t="shared" si="7"/>
        <v>106</v>
      </c>
      <c r="AP3" t="s">
        <v>16</v>
      </c>
    </row>
    <row r="4" spans="1:43" ht="34" x14ac:dyDescent="0.2">
      <c r="A4" t="s">
        <v>157</v>
      </c>
      <c r="B4">
        <v>3</v>
      </c>
      <c r="C4" s="15">
        <v>27.161840000000002</v>
      </c>
      <c r="D4" s="15">
        <v>-82.48854</v>
      </c>
      <c r="E4" s="9">
        <v>44797</v>
      </c>
      <c r="F4" t="s">
        <v>6</v>
      </c>
      <c r="G4" t="s">
        <v>7</v>
      </c>
      <c r="H4">
        <v>1</v>
      </c>
      <c r="I4" s="10" t="s">
        <v>158</v>
      </c>
      <c r="J4" s="10">
        <v>1</v>
      </c>
      <c r="K4" s="10" t="s">
        <v>219</v>
      </c>
      <c r="L4" s="10" t="s">
        <v>159</v>
      </c>
      <c r="M4" s="8">
        <v>0.91439999999999999</v>
      </c>
      <c r="N4" s="8">
        <v>18.5928</v>
      </c>
      <c r="O4" s="11">
        <f t="shared" si="0"/>
        <v>19.507200000000001</v>
      </c>
      <c r="P4" s="12">
        <v>0.953125</v>
      </c>
      <c r="Q4" t="str">
        <f t="shared" si="1"/>
        <v>U</v>
      </c>
      <c r="R4" s="13">
        <v>37</v>
      </c>
      <c r="S4" s="13">
        <v>52</v>
      </c>
      <c r="T4" s="13">
        <f t="shared" si="2"/>
        <v>15</v>
      </c>
      <c r="U4" s="13">
        <v>21</v>
      </c>
      <c r="V4" s="13">
        <v>21</v>
      </c>
      <c r="W4" s="13">
        <v>1</v>
      </c>
      <c r="X4" s="8">
        <v>0</v>
      </c>
      <c r="Y4" s="13">
        <v>0</v>
      </c>
      <c r="Z4" s="13">
        <v>0</v>
      </c>
      <c r="AA4" s="13">
        <v>0</v>
      </c>
      <c r="AB4" s="13">
        <f t="shared" ref="AB4:AB15" si="8">AD4+AE4</f>
        <v>2</v>
      </c>
      <c r="AC4" s="13">
        <v>0</v>
      </c>
      <c r="AD4" s="13">
        <v>2</v>
      </c>
      <c r="AE4" s="13">
        <v>0</v>
      </c>
      <c r="AF4" s="13">
        <f t="shared" si="3"/>
        <v>6</v>
      </c>
      <c r="AG4" s="13">
        <v>6</v>
      </c>
      <c r="AH4" s="13">
        <v>0</v>
      </c>
      <c r="AI4" s="13">
        <v>0</v>
      </c>
      <c r="AJ4" s="13">
        <v>0</v>
      </c>
      <c r="AK4" s="13">
        <v>31</v>
      </c>
      <c r="AL4" s="14">
        <f t="shared" si="4"/>
        <v>0.13114754098360656</v>
      </c>
      <c r="AM4" s="8">
        <f t="shared" si="5"/>
        <v>47.540983606557376</v>
      </c>
      <c r="AN4" s="8">
        <f t="shared" si="6"/>
        <v>47.540983606557376</v>
      </c>
      <c r="AO4" s="13">
        <f t="shared" si="7"/>
        <v>61</v>
      </c>
      <c r="AP4" t="s">
        <v>16</v>
      </c>
    </row>
    <row r="5" spans="1:43" ht="34" x14ac:dyDescent="0.2">
      <c r="A5" t="s">
        <v>77</v>
      </c>
      <c r="B5">
        <v>4</v>
      </c>
      <c r="C5" s="8">
        <v>27.15832</v>
      </c>
      <c r="D5" s="8">
        <v>-82.486180000000004</v>
      </c>
      <c r="E5" s="9">
        <v>44783</v>
      </c>
      <c r="F5" t="s">
        <v>6</v>
      </c>
      <c r="G5" t="s">
        <v>7</v>
      </c>
      <c r="H5">
        <v>1</v>
      </c>
      <c r="I5" s="10" t="s">
        <v>12</v>
      </c>
      <c r="J5" s="10">
        <v>1</v>
      </c>
      <c r="K5" s="10" t="s">
        <v>219</v>
      </c>
      <c r="L5" s="10" t="s">
        <v>74</v>
      </c>
      <c r="M5" s="8">
        <v>8.84</v>
      </c>
      <c r="N5" s="8">
        <v>17.68</v>
      </c>
      <c r="O5" s="11">
        <f t="shared" si="0"/>
        <v>26.52</v>
      </c>
      <c r="P5" s="12">
        <f>1-(M5/O5)</f>
        <v>0.66666666666666674</v>
      </c>
      <c r="Q5" t="str">
        <f t="shared" si="1"/>
        <v>U</v>
      </c>
      <c r="R5" s="13">
        <f>(CONVERT(15,"in","cm"))</f>
        <v>38.1</v>
      </c>
      <c r="S5" s="13">
        <f>(CONVERT(18.5,"in","cm"))</f>
        <v>46.989999999999995</v>
      </c>
      <c r="T5" s="13">
        <f t="shared" si="2"/>
        <v>8.8899999999999935</v>
      </c>
      <c r="U5" s="13">
        <f>(CONVERT(9,"in","cm"))</f>
        <v>22.86</v>
      </c>
      <c r="V5" s="13">
        <v>40</v>
      </c>
      <c r="W5" s="13">
        <v>11</v>
      </c>
      <c r="X5" s="8">
        <v>0</v>
      </c>
      <c r="Y5" s="13">
        <v>0</v>
      </c>
      <c r="Z5" s="13">
        <v>0</v>
      </c>
      <c r="AA5" s="13">
        <v>0</v>
      </c>
      <c r="AB5" s="13">
        <f t="shared" si="8"/>
        <v>31</v>
      </c>
      <c r="AC5" s="13">
        <v>0</v>
      </c>
      <c r="AD5" s="13">
        <v>30</v>
      </c>
      <c r="AE5" s="13">
        <v>1</v>
      </c>
      <c r="AF5" s="13">
        <f t="shared" si="3"/>
        <v>5</v>
      </c>
      <c r="AG5" s="13">
        <v>5</v>
      </c>
      <c r="AH5" s="13">
        <v>0</v>
      </c>
      <c r="AI5" s="13">
        <v>0</v>
      </c>
      <c r="AJ5" s="13">
        <v>0</v>
      </c>
      <c r="AK5" s="13">
        <v>0</v>
      </c>
      <c r="AL5" s="14">
        <f t="shared" si="4"/>
        <v>0.41379310344827586</v>
      </c>
      <c r="AM5" s="8">
        <f t="shared" si="5"/>
        <v>86.206896551724128</v>
      </c>
      <c r="AN5" s="8">
        <f t="shared" si="6"/>
        <v>86.206896551724128</v>
      </c>
      <c r="AO5" s="13">
        <f t="shared" si="7"/>
        <v>87</v>
      </c>
      <c r="AP5" s="10" t="s">
        <v>78</v>
      </c>
    </row>
    <row r="6" spans="1:43" ht="34" x14ac:dyDescent="0.2">
      <c r="A6" t="s">
        <v>165</v>
      </c>
      <c r="B6">
        <v>4</v>
      </c>
      <c r="C6" s="15">
        <v>27.155919999999998</v>
      </c>
      <c r="D6" s="15">
        <v>-82.484700000000004</v>
      </c>
      <c r="E6" s="9">
        <v>44798</v>
      </c>
      <c r="F6" t="s">
        <v>6</v>
      </c>
      <c r="G6" t="s">
        <v>7</v>
      </c>
      <c r="H6">
        <v>1</v>
      </c>
      <c r="I6" s="10" t="s">
        <v>12</v>
      </c>
      <c r="J6" s="10">
        <v>1</v>
      </c>
      <c r="K6" s="10" t="s">
        <v>219</v>
      </c>
      <c r="L6" s="10" t="s">
        <v>74</v>
      </c>
      <c r="M6" s="8">
        <v>13.72</v>
      </c>
      <c r="N6" s="8">
        <v>10.36</v>
      </c>
      <c r="O6" s="11">
        <f t="shared" si="0"/>
        <v>24.08</v>
      </c>
      <c r="P6" s="12">
        <f>1-(M6/O6)</f>
        <v>0.43023255813953487</v>
      </c>
      <c r="Q6" t="str">
        <f t="shared" si="1"/>
        <v>M</v>
      </c>
      <c r="R6" s="13">
        <v>29</v>
      </c>
      <c r="S6" s="13">
        <v>49</v>
      </c>
      <c r="T6" s="13">
        <f t="shared" si="2"/>
        <v>20</v>
      </c>
      <c r="U6" s="13">
        <v>18</v>
      </c>
      <c r="V6" s="13">
        <v>92</v>
      </c>
      <c r="W6" s="13">
        <v>12</v>
      </c>
      <c r="X6" s="8">
        <v>0</v>
      </c>
      <c r="Y6" s="13">
        <v>0</v>
      </c>
      <c r="Z6" s="13">
        <v>0</v>
      </c>
      <c r="AA6" s="13">
        <v>0</v>
      </c>
      <c r="AB6" s="13">
        <f t="shared" si="8"/>
        <v>0</v>
      </c>
      <c r="AC6" s="13">
        <v>0</v>
      </c>
      <c r="AD6" s="13">
        <v>0</v>
      </c>
      <c r="AE6" s="13">
        <v>0</v>
      </c>
      <c r="AF6" s="13">
        <f t="shared" si="3"/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4">
        <f t="shared" si="4"/>
        <v>0</v>
      </c>
      <c r="AM6" s="8">
        <f t="shared" si="5"/>
        <v>88.461538461538453</v>
      </c>
      <c r="AN6" s="8">
        <f t="shared" si="6"/>
        <v>88.461538461538453</v>
      </c>
      <c r="AO6" s="13">
        <f t="shared" si="7"/>
        <v>104</v>
      </c>
      <c r="AP6" t="s">
        <v>16</v>
      </c>
    </row>
    <row r="7" spans="1:43" ht="51" x14ac:dyDescent="0.2">
      <c r="A7" t="s">
        <v>75</v>
      </c>
      <c r="B7">
        <v>4</v>
      </c>
      <c r="C7" s="8">
        <v>27.15879</v>
      </c>
      <c r="D7" s="8">
        <v>-82.486500000000007</v>
      </c>
      <c r="E7" s="9">
        <v>44783</v>
      </c>
      <c r="F7" t="s">
        <v>6</v>
      </c>
      <c r="G7" t="s">
        <v>7</v>
      </c>
      <c r="H7">
        <v>1</v>
      </c>
      <c r="I7" s="10" t="s">
        <v>76</v>
      </c>
      <c r="J7" s="10">
        <v>1</v>
      </c>
      <c r="K7" s="10" t="s">
        <v>219</v>
      </c>
      <c r="L7" s="10" t="s">
        <v>74</v>
      </c>
      <c r="M7" s="8">
        <v>15.24</v>
      </c>
      <c r="N7" s="8">
        <v>19.812000000000001</v>
      </c>
      <c r="O7" s="11">
        <f t="shared" si="0"/>
        <v>35.052</v>
      </c>
      <c r="P7" s="12">
        <v>0.56521739130434789</v>
      </c>
      <c r="Q7" t="str">
        <f t="shared" si="1"/>
        <v>M</v>
      </c>
      <c r="R7" s="13">
        <f>(CONVERT(13.5,"in","cm"))</f>
        <v>34.29</v>
      </c>
      <c r="S7" s="13">
        <f>(CONVERT(19,"in","cm"))</f>
        <v>48.26</v>
      </c>
      <c r="T7" s="13">
        <f t="shared" si="2"/>
        <v>13.969999999999999</v>
      </c>
      <c r="U7" s="13">
        <f>(CONVERT(8.5,"in","cm"))</f>
        <v>21.59</v>
      </c>
      <c r="V7" s="13">
        <v>51</v>
      </c>
      <c r="W7" s="13">
        <v>1</v>
      </c>
      <c r="X7" s="8">
        <v>0</v>
      </c>
      <c r="Y7" s="13">
        <v>0</v>
      </c>
      <c r="Z7" s="13">
        <v>1</v>
      </c>
      <c r="AA7" s="13">
        <v>0</v>
      </c>
      <c r="AB7" s="13">
        <f t="shared" si="8"/>
        <v>66</v>
      </c>
      <c r="AC7" s="13">
        <v>0</v>
      </c>
      <c r="AD7" s="13">
        <v>59</v>
      </c>
      <c r="AE7" s="13">
        <v>7</v>
      </c>
      <c r="AF7" s="13">
        <f t="shared" si="3"/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4">
        <f t="shared" si="4"/>
        <v>0.55462184873949583</v>
      </c>
      <c r="AM7" s="8">
        <f t="shared" si="5"/>
        <v>92.436974789915965</v>
      </c>
      <c r="AN7" s="8">
        <f t="shared" si="6"/>
        <v>92.436974789915965</v>
      </c>
      <c r="AO7" s="13">
        <f t="shared" si="7"/>
        <v>119</v>
      </c>
      <c r="AP7" t="s">
        <v>16</v>
      </c>
    </row>
    <row r="8" spans="1:43" ht="34" x14ac:dyDescent="0.2">
      <c r="A8" t="s">
        <v>79</v>
      </c>
      <c r="B8">
        <v>4</v>
      </c>
      <c r="C8" s="8">
        <v>27.160270000000001</v>
      </c>
      <c r="D8" s="8">
        <v>-82.5</v>
      </c>
      <c r="E8" s="9">
        <v>44785</v>
      </c>
      <c r="F8" t="s">
        <v>6</v>
      </c>
      <c r="G8" t="s">
        <v>7</v>
      </c>
      <c r="H8">
        <v>1</v>
      </c>
      <c r="I8" s="10" t="s">
        <v>12</v>
      </c>
      <c r="J8" s="10">
        <v>1</v>
      </c>
      <c r="K8" s="10" t="s">
        <v>219</v>
      </c>
      <c r="L8" s="10" t="s">
        <v>80</v>
      </c>
      <c r="M8" s="8">
        <v>11.2776</v>
      </c>
      <c r="N8" s="8">
        <v>13.411199999999999</v>
      </c>
      <c r="O8" s="11">
        <f t="shared" si="0"/>
        <v>24.688800000000001</v>
      </c>
      <c r="P8" s="12">
        <v>0.54320987654320985</v>
      </c>
      <c r="Q8" t="str">
        <f t="shared" si="1"/>
        <v>M</v>
      </c>
      <c r="R8" s="13">
        <f>(CONVERT(17,"in","cm"))</f>
        <v>43.18</v>
      </c>
      <c r="S8" s="13">
        <f>(CONVERT(19,"in","cm"))</f>
        <v>48.26</v>
      </c>
      <c r="T8" s="13">
        <f t="shared" si="2"/>
        <v>5.0799999999999983</v>
      </c>
      <c r="U8" s="13">
        <f>(CONVERT(9.5,"in","cm"))</f>
        <v>24.13</v>
      </c>
      <c r="V8" s="13">
        <v>70</v>
      </c>
      <c r="W8" s="13">
        <v>6</v>
      </c>
      <c r="X8" s="8">
        <f>(1/6)*100</f>
        <v>16.666666666666664</v>
      </c>
      <c r="Y8" s="13">
        <v>0</v>
      </c>
      <c r="Z8" s="13">
        <v>5</v>
      </c>
      <c r="AA8" s="13">
        <v>0</v>
      </c>
      <c r="AB8" s="13">
        <f t="shared" si="8"/>
        <v>0</v>
      </c>
      <c r="AC8" s="13">
        <v>0</v>
      </c>
      <c r="AD8" s="13">
        <v>0</v>
      </c>
      <c r="AE8" s="13">
        <v>0</v>
      </c>
      <c r="AF8" s="13">
        <f t="shared" si="3"/>
        <v>0</v>
      </c>
      <c r="AG8" s="13">
        <v>0</v>
      </c>
      <c r="AH8" s="13">
        <v>0</v>
      </c>
      <c r="AI8" s="13">
        <v>1</v>
      </c>
      <c r="AJ8" s="13">
        <v>0</v>
      </c>
      <c r="AK8" s="13">
        <v>0</v>
      </c>
      <c r="AL8" s="14">
        <f t="shared" si="4"/>
        <v>0</v>
      </c>
      <c r="AM8" s="8">
        <f t="shared" si="5"/>
        <v>86.419753086419746</v>
      </c>
      <c r="AN8" s="8">
        <f t="shared" si="6"/>
        <v>85.18518518518519</v>
      </c>
      <c r="AO8" s="13">
        <f t="shared" si="7"/>
        <v>81</v>
      </c>
      <c r="AP8" t="s">
        <v>16</v>
      </c>
    </row>
    <row r="9" spans="1:43" ht="34" x14ac:dyDescent="0.2">
      <c r="A9" t="s">
        <v>160</v>
      </c>
      <c r="B9">
        <v>4</v>
      </c>
      <c r="C9" s="15">
        <v>27.158190000000001</v>
      </c>
      <c r="D9" s="15">
        <v>-82.486189999999993</v>
      </c>
      <c r="E9" s="9">
        <v>44797</v>
      </c>
      <c r="F9" t="s">
        <v>6</v>
      </c>
      <c r="G9" t="s">
        <v>7</v>
      </c>
      <c r="H9">
        <v>1</v>
      </c>
      <c r="I9" s="10" t="s">
        <v>12</v>
      </c>
      <c r="J9" s="10">
        <v>1</v>
      </c>
      <c r="K9" s="10" t="s">
        <v>219</v>
      </c>
      <c r="L9" s="10" t="s">
        <v>74</v>
      </c>
      <c r="M9" s="8">
        <v>14.020799999999999</v>
      </c>
      <c r="N9" s="8">
        <v>12.192</v>
      </c>
      <c r="O9" s="11">
        <f t="shared" si="0"/>
        <v>26.212800000000001</v>
      </c>
      <c r="P9" s="12">
        <v>0.46511627906976744</v>
      </c>
      <c r="Q9" t="str">
        <f t="shared" si="1"/>
        <v>M</v>
      </c>
      <c r="R9" s="13">
        <v>33</v>
      </c>
      <c r="S9" s="13">
        <v>51</v>
      </c>
      <c r="T9" s="13">
        <f t="shared" si="2"/>
        <v>18</v>
      </c>
      <c r="U9" s="13">
        <v>26</v>
      </c>
      <c r="V9" s="13">
        <v>67</v>
      </c>
      <c r="W9" s="13">
        <v>1</v>
      </c>
      <c r="X9" s="8">
        <v>0</v>
      </c>
      <c r="Y9" s="13">
        <v>0</v>
      </c>
      <c r="Z9" s="13">
        <v>1</v>
      </c>
      <c r="AA9" s="13">
        <v>0</v>
      </c>
      <c r="AB9" s="13">
        <f t="shared" si="8"/>
        <v>33</v>
      </c>
      <c r="AC9" s="13">
        <v>0</v>
      </c>
      <c r="AD9" s="13">
        <v>25</v>
      </c>
      <c r="AE9" s="13">
        <v>8</v>
      </c>
      <c r="AF9" s="13">
        <f t="shared" si="3"/>
        <v>5</v>
      </c>
      <c r="AG9" s="13">
        <v>5</v>
      </c>
      <c r="AH9" s="13">
        <v>0</v>
      </c>
      <c r="AI9" s="13">
        <v>0</v>
      </c>
      <c r="AJ9" s="13">
        <v>0</v>
      </c>
      <c r="AK9" s="13">
        <v>0</v>
      </c>
      <c r="AL9" s="14">
        <f t="shared" si="4"/>
        <v>0.35514018691588783</v>
      </c>
      <c r="AM9" s="8">
        <f t="shared" si="5"/>
        <v>90.654205607476641</v>
      </c>
      <c r="AN9" s="8">
        <f t="shared" si="6"/>
        <v>90.654205607476641</v>
      </c>
      <c r="AO9" s="13">
        <f t="shared" si="7"/>
        <v>107</v>
      </c>
      <c r="AP9" t="s">
        <v>16</v>
      </c>
    </row>
    <row r="10" spans="1:43" ht="17" x14ac:dyDescent="0.2">
      <c r="A10" t="s">
        <v>164</v>
      </c>
      <c r="B10">
        <v>4</v>
      </c>
      <c r="C10" s="15">
        <v>27.157299999999999</v>
      </c>
      <c r="D10" s="15">
        <v>-82.485600000000005</v>
      </c>
      <c r="E10" s="9">
        <v>44798</v>
      </c>
      <c r="F10" t="s">
        <v>6</v>
      </c>
      <c r="G10" t="s">
        <v>7</v>
      </c>
      <c r="H10">
        <v>1</v>
      </c>
      <c r="I10" s="10" t="s">
        <v>12</v>
      </c>
      <c r="J10" s="10">
        <v>0</v>
      </c>
      <c r="K10" s="10"/>
      <c r="L10" s="10" t="s">
        <v>16</v>
      </c>
      <c r="M10" s="8">
        <v>13.106400000000001</v>
      </c>
      <c r="N10" s="8">
        <v>15.24</v>
      </c>
      <c r="O10" s="11">
        <v>28.346399999999999</v>
      </c>
      <c r="P10" s="12">
        <v>0.5376344086021505</v>
      </c>
      <c r="Q10" t="str">
        <f t="shared" si="1"/>
        <v>M</v>
      </c>
      <c r="R10" s="13">
        <v>39</v>
      </c>
      <c r="S10" s="13">
        <v>48</v>
      </c>
      <c r="T10" s="13">
        <f t="shared" si="2"/>
        <v>9</v>
      </c>
      <c r="U10" s="13">
        <v>22</v>
      </c>
      <c r="V10" s="13">
        <v>77</v>
      </c>
      <c r="W10" s="13">
        <v>14</v>
      </c>
      <c r="X10" s="8">
        <v>0</v>
      </c>
      <c r="Y10" s="13">
        <v>0</v>
      </c>
      <c r="Z10" s="13">
        <v>5</v>
      </c>
      <c r="AA10" s="13">
        <v>0</v>
      </c>
      <c r="AB10" s="13">
        <f t="shared" si="8"/>
        <v>0</v>
      </c>
      <c r="AC10" s="13">
        <v>0</v>
      </c>
      <c r="AD10" s="13">
        <v>0</v>
      </c>
      <c r="AE10" s="13">
        <v>0</v>
      </c>
      <c r="AF10" s="13">
        <f t="shared" si="3"/>
        <v>0</v>
      </c>
      <c r="AG10" s="13">
        <v>0</v>
      </c>
      <c r="AH10" s="13">
        <v>0</v>
      </c>
      <c r="AI10" s="13">
        <v>2</v>
      </c>
      <c r="AJ10" s="13">
        <v>4</v>
      </c>
      <c r="AK10" s="13">
        <v>0</v>
      </c>
      <c r="AL10" s="14">
        <f t="shared" si="4"/>
        <v>0</v>
      </c>
      <c r="AM10" s="8">
        <f t="shared" si="5"/>
        <v>80.208333333333343</v>
      </c>
      <c r="AN10" s="8">
        <f t="shared" si="6"/>
        <v>73.958333333333343</v>
      </c>
      <c r="AO10" s="13">
        <f t="shared" si="7"/>
        <v>96</v>
      </c>
    </row>
    <row r="11" spans="1:43" ht="85" x14ac:dyDescent="0.2">
      <c r="A11" t="s">
        <v>48</v>
      </c>
      <c r="B11">
        <v>5</v>
      </c>
      <c r="C11" s="8">
        <v>27.14866</v>
      </c>
      <c r="D11" s="8">
        <v>-82.480220000000003</v>
      </c>
      <c r="E11" s="9">
        <v>44776</v>
      </c>
      <c r="F11" t="s">
        <v>6</v>
      </c>
      <c r="G11" t="s">
        <v>7</v>
      </c>
      <c r="H11">
        <v>1</v>
      </c>
      <c r="I11" s="10" t="s">
        <v>49</v>
      </c>
      <c r="J11" s="10">
        <v>1</v>
      </c>
      <c r="K11" s="10" t="s">
        <v>218</v>
      </c>
      <c r="L11" s="10" t="s">
        <v>30</v>
      </c>
      <c r="M11" s="8">
        <v>-0.91439999999999999</v>
      </c>
      <c r="N11" s="8">
        <v>17.0688</v>
      </c>
      <c r="O11" s="11">
        <v>16.154399999999999</v>
      </c>
      <c r="P11" s="12">
        <v>1.0566037735849056</v>
      </c>
      <c r="Q11" t="str">
        <f t="shared" si="1"/>
        <v>U</v>
      </c>
      <c r="R11" s="13">
        <f>(CONVERT(14.5,"in","cm"))</f>
        <v>36.83</v>
      </c>
      <c r="S11" s="13">
        <f>(CONVERT(18,"in","cm"))</f>
        <v>45.72</v>
      </c>
      <c r="T11" s="13">
        <f t="shared" si="2"/>
        <v>8.89</v>
      </c>
      <c r="U11" s="13">
        <f>(CONVERT(10,"in","cm"))</f>
        <v>25.4</v>
      </c>
      <c r="V11" s="13">
        <v>66</v>
      </c>
      <c r="W11" s="13">
        <v>5</v>
      </c>
      <c r="X11" s="8">
        <f>(1/5)*100</f>
        <v>20</v>
      </c>
      <c r="Y11" s="13">
        <v>0</v>
      </c>
      <c r="Z11" s="13">
        <v>0</v>
      </c>
      <c r="AA11" s="13">
        <v>0</v>
      </c>
      <c r="AB11" s="13">
        <f t="shared" si="8"/>
        <v>3</v>
      </c>
      <c r="AC11" s="13">
        <v>0</v>
      </c>
      <c r="AD11" s="13">
        <v>0</v>
      </c>
      <c r="AE11" s="13">
        <v>3</v>
      </c>
      <c r="AF11" s="13">
        <f t="shared" si="3"/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4">
        <f t="shared" si="4"/>
        <v>4.0540540540540543E-2</v>
      </c>
      <c r="AM11" s="8">
        <f t="shared" si="5"/>
        <v>89.189189189189193</v>
      </c>
      <c r="AN11" s="8">
        <f t="shared" si="6"/>
        <v>89.189189189189193</v>
      </c>
      <c r="AO11" s="13">
        <f t="shared" si="7"/>
        <v>74</v>
      </c>
      <c r="AP11" s="10" t="s">
        <v>16</v>
      </c>
    </row>
    <row r="12" spans="1:43" ht="68" x14ac:dyDescent="0.2">
      <c r="A12" t="s">
        <v>150</v>
      </c>
      <c r="B12">
        <v>5</v>
      </c>
      <c r="C12" s="16">
        <v>27.14818</v>
      </c>
      <c r="D12" s="16">
        <v>-82.479939999999999</v>
      </c>
      <c r="E12" s="9">
        <v>44796</v>
      </c>
      <c r="F12" t="s">
        <v>6</v>
      </c>
      <c r="G12" t="s">
        <v>7</v>
      </c>
      <c r="H12">
        <v>1</v>
      </c>
      <c r="I12" s="10" t="s">
        <v>151</v>
      </c>
      <c r="J12" s="10">
        <v>1</v>
      </c>
      <c r="K12" s="10" t="s">
        <v>218</v>
      </c>
      <c r="L12" s="10" t="s">
        <v>152</v>
      </c>
      <c r="M12" s="8">
        <v>1.524</v>
      </c>
      <c r="N12" s="8">
        <v>17.6784</v>
      </c>
      <c r="O12" s="11">
        <v>19.202400000000001</v>
      </c>
      <c r="P12" s="12">
        <v>0.92063492063492058</v>
      </c>
      <c r="Q12" t="str">
        <f t="shared" si="1"/>
        <v>U</v>
      </c>
      <c r="R12" s="13">
        <v>34</v>
      </c>
      <c r="S12" s="13">
        <v>42</v>
      </c>
      <c r="T12" s="13">
        <f t="shared" si="2"/>
        <v>8</v>
      </c>
      <c r="U12" s="13">
        <v>21</v>
      </c>
      <c r="V12" s="13">
        <v>7</v>
      </c>
      <c r="W12" s="13">
        <v>0</v>
      </c>
      <c r="X12" s="8">
        <v>0</v>
      </c>
      <c r="Y12" s="13">
        <v>1</v>
      </c>
      <c r="Z12" s="13">
        <v>1</v>
      </c>
      <c r="AA12" s="13">
        <v>0</v>
      </c>
      <c r="AB12" s="13">
        <f t="shared" si="8"/>
        <v>66</v>
      </c>
      <c r="AC12" s="13">
        <v>0</v>
      </c>
      <c r="AD12" s="13">
        <v>59</v>
      </c>
      <c r="AE12" s="13">
        <v>7</v>
      </c>
      <c r="AF12" s="13">
        <f t="shared" si="3"/>
        <v>0</v>
      </c>
      <c r="AG12" s="13">
        <v>0</v>
      </c>
      <c r="AH12" s="13">
        <v>0</v>
      </c>
      <c r="AI12" s="13">
        <v>3</v>
      </c>
      <c r="AJ12" s="13">
        <v>0</v>
      </c>
      <c r="AK12" s="13">
        <v>0</v>
      </c>
      <c r="AL12" s="14">
        <f t="shared" si="4"/>
        <v>0.88</v>
      </c>
      <c r="AM12" s="8">
        <f t="shared" si="5"/>
        <v>88</v>
      </c>
      <c r="AN12" s="8">
        <f t="shared" si="6"/>
        <v>84</v>
      </c>
      <c r="AO12" s="13">
        <f t="shared" si="7"/>
        <v>75</v>
      </c>
    </row>
    <row r="13" spans="1:43" ht="17" x14ac:dyDescent="0.2">
      <c r="A13" t="s">
        <v>153</v>
      </c>
      <c r="B13">
        <v>5</v>
      </c>
      <c r="C13" s="16">
        <v>27.151540000000001</v>
      </c>
      <c r="D13" s="16">
        <v>-82.481999999999999</v>
      </c>
      <c r="E13" s="9">
        <v>44796</v>
      </c>
      <c r="F13" t="s">
        <v>6</v>
      </c>
      <c r="G13" t="s">
        <v>7</v>
      </c>
      <c r="H13">
        <v>1</v>
      </c>
      <c r="I13" s="10" t="s">
        <v>19</v>
      </c>
      <c r="J13" s="10">
        <v>1</v>
      </c>
      <c r="K13" s="10" t="s">
        <v>218</v>
      </c>
      <c r="L13" s="10" t="s">
        <v>39</v>
      </c>
      <c r="M13" s="8">
        <v>3.9624000000000001</v>
      </c>
      <c r="N13" s="8">
        <v>11.2776</v>
      </c>
      <c r="O13" s="11">
        <v>15.24</v>
      </c>
      <c r="P13" s="12">
        <v>0.74</v>
      </c>
      <c r="Q13" t="str">
        <f t="shared" si="1"/>
        <v>U</v>
      </c>
      <c r="R13" s="13">
        <v>44</v>
      </c>
      <c r="S13" s="13">
        <v>53</v>
      </c>
      <c r="T13" s="13">
        <f t="shared" si="2"/>
        <v>9</v>
      </c>
      <c r="U13" s="13">
        <v>24</v>
      </c>
      <c r="V13" s="13">
        <v>54</v>
      </c>
      <c r="W13" s="13">
        <v>3</v>
      </c>
      <c r="X13" s="8">
        <v>0</v>
      </c>
      <c r="Y13" s="13">
        <v>0</v>
      </c>
      <c r="Z13" s="13">
        <v>0</v>
      </c>
      <c r="AA13" s="13">
        <v>0</v>
      </c>
      <c r="AB13" s="13">
        <f t="shared" si="8"/>
        <v>0</v>
      </c>
      <c r="AC13" s="13">
        <v>0</v>
      </c>
      <c r="AD13" s="13">
        <v>0</v>
      </c>
      <c r="AE13" s="13">
        <v>0</v>
      </c>
      <c r="AF13" s="13">
        <f t="shared" si="3"/>
        <v>0</v>
      </c>
      <c r="AG13" s="13">
        <v>0</v>
      </c>
      <c r="AH13" s="13">
        <v>0</v>
      </c>
      <c r="AI13" s="13">
        <v>3</v>
      </c>
      <c r="AJ13" s="13">
        <v>2</v>
      </c>
      <c r="AK13" s="13">
        <v>0</v>
      </c>
      <c r="AL13" s="14">
        <f t="shared" si="4"/>
        <v>0</v>
      </c>
      <c r="AM13" s="8">
        <f t="shared" si="5"/>
        <v>94.73684210526315</v>
      </c>
      <c r="AN13" s="8">
        <f t="shared" si="6"/>
        <v>85.964912280701753</v>
      </c>
      <c r="AO13" s="13">
        <f t="shared" si="7"/>
        <v>57</v>
      </c>
      <c r="AQ13" s="13"/>
    </row>
    <row r="14" spans="1:43" ht="34" x14ac:dyDescent="0.2">
      <c r="A14" t="s">
        <v>201</v>
      </c>
      <c r="B14">
        <v>5</v>
      </c>
      <c r="C14" s="15">
        <v>27.14819</v>
      </c>
      <c r="D14" s="15">
        <v>-82.48</v>
      </c>
      <c r="E14" s="9">
        <v>44813</v>
      </c>
      <c r="F14" t="s">
        <v>6</v>
      </c>
      <c r="G14" t="s">
        <v>7</v>
      </c>
      <c r="H14">
        <v>1</v>
      </c>
      <c r="I14" s="10" t="s">
        <v>205</v>
      </c>
      <c r="J14" s="10">
        <v>1</v>
      </c>
      <c r="K14" s="10" t="s">
        <v>218</v>
      </c>
      <c r="L14" s="10" t="s">
        <v>39</v>
      </c>
      <c r="M14" s="8">
        <v>0.60960000000000003</v>
      </c>
      <c r="N14" s="8">
        <v>21.945599999999999</v>
      </c>
      <c r="O14" s="11">
        <v>22.555199999999999</v>
      </c>
      <c r="P14" s="12">
        <v>0.97297297297297292</v>
      </c>
      <c r="Q14" t="str">
        <f t="shared" si="1"/>
        <v>U</v>
      </c>
      <c r="R14" s="13">
        <v>45</v>
      </c>
      <c r="S14" s="13">
        <v>63</v>
      </c>
      <c r="T14" s="13">
        <f t="shared" si="2"/>
        <v>18</v>
      </c>
      <c r="U14" s="13">
        <v>36</v>
      </c>
      <c r="V14" s="13">
        <v>7</v>
      </c>
      <c r="W14" s="13">
        <v>7</v>
      </c>
      <c r="X14" s="8">
        <v>0</v>
      </c>
      <c r="Y14" s="13">
        <v>0</v>
      </c>
      <c r="Z14" s="13">
        <v>0</v>
      </c>
      <c r="AA14" s="13">
        <v>0</v>
      </c>
      <c r="AB14" s="13">
        <f t="shared" si="8"/>
        <v>12</v>
      </c>
      <c r="AC14" s="13">
        <v>6</v>
      </c>
      <c r="AD14" s="13">
        <v>0</v>
      </c>
      <c r="AE14" s="13">
        <v>12</v>
      </c>
      <c r="AF14" s="13">
        <f t="shared" si="3"/>
        <v>3</v>
      </c>
      <c r="AG14" s="13">
        <v>0</v>
      </c>
      <c r="AH14" s="13">
        <v>3</v>
      </c>
      <c r="AI14" s="13">
        <v>0</v>
      </c>
      <c r="AJ14" s="13">
        <v>0</v>
      </c>
      <c r="AK14" s="13">
        <v>88</v>
      </c>
      <c r="AL14" s="14">
        <f t="shared" si="4"/>
        <v>0.12820512820512819</v>
      </c>
      <c r="AM14" s="8">
        <f t="shared" si="5"/>
        <v>5.982905982905983</v>
      </c>
      <c r="AN14" s="8">
        <f t="shared" si="6"/>
        <v>5.982905982905983</v>
      </c>
      <c r="AO14" s="13">
        <f t="shared" si="7"/>
        <v>117</v>
      </c>
      <c r="AP14" s="13" t="s">
        <v>206</v>
      </c>
      <c r="AQ14" s="13"/>
    </row>
    <row r="15" spans="1:43" ht="34" x14ac:dyDescent="0.2">
      <c r="A15" t="s">
        <v>46</v>
      </c>
      <c r="B15">
        <v>5</v>
      </c>
      <c r="C15" s="8">
        <v>27.15099</v>
      </c>
      <c r="D15" s="8">
        <v>-82.481539999999995</v>
      </c>
      <c r="E15" s="9">
        <v>44776</v>
      </c>
      <c r="F15" t="s">
        <v>6</v>
      </c>
      <c r="G15" t="s">
        <v>7</v>
      </c>
      <c r="H15">
        <v>1</v>
      </c>
      <c r="I15" s="10" t="s">
        <v>47</v>
      </c>
      <c r="J15" s="10">
        <v>0</v>
      </c>
      <c r="K15" s="10"/>
      <c r="L15" s="10" t="s">
        <v>16</v>
      </c>
      <c r="M15" s="8">
        <v>1.8288</v>
      </c>
      <c r="N15" s="8">
        <v>8.5343999999999998</v>
      </c>
      <c r="O15" s="11">
        <v>10.363200000000001</v>
      </c>
      <c r="P15" s="12">
        <v>0.82352941176470584</v>
      </c>
      <c r="Q15" t="str">
        <f t="shared" si="1"/>
        <v>U</v>
      </c>
      <c r="R15" s="13">
        <f>(CONVERT(12.5,"in","cm"))</f>
        <v>31.75</v>
      </c>
      <c r="S15" s="13">
        <f>(CONVERT(17,"in","cm"))</f>
        <v>43.18</v>
      </c>
      <c r="T15" s="13">
        <f t="shared" si="2"/>
        <v>11.43</v>
      </c>
      <c r="U15" s="13">
        <f>(CONVERT(10.5,"in","cm"))</f>
        <v>26.669999999999998</v>
      </c>
      <c r="V15" s="13">
        <v>73</v>
      </c>
      <c r="W15" s="13">
        <v>6</v>
      </c>
      <c r="X15" s="8">
        <f>(1/6)*100</f>
        <v>16.666666666666664</v>
      </c>
      <c r="Y15" s="13">
        <v>0</v>
      </c>
      <c r="Z15" s="13">
        <v>1</v>
      </c>
      <c r="AA15" s="13">
        <v>0</v>
      </c>
      <c r="AB15" s="13">
        <f t="shared" si="8"/>
        <v>0</v>
      </c>
      <c r="AC15" s="13">
        <v>0</v>
      </c>
      <c r="AD15" s="13">
        <v>0</v>
      </c>
      <c r="AE15" s="13">
        <v>0</v>
      </c>
      <c r="AF15" s="13">
        <f t="shared" si="3"/>
        <v>0</v>
      </c>
      <c r="AG15" s="13">
        <v>0</v>
      </c>
      <c r="AH15" s="13">
        <v>0</v>
      </c>
      <c r="AI15" s="13">
        <v>0</v>
      </c>
      <c r="AJ15" s="13">
        <v>1</v>
      </c>
      <c r="AK15" s="13">
        <v>0</v>
      </c>
      <c r="AL15" s="14">
        <f t="shared" si="4"/>
        <v>0</v>
      </c>
      <c r="AM15" s="8">
        <f t="shared" si="5"/>
        <v>91.25</v>
      </c>
      <c r="AN15" s="8">
        <f t="shared" si="6"/>
        <v>90</v>
      </c>
      <c r="AO15" s="13">
        <f t="shared" si="7"/>
        <v>80</v>
      </c>
      <c r="AQ15" s="13"/>
    </row>
    <row r="16" spans="1:43" ht="34" x14ac:dyDescent="0.2">
      <c r="A16" t="s">
        <v>60</v>
      </c>
      <c r="B16">
        <v>5</v>
      </c>
      <c r="C16" s="8">
        <v>27.149239999999999</v>
      </c>
      <c r="D16" s="8">
        <v>-82.480559999999997</v>
      </c>
      <c r="E16" s="9">
        <v>44781</v>
      </c>
      <c r="F16" t="s">
        <v>6</v>
      </c>
      <c r="G16" t="s">
        <v>7</v>
      </c>
      <c r="H16">
        <v>1</v>
      </c>
      <c r="I16" s="10" t="s">
        <v>61</v>
      </c>
      <c r="J16" s="10">
        <v>1</v>
      </c>
      <c r="K16" s="10"/>
      <c r="L16" s="10" t="s">
        <v>62</v>
      </c>
      <c r="M16" s="8">
        <v>3.3527999999999998</v>
      </c>
      <c r="N16" s="8">
        <v>7.62</v>
      </c>
      <c r="O16" s="11">
        <v>10.972799999999999</v>
      </c>
      <c r="P16" s="12">
        <v>0.69444444444444442</v>
      </c>
      <c r="Q16" t="str">
        <f t="shared" si="1"/>
        <v>U</v>
      </c>
      <c r="R16" s="13">
        <f>(CONVERT(16,"in","cm"))</f>
        <v>40.64</v>
      </c>
      <c r="S16" s="13">
        <f>(CONVERT(22,"in","cm"))</f>
        <v>55.879999999999995</v>
      </c>
      <c r="T16" s="13">
        <f t="shared" si="2"/>
        <v>15.239999999999995</v>
      </c>
      <c r="U16" s="13">
        <f>(CONVERT(12,"in","cm"))</f>
        <v>30.48</v>
      </c>
      <c r="V16" s="13">
        <v>40</v>
      </c>
      <c r="W16" s="13">
        <v>9</v>
      </c>
      <c r="X16" s="8">
        <f>(4/9)*100</f>
        <v>44.444444444444443</v>
      </c>
      <c r="Y16" s="13">
        <v>0</v>
      </c>
      <c r="Z16" s="13">
        <v>0</v>
      </c>
      <c r="AA16" s="13">
        <v>0</v>
      </c>
      <c r="AB16" s="13">
        <v>30</v>
      </c>
      <c r="AC16" s="13">
        <v>3</v>
      </c>
      <c r="AD16" s="13">
        <v>0</v>
      </c>
      <c r="AE16" s="13">
        <v>30</v>
      </c>
      <c r="AF16" s="13">
        <f t="shared" si="3"/>
        <v>0</v>
      </c>
      <c r="AG16" s="13">
        <v>0</v>
      </c>
      <c r="AH16" s="13">
        <v>0</v>
      </c>
      <c r="AI16" s="13">
        <v>19</v>
      </c>
      <c r="AJ16" s="13">
        <v>0</v>
      </c>
      <c r="AK16" s="13">
        <v>0</v>
      </c>
      <c r="AL16" s="14">
        <f t="shared" si="4"/>
        <v>0.379746835443038</v>
      </c>
      <c r="AM16" s="8">
        <f t="shared" si="5"/>
        <v>50.632911392405063</v>
      </c>
      <c r="AN16" s="8">
        <f t="shared" si="6"/>
        <v>26.582278481012654</v>
      </c>
      <c r="AO16" s="13">
        <f t="shared" si="7"/>
        <v>79</v>
      </c>
      <c r="AP16" t="s">
        <v>63</v>
      </c>
    </row>
    <row r="17" spans="1:42" ht="17" x14ac:dyDescent="0.2">
      <c r="A17" t="s">
        <v>161</v>
      </c>
      <c r="B17">
        <v>5</v>
      </c>
      <c r="C17" s="15">
        <v>27.154209999999999</v>
      </c>
      <c r="D17" s="15">
        <v>-82.483500000000006</v>
      </c>
      <c r="E17" s="9">
        <v>44797</v>
      </c>
      <c r="F17" t="s">
        <v>6</v>
      </c>
      <c r="G17" t="s">
        <v>7</v>
      </c>
      <c r="H17">
        <v>0</v>
      </c>
      <c r="I17" s="10" t="s">
        <v>16</v>
      </c>
      <c r="J17" s="10">
        <v>0</v>
      </c>
      <c r="K17" s="10"/>
      <c r="L17" s="10" t="s">
        <v>16</v>
      </c>
      <c r="M17" s="8">
        <v>5.7911999999999999</v>
      </c>
      <c r="N17" s="8">
        <v>12.801600000000001</v>
      </c>
      <c r="O17" s="11">
        <v>18.5928</v>
      </c>
      <c r="P17" s="12">
        <v>0.68852459016393441</v>
      </c>
      <c r="Q17" t="str">
        <f t="shared" si="1"/>
        <v>U</v>
      </c>
      <c r="R17" s="13">
        <v>27</v>
      </c>
      <c r="S17" s="13">
        <v>43</v>
      </c>
      <c r="T17" s="13">
        <f t="shared" si="2"/>
        <v>16</v>
      </c>
      <c r="U17" s="13">
        <v>27</v>
      </c>
      <c r="V17" s="13">
        <v>77</v>
      </c>
      <c r="W17" s="13">
        <v>5</v>
      </c>
      <c r="X17" s="8">
        <v>0</v>
      </c>
      <c r="Y17" s="13">
        <v>1</v>
      </c>
      <c r="Z17" s="13">
        <v>0</v>
      </c>
      <c r="AA17" s="13">
        <v>0</v>
      </c>
      <c r="AB17" s="13">
        <f t="shared" ref="AB17:AB59" si="9">AD17+AE17</f>
        <v>0</v>
      </c>
      <c r="AC17" s="13">
        <v>0</v>
      </c>
      <c r="AD17" s="13">
        <v>0</v>
      </c>
      <c r="AE17" s="13">
        <v>0</v>
      </c>
      <c r="AF17" s="13">
        <f t="shared" si="3"/>
        <v>0</v>
      </c>
      <c r="AG17" s="13">
        <v>0</v>
      </c>
      <c r="AH17" s="13">
        <v>0</v>
      </c>
      <c r="AI17" s="13">
        <v>2</v>
      </c>
      <c r="AJ17" s="13">
        <v>0</v>
      </c>
      <c r="AK17" s="13">
        <v>0</v>
      </c>
      <c r="AL17" s="14">
        <f t="shared" si="4"/>
        <v>0</v>
      </c>
      <c r="AM17" s="8">
        <f t="shared" si="5"/>
        <v>92.771084337349393</v>
      </c>
      <c r="AN17" s="8">
        <f t="shared" si="6"/>
        <v>90.361445783132538</v>
      </c>
      <c r="AO17" s="13">
        <f t="shared" si="7"/>
        <v>83</v>
      </c>
    </row>
    <row r="18" spans="1:42" ht="17" x14ac:dyDescent="0.2">
      <c r="A18" t="s">
        <v>166</v>
      </c>
      <c r="B18">
        <v>5</v>
      </c>
      <c r="C18" s="15">
        <v>27.154419999999998</v>
      </c>
      <c r="D18" s="15">
        <v>-82.483599999999996</v>
      </c>
      <c r="E18" s="9">
        <v>44798</v>
      </c>
      <c r="F18" t="s">
        <v>6</v>
      </c>
      <c r="G18" t="s">
        <v>7</v>
      </c>
      <c r="H18">
        <v>0</v>
      </c>
      <c r="I18" s="10" t="s">
        <v>16</v>
      </c>
      <c r="J18" s="10">
        <v>0</v>
      </c>
      <c r="K18" s="10"/>
      <c r="L18" s="10" t="s">
        <v>16</v>
      </c>
      <c r="M18" s="8">
        <v>0.91439999999999999</v>
      </c>
      <c r="N18" s="8">
        <v>18.288</v>
      </c>
      <c r="O18" s="11">
        <v>19.202400000000001</v>
      </c>
      <c r="P18" s="12">
        <v>0.95238095238095233</v>
      </c>
      <c r="Q18" t="str">
        <f t="shared" si="1"/>
        <v>U</v>
      </c>
      <c r="R18" s="13">
        <v>36</v>
      </c>
      <c r="S18" s="13">
        <v>48</v>
      </c>
      <c r="T18" s="13">
        <f t="shared" si="2"/>
        <v>12</v>
      </c>
      <c r="U18" s="13">
        <v>21</v>
      </c>
      <c r="V18" s="13">
        <v>77</v>
      </c>
      <c r="W18" s="13">
        <v>6</v>
      </c>
      <c r="X18" s="8">
        <v>0</v>
      </c>
      <c r="Y18" s="13">
        <v>2</v>
      </c>
      <c r="Z18" s="13">
        <v>0</v>
      </c>
      <c r="AA18" s="13">
        <v>0</v>
      </c>
      <c r="AB18" s="13">
        <f t="shared" si="9"/>
        <v>0</v>
      </c>
      <c r="AC18" s="13">
        <v>0</v>
      </c>
      <c r="AD18" s="13">
        <v>0</v>
      </c>
      <c r="AE18" s="13">
        <v>0</v>
      </c>
      <c r="AF18" s="13">
        <f t="shared" si="3"/>
        <v>0</v>
      </c>
      <c r="AG18" s="13">
        <v>0</v>
      </c>
      <c r="AH18" s="13">
        <v>0</v>
      </c>
      <c r="AI18" s="13">
        <v>3</v>
      </c>
      <c r="AJ18" s="13">
        <v>2</v>
      </c>
      <c r="AK18" s="13">
        <v>0</v>
      </c>
      <c r="AL18" s="14">
        <f t="shared" si="4"/>
        <v>0</v>
      </c>
      <c r="AM18" s="8">
        <f t="shared" si="5"/>
        <v>90.588235294117652</v>
      </c>
      <c r="AN18" s="8">
        <f t="shared" si="6"/>
        <v>84.705882352941174</v>
      </c>
      <c r="AO18" s="13">
        <f t="shared" si="7"/>
        <v>85</v>
      </c>
    </row>
    <row r="19" spans="1:42" ht="34" x14ac:dyDescent="0.2">
      <c r="A19" t="s">
        <v>196</v>
      </c>
      <c r="B19">
        <v>5</v>
      </c>
      <c r="C19" s="15">
        <v>27.14977</v>
      </c>
      <c r="D19" s="15">
        <v>-82.480840000000001</v>
      </c>
      <c r="E19" s="9">
        <v>44812</v>
      </c>
      <c r="F19" t="s">
        <v>6</v>
      </c>
      <c r="G19" t="s">
        <v>7</v>
      </c>
      <c r="H19">
        <v>1</v>
      </c>
      <c r="I19" s="10" t="s">
        <v>106</v>
      </c>
      <c r="J19" s="10">
        <v>1</v>
      </c>
      <c r="K19" s="10"/>
      <c r="L19" s="10" t="s">
        <v>203</v>
      </c>
      <c r="M19" s="8">
        <v>0.91439999999999999</v>
      </c>
      <c r="N19" s="8">
        <v>17.0688</v>
      </c>
      <c r="O19" s="11">
        <v>17.9832</v>
      </c>
      <c r="P19" s="12">
        <v>0.94915254237288138</v>
      </c>
      <c r="Q19" t="str">
        <f t="shared" si="1"/>
        <v>U</v>
      </c>
      <c r="R19" s="13">
        <v>28</v>
      </c>
      <c r="S19" s="13">
        <v>41</v>
      </c>
      <c r="T19" s="13">
        <f t="shared" si="2"/>
        <v>13</v>
      </c>
      <c r="U19" s="13">
        <v>25</v>
      </c>
      <c r="V19" s="13">
        <v>1</v>
      </c>
      <c r="W19" s="13">
        <v>32</v>
      </c>
      <c r="X19" s="8">
        <v>0</v>
      </c>
      <c r="Y19" s="13">
        <v>0</v>
      </c>
      <c r="Z19" s="13">
        <v>0</v>
      </c>
      <c r="AA19" s="13">
        <v>0</v>
      </c>
      <c r="AB19" s="13">
        <f t="shared" si="9"/>
        <v>2</v>
      </c>
      <c r="AC19" s="13">
        <v>0</v>
      </c>
      <c r="AD19" s="13">
        <v>0</v>
      </c>
      <c r="AE19" s="13">
        <v>2</v>
      </c>
      <c r="AF19" s="13">
        <f t="shared" si="3"/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38</v>
      </c>
      <c r="AL19" s="14">
        <f t="shared" si="4"/>
        <v>2.7397260273972601E-2</v>
      </c>
      <c r="AM19" s="8">
        <f t="shared" si="5"/>
        <v>1.3698630136986301</v>
      </c>
      <c r="AN19" s="8">
        <f t="shared" si="6"/>
        <v>1.3698630136986301</v>
      </c>
      <c r="AO19" s="13">
        <f t="shared" si="7"/>
        <v>73</v>
      </c>
      <c r="AP19" s="13" t="s">
        <v>206</v>
      </c>
    </row>
    <row r="20" spans="1:42" ht="81" customHeight="1" x14ac:dyDescent="0.2">
      <c r="A20" t="s">
        <v>199</v>
      </c>
      <c r="B20">
        <v>5</v>
      </c>
      <c r="C20" s="15">
        <v>27.149049999999999</v>
      </c>
      <c r="D20" s="15">
        <v>-82.480459999999994</v>
      </c>
      <c r="E20" s="9">
        <v>44812</v>
      </c>
      <c r="F20" t="s">
        <v>6</v>
      </c>
      <c r="G20" t="s">
        <v>7</v>
      </c>
      <c r="H20">
        <v>1</v>
      </c>
      <c r="I20" s="10" t="s">
        <v>204</v>
      </c>
      <c r="J20" s="10">
        <v>0</v>
      </c>
      <c r="K20" s="10"/>
      <c r="L20" s="10" t="s">
        <v>16</v>
      </c>
      <c r="M20" s="8">
        <v>2.4384000000000001</v>
      </c>
      <c r="N20" s="8">
        <v>17.0688</v>
      </c>
      <c r="O20" s="11">
        <v>19.507200000000001</v>
      </c>
      <c r="P20" s="12">
        <v>0.875</v>
      </c>
      <c r="Q20" t="str">
        <f t="shared" si="1"/>
        <v>U</v>
      </c>
      <c r="R20" s="13">
        <v>41</v>
      </c>
      <c r="S20" s="13">
        <v>54</v>
      </c>
      <c r="T20" s="13">
        <f t="shared" si="2"/>
        <v>13</v>
      </c>
      <c r="U20" s="13">
        <v>24</v>
      </c>
      <c r="V20" s="13">
        <v>102</v>
      </c>
      <c r="W20" s="13">
        <v>9</v>
      </c>
      <c r="X20" s="8">
        <v>0</v>
      </c>
      <c r="Y20" s="13">
        <v>2</v>
      </c>
      <c r="Z20" s="13">
        <v>5</v>
      </c>
      <c r="AA20" s="13">
        <v>0</v>
      </c>
      <c r="AB20" s="13">
        <f t="shared" si="9"/>
        <v>0</v>
      </c>
      <c r="AC20" s="13">
        <v>0</v>
      </c>
      <c r="AD20" s="13">
        <v>0</v>
      </c>
      <c r="AE20" s="13">
        <v>0</v>
      </c>
      <c r="AF20" s="13">
        <f t="shared" si="3"/>
        <v>0</v>
      </c>
      <c r="AG20" s="13">
        <v>0</v>
      </c>
      <c r="AH20" s="13">
        <v>0</v>
      </c>
      <c r="AI20" s="13">
        <v>19</v>
      </c>
      <c r="AJ20" s="13">
        <v>7</v>
      </c>
      <c r="AK20" s="13">
        <v>13</v>
      </c>
      <c r="AL20" s="14">
        <f t="shared" si="4"/>
        <v>0</v>
      </c>
      <c r="AM20" s="8">
        <f t="shared" si="5"/>
        <v>77.862595419847324</v>
      </c>
      <c r="AN20" s="8">
        <f t="shared" si="6"/>
        <v>58.015267175572518</v>
      </c>
      <c r="AO20" s="13">
        <f t="shared" si="7"/>
        <v>131</v>
      </c>
      <c r="AP20" s="13" t="s">
        <v>206</v>
      </c>
    </row>
    <row r="21" spans="1:42" ht="51" x14ac:dyDescent="0.2">
      <c r="A21" t="s">
        <v>68</v>
      </c>
      <c r="B21">
        <v>6</v>
      </c>
      <c r="C21" s="8">
        <v>27.141929999999999</v>
      </c>
      <c r="D21" s="8">
        <v>-82.477059999999994</v>
      </c>
      <c r="E21" s="9">
        <v>44782</v>
      </c>
      <c r="F21" t="s">
        <v>6</v>
      </c>
      <c r="G21" t="s">
        <v>7</v>
      </c>
      <c r="H21">
        <v>1</v>
      </c>
      <c r="I21" s="10" t="s">
        <v>51</v>
      </c>
      <c r="J21" s="10">
        <v>1</v>
      </c>
      <c r="K21" s="10" t="s">
        <v>219</v>
      </c>
      <c r="L21" s="10" t="s">
        <v>69</v>
      </c>
      <c r="M21" s="8">
        <v>6.4</v>
      </c>
      <c r="N21" s="8">
        <v>12.49</v>
      </c>
      <c r="O21" s="11">
        <f>M21+N21</f>
        <v>18.89</v>
      </c>
      <c r="P21" s="12">
        <f>1-(M21/O21)</f>
        <v>0.6611964002117523</v>
      </c>
      <c r="Q21" t="str">
        <f t="shared" si="1"/>
        <v>U</v>
      </c>
      <c r="R21" s="13">
        <f>(CONVERT(11,"in","cm"))</f>
        <v>27.939999999999998</v>
      </c>
      <c r="S21" s="13">
        <f>(CONVERT(16,"in","cm"))</f>
        <v>40.64</v>
      </c>
      <c r="T21" s="13">
        <f t="shared" si="2"/>
        <v>12.700000000000003</v>
      </c>
      <c r="U21" s="13">
        <f>(CONVERT(8,"in","cm"))</f>
        <v>20.32</v>
      </c>
      <c r="V21" s="13">
        <v>25</v>
      </c>
      <c r="W21" s="13">
        <v>4</v>
      </c>
      <c r="X21" s="8">
        <v>0</v>
      </c>
      <c r="Y21" s="13">
        <v>0</v>
      </c>
      <c r="Z21" s="13">
        <v>0</v>
      </c>
      <c r="AA21" s="13">
        <v>2</v>
      </c>
      <c r="AB21" s="13">
        <f t="shared" si="9"/>
        <v>60</v>
      </c>
      <c r="AC21" s="13">
        <v>1</v>
      </c>
      <c r="AD21" s="13">
        <v>51</v>
      </c>
      <c r="AE21" s="13">
        <v>9</v>
      </c>
      <c r="AF21" s="13">
        <f t="shared" si="3"/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4">
        <f t="shared" si="4"/>
        <v>0.6741573033707865</v>
      </c>
      <c r="AM21" s="8">
        <f t="shared" si="5"/>
        <v>85.393258426966284</v>
      </c>
      <c r="AN21" s="8">
        <f t="shared" si="6"/>
        <v>85.393258426966284</v>
      </c>
      <c r="AO21" s="13">
        <f t="shared" si="7"/>
        <v>89</v>
      </c>
      <c r="AP21" t="s">
        <v>16</v>
      </c>
    </row>
    <row r="22" spans="1:42" ht="68" x14ac:dyDescent="0.2">
      <c r="A22" t="s">
        <v>108</v>
      </c>
      <c r="B22">
        <v>6</v>
      </c>
      <c r="C22" s="17">
        <v>27.142140000000001</v>
      </c>
      <c r="D22" s="17">
        <v>-82.477130000000002</v>
      </c>
      <c r="E22" s="9">
        <v>44788</v>
      </c>
      <c r="F22" t="s">
        <v>6</v>
      </c>
      <c r="G22" t="s">
        <v>7</v>
      </c>
      <c r="H22">
        <v>1</v>
      </c>
      <c r="I22" s="10" t="s">
        <v>109</v>
      </c>
      <c r="J22" s="10">
        <v>1</v>
      </c>
      <c r="K22" s="10" t="s">
        <v>219</v>
      </c>
      <c r="L22" s="10" t="s">
        <v>110</v>
      </c>
      <c r="M22" s="8">
        <v>5.79</v>
      </c>
      <c r="N22" s="8">
        <v>14.02</v>
      </c>
      <c r="O22" s="11">
        <f>M22+N22</f>
        <v>19.809999999999999</v>
      </c>
      <c r="P22" s="12">
        <f>1-(M22/O22)</f>
        <v>0.70772337203432611</v>
      </c>
      <c r="Q22" t="str">
        <f t="shared" si="1"/>
        <v>U</v>
      </c>
      <c r="R22" s="13">
        <v>37</v>
      </c>
      <c r="S22" s="13">
        <v>45</v>
      </c>
      <c r="T22" s="13">
        <f t="shared" si="2"/>
        <v>8</v>
      </c>
      <c r="U22" s="13">
        <v>27</v>
      </c>
      <c r="V22" s="13">
        <v>29</v>
      </c>
      <c r="W22" s="13">
        <v>7</v>
      </c>
      <c r="X22" s="8">
        <v>0</v>
      </c>
      <c r="Y22" s="13">
        <v>0</v>
      </c>
      <c r="Z22" s="13">
        <v>0</v>
      </c>
      <c r="AA22" s="13">
        <v>0</v>
      </c>
      <c r="AB22" s="13">
        <f t="shared" si="9"/>
        <v>25</v>
      </c>
      <c r="AC22" s="13">
        <v>0</v>
      </c>
      <c r="AD22" s="13">
        <v>8</v>
      </c>
      <c r="AE22" s="13">
        <v>17</v>
      </c>
      <c r="AF22" s="13">
        <f t="shared" si="3"/>
        <v>19</v>
      </c>
      <c r="AG22" s="13">
        <v>12</v>
      </c>
      <c r="AH22" s="13">
        <v>7</v>
      </c>
      <c r="AI22" s="13">
        <v>0</v>
      </c>
      <c r="AJ22" s="13">
        <v>0</v>
      </c>
      <c r="AK22" s="13">
        <v>0</v>
      </c>
      <c r="AL22" s="14">
        <f t="shared" si="4"/>
        <v>0.55000000000000004</v>
      </c>
      <c r="AM22" s="8">
        <f t="shared" si="5"/>
        <v>61.250000000000007</v>
      </c>
      <c r="AN22" s="8">
        <f t="shared" si="6"/>
        <v>61.250000000000007</v>
      </c>
      <c r="AO22" s="13">
        <f t="shared" si="7"/>
        <v>80</v>
      </c>
      <c r="AP22" t="s">
        <v>16</v>
      </c>
    </row>
    <row r="23" spans="1:42" ht="68" x14ac:dyDescent="0.2">
      <c r="A23" t="s">
        <v>5</v>
      </c>
      <c r="B23">
        <v>6</v>
      </c>
      <c r="C23" s="8">
        <v>27.147349999999999</v>
      </c>
      <c r="D23" s="8">
        <v>-82.479579999999999</v>
      </c>
      <c r="E23" s="9">
        <v>44766</v>
      </c>
      <c r="F23" t="s">
        <v>6</v>
      </c>
      <c r="G23" t="s">
        <v>7</v>
      </c>
      <c r="H23">
        <v>1</v>
      </c>
      <c r="I23" s="10" t="s">
        <v>8</v>
      </c>
      <c r="J23">
        <v>1</v>
      </c>
      <c r="K23" t="s">
        <v>219</v>
      </c>
      <c r="L23" t="s">
        <v>9</v>
      </c>
      <c r="M23" s="8">
        <v>2.7431999999999999</v>
      </c>
      <c r="N23" s="8">
        <v>12.192</v>
      </c>
      <c r="O23" s="11">
        <f>M23+N23</f>
        <v>14.9352</v>
      </c>
      <c r="P23" s="12">
        <v>0.81632653061224492</v>
      </c>
      <c r="Q23" t="str">
        <f t="shared" si="1"/>
        <v>U</v>
      </c>
      <c r="R23" s="13">
        <f>(CONVERT(16,"in","cm"))</f>
        <v>40.64</v>
      </c>
      <c r="S23" s="13">
        <f>(CONVERT(21,"in","cm"))</f>
        <v>53.339999999999996</v>
      </c>
      <c r="T23" s="13">
        <f t="shared" si="2"/>
        <v>12.699999999999996</v>
      </c>
      <c r="U23" s="13">
        <f>(CONVERT(11.5,"in","cm"))</f>
        <v>29.21</v>
      </c>
      <c r="V23" s="13">
        <v>115</v>
      </c>
      <c r="W23" s="13">
        <v>6</v>
      </c>
      <c r="X23" s="8">
        <f>(2/6)*100</f>
        <v>33.333333333333329</v>
      </c>
      <c r="Y23" s="13">
        <v>0</v>
      </c>
      <c r="Z23" s="13">
        <v>0</v>
      </c>
      <c r="AA23" s="13">
        <v>0</v>
      </c>
      <c r="AB23" s="13">
        <f t="shared" si="9"/>
        <v>2</v>
      </c>
      <c r="AC23" s="13">
        <v>0</v>
      </c>
      <c r="AD23" s="13">
        <v>0</v>
      </c>
      <c r="AE23" s="13">
        <v>2</v>
      </c>
      <c r="AF23" s="13">
        <f t="shared" si="3"/>
        <v>0</v>
      </c>
      <c r="AG23" s="13">
        <v>0</v>
      </c>
      <c r="AH23" s="13">
        <v>0</v>
      </c>
      <c r="AI23">
        <v>1</v>
      </c>
      <c r="AJ23">
        <v>1</v>
      </c>
      <c r="AK23" s="13">
        <v>0</v>
      </c>
      <c r="AL23" s="14">
        <f t="shared" si="4"/>
        <v>1.6260162601626018E-2</v>
      </c>
      <c r="AM23" s="8">
        <f t="shared" si="5"/>
        <v>93.495934959349597</v>
      </c>
      <c r="AN23" s="8">
        <f t="shared" si="6"/>
        <v>91.869918699186996</v>
      </c>
      <c r="AO23" s="13">
        <f t="shared" si="7"/>
        <v>123</v>
      </c>
      <c r="AP23" s="10" t="s">
        <v>10</v>
      </c>
    </row>
    <row r="24" spans="1:42" ht="34" x14ac:dyDescent="0.2">
      <c r="A24" t="s">
        <v>200</v>
      </c>
      <c r="B24">
        <v>6</v>
      </c>
      <c r="C24" s="15">
        <v>27.145230000000002</v>
      </c>
      <c r="D24" s="15">
        <v>-82.478520000000003</v>
      </c>
      <c r="E24" s="9">
        <v>44813</v>
      </c>
      <c r="F24" t="s">
        <v>6</v>
      </c>
      <c r="G24" t="s">
        <v>7</v>
      </c>
      <c r="H24">
        <v>1</v>
      </c>
      <c r="I24" s="10" t="s">
        <v>51</v>
      </c>
      <c r="J24" s="10">
        <v>1</v>
      </c>
      <c r="K24" s="10" t="s">
        <v>219</v>
      </c>
      <c r="L24" s="10" t="s">
        <v>202</v>
      </c>
      <c r="M24" s="8">
        <v>1.52</v>
      </c>
      <c r="N24" s="8">
        <v>14.94</v>
      </c>
      <c r="O24" s="11">
        <f>M24+N24</f>
        <v>16.46</v>
      </c>
      <c r="P24" s="12">
        <f>1-(M24/O24)</f>
        <v>0.90765492102065615</v>
      </c>
      <c r="Q24" t="str">
        <f t="shared" si="1"/>
        <v>U</v>
      </c>
      <c r="R24" s="13">
        <v>25</v>
      </c>
      <c r="S24" s="13">
        <v>37</v>
      </c>
      <c r="T24" s="13">
        <f t="shared" si="2"/>
        <v>12</v>
      </c>
      <c r="U24" s="13">
        <v>29</v>
      </c>
      <c r="V24" s="13">
        <v>0</v>
      </c>
      <c r="W24" s="13">
        <v>0</v>
      </c>
      <c r="X24" s="8">
        <v>0</v>
      </c>
      <c r="Y24" s="13">
        <v>0</v>
      </c>
      <c r="Z24" s="13">
        <v>0</v>
      </c>
      <c r="AA24" s="13">
        <v>0</v>
      </c>
      <c r="AB24" s="13">
        <f t="shared" si="9"/>
        <v>34</v>
      </c>
      <c r="AC24" s="13">
        <v>0</v>
      </c>
      <c r="AD24" s="13">
        <v>0</v>
      </c>
      <c r="AE24" s="13">
        <v>34</v>
      </c>
      <c r="AF24" s="13">
        <f t="shared" si="3"/>
        <v>10</v>
      </c>
      <c r="AG24" s="13">
        <v>0</v>
      </c>
      <c r="AH24" s="13">
        <v>10</v>
      </c>
      <c r="AI24" s="13">
        <v>0</v>
      </c>
      <c r="AJ24" s="13">
        <v>0</v>
      </c>
      <c r="AK24" s="13">
        <v>84</v>
      </c>
      <c r="AL24" s="14">
        <f t="shared" si="4"/>
        <v>0.34375</v>
      </c>
      <c r="AM24" s="8">
        <f t="shared" si="5"/>
        <v>0</v>
      </c>
      <c r="AN24" s="8">
        <f t="shared" si="6"/>
        <v>0</v>
      </c>
      <c r="AO24" s="13">
        <f t="shared" si="7"/>
        <v>128</v>
      </c>
      <c r="AP24" s="13" t="s">
        <v>206</v>
      </c>
    </row>
    <row r="25" spans="1:42" ht="34" x14ac:dyDescent="0.2">
      <c r="A25" t="s">
        <v>29</v>
      </c>
      <c r="B25">
        <v>6</v>
      </c>
      <c r="C25" s="8">
        <v>27.142949999999999</v>
      </c>
      <c r="D25" s="8">
        <v>-82.477469999999997</v>
      </c>
      <c r="E25" s="9">
        <v>44772</v>
      </c>
      <c r="F25" t="s">
        <v>6</v>
      </c>
      <c r="G25" t="s">
        <v>7</v>
      </c>
      <c r="H25">
        <v>1</v>
      </c>
      <c r="I25" s="10" t="s">
        <v>19</v>
      </c>
      <c r="J25" s="10">
        <v>1</v>
      </c>
      <c r="K25" s="10" t="s">
        <v>218</v>
      </c>
      <c r="L25" s="10" t="s">
        <v>30</v>
      </c>
      <c r="M25" s="8">
        <v>1.8288</v>
      </c>
      <c r="N25" s="8">
        <v>15.5448</v>
      </c>
      <c r="O25" s="11">
        <v>17.3736</v>
      </c>
      <c r="P25" s="12">
        <v>0.89473684210526316</v>
      </c>
      <c r="Q25" t="str">
        <f t="shared" si="1"/>
        <v>U</v>
      </c>
      <c r="R25" s="13">
        <f>(CONVERT(14,"in","cm"))</f>
        <v>35.56</v>
      </c>
      <c r="S25" s="13">
        <f>(CONVERT(19,"in","cm"))</f>
        <v>48.26</v>
      </c>
      <c r="T25" s="13">
        <f t="shared" si="2"/>
        <v>12.699999999999996</v>
      </c>
      <c r="U25" s="13">
        <f>(CONVERT(9,"in","cm"))</f>
        <v>22.86</v>
      </c>
      <c r="V25" s="13">
        <v>98</v>
      </c>
      <c r="W25" s="13">
        <v>2</v>
      </c>
      <c r="X25" s="8">
        <f>(1/2)*100</f>
        <v>50</v>
      </c>
      <c r="Y25" s="13">
        <v>0</v>
      </c>
      <c r="Z25" s="13">
        <v>0</v>
      </c>
      <c r="AA25" s="13">
        <v>0</v>
      </c>
      <c r="AB25" s="13">
        <f t="shared" si="9"/>
        <v>0</v>
      </c>
      <c r="AC25" s="13">
        <v>0</v>
      </c>
      <c r="AD25" s="13">
        <v>0</v>
      </c>
      <c r="AE25" s="13">
        <v>0</v>
      </c>
      <c r="AF25" s="13">
        <f t="shared" si="3"/>
        <v>0</v>
      </c>
      <c r="AG25" s="13">
        <v>0</v>
      </c>
      <c r="AH25" s="13">
        <v>0</v>
      </c>
      <c r="AI25" s="13">
        <v>1</v>
      </c>
      <c r="AJ25" s="13">
        <v>0</v>
      </c>
      <c r="AK25" s="13">
        <v>0</v>
      </c>
      <c r="AL25" s="14">
        <f t="shared" si="4"/>
        <v>0</v>
      </c>
      <c r="AM25" s="8">
        <f t="shared" si="5"/>
        <v>98</v>
      </c>
      <c r="AN25" s="8">
        <f t="shared" si="6"/>
        <v>97</v>
      </c>
      <c r="AO25" s="13">
        <f t="shared" si="7"/>
        <v>100</v>
      </c>
      <c r="AP25" s="10"/>
    </row>
    <row r="26" spans="1:42" ht="34" x14ac:dyDescent="0.2">
      <c r="A26" t="s">
        <v>50</v>
      </c>
      <c r="B26">
        <v>6</v>
      </c>
      <c r="C26" s="8">
        <v>27.146149999999999</v>
      </c>
      <c r="D26" s="8">
        <v>-82.478960000000001</v>
      </c>
      <c r="E26" s="9">
        <v>44777</v>
      </c>
      <c r="F26" t="s">
        <v>6</v>
      </c>
      <c r="G26" t="s">
        <v>7</v>
      </c>
      <c r="H26">
        <v>1</v>
      </c>
      <c r="I26" s="10" t="s">
        <v>51</v>
      </c>
      <c r="J26" s="10">
        <v>1</v>
      </c>
      <c r="K26" s="10" t="s">
        <v>218</v>
      </c>
      <c r="L26" s="10" t="s">
        <v>52</v>
      </c>
      <c r="M26" s="8">
        <v>4.5720000000000001</v>
      </c>
      <c r="N26" s="8">
        <v>10.972799999999999</v>
      </c>
      <c r="O26" s="11">
        <v>15.5448</v>
      </c>
      <c r="P26" s="12">
        <v>0.70588235294117641</v>
      </c>
      <c r="Q26" t="str">
        <f t="shared" si="1"/>
        <v>U</v>
      </c>
      <c r="R26" s="13">
        <f>(CONVERT(14,"in","cm"))</f>
        <v>35.56</v>
      </c>
      <c r="S26" s="13">
        <f>(CONVERT(21,"in","cm"))</f>
        <v>53.339999999999996</v>
      </c>
      <c r="T26" s="13">
        <f t="shared" si="2"/>
        <v>17.779999999999994</v>
      </c>
      <c r="U26" s="13">
        <f>(CONVERT(10,"in","cm"))</f>
        <v>25.4</v>
      </c>
      <c r="V26" s="13">
        <v>53</v>
      </c>
      <c r="W26" s="13">
        <v>35</v>
      </c>
      <c r="X26" s="8">
        <f>(1/35)*100</f>
        <v>2.8571428571428572</v>
      </c>
      <c r="Y26" s="13">
        <v>0</v>
      </c>
      <c r="Z26" s="13">
        <v>0</v>
      </c>
      <c r="AA26" s="13">
        <v>0</v>
      </c>
      <c r="AB26" s="13">
        <f t="shared" si="9"/>
        <v>11</v>
      </c>
      <c r="AC26" s="13">
        <v>0</v>
      </c>
      <c r="AD26" s="13">
        <v>0</v>
      </c>
      <c r="AE26" s="13">
        <v>11</v>
      </c>
      <c r="AF26" s="13">
        <f t="shared" si="3"/>
        <v>0</v>
      </c>
      <c r="AG26" s="13">
        <v>0</v>
      </c>
      <c r="AH26" s="13">
        <v>0</v>
      </c>
      <c r="AI26" s="13">
        <v>0</v>
      </c>
      <c r="AJ26" s="13">
        <v>1</v>
      </c>
      <c r="AK26" s="13">
        <v>0</v>
      </c>
      <c r="AL26" s="14">
        <f t="shared" si="4"/>
        <v>0.1111111111111111</v>
      </c>
      <c r="AM26" s="8">
        <f t="shared" si="5"/>
        <v>53.535353535353536</v>
      </c>
      <c r="AN26" s="8">
        <f t="shared" si="6"/>
        <v>52.525252525252533</v>
      </c>
      <c r="AO26" s="13">
        <f t="shared" si="7"/>
        <v>99</v>
      </c>
    </row>
    <row r="27" spans="1:42" ht="34" x14ac:dyDescent="0.2">
      <c r="A27" t="s">
        <v>89</v>
      </c>
      <c r="B27">
        <v>6</v>
      </c>
      <c r="C27" s="17">
        <v>27.145579999999999</v>
      </c>
      <c r="D27" s="17">
        <v>-82.47869</v>
      </c>
      <c r="E27" s="9">
        <v>44786</v>
      </c>
      <c r="F27" t="s">
        <v>6</v>
      </c>
      <c r="G27" t="s">
        <v>7</v>
      </c>
      <c r="H27">
        <v>1</v>
      </c>
      <c r="I27" s="10" t="s">
        <v>28</v>
      </c>
      <c r="J27">
        <v>1</v>
      </c>
      <c r="K27" s="10" t="s">
        <v>218</v>
      </c>
      <c r="L27" s="10" t="s">
        <v>90</v>
      </c>
      <c r="M27" s="8">
        <v>0.91439999999999999</v>
      </c>
      <c r="N27" s="8">
        <v>14.3256</v>
      </c>
      <c r="O27" s="11">
        <v>15.24</v>
      </c>
      <c r="P27" s="12">
        <v>0.94</v>
      </c>
      <c r="Q27" t="str">
        <f t="shared" si="1"/>
        <v>U</v>
      </c>
      <c r="R27" s="13">
        <f>(CONVERT(18,"in","cm"))</f>
        <v>45.72</v>
      </c>
      <c r="S27" s="13">
        <f>(CONVERT(21,"in","cm"))</f>
        <v>53.339999999999996</v>
      </c>
      <c r="T27" s="13">
        <f t="shared" si="2"/>
        <v>7.6199999999999974</v>
      </c>
      <c r="U27" s="13">
        <f>(CONVERT(12,"in","cm"))</f>
        <v>30.48</v>
      </c>
      <c r="V27" s="13">
        <v>16</v>
      </c>
      <c r="W27" s="13">
        <v>2</v>
      </c>
      <c r="X27" s="8">
        <v>0</v>
      </c>
      <c r="Y27" s="13">
        <v>0</v>
      </c>
      <c r="Z27" s="13">
        <v>0</v>
      </c>
      <c r="AA27" s="13">
        <v>0</v>
      </c>
      <c r="AB27" s="13">
        <f t="shared" si="9"/>
        <v>0</v>
      </c>
      <c r="AC27" s="13">
        <v>0</v>
      </c>
      <c r="AD27" s="13">
        <v>0</v>
      </c>
      <c r="AE27" s="13">
        <v>0</v>
      </c>
      <c r="AF27" s="13">
        <f t="shared" si="3"/>
        <v>0</v>
      </c>
      <c r="AG27" s="13">
        <v>0</v>
      </c>
      <c r="AH27" s="13">
        <v>0</v>
      </c>
      <c r="AI27">
        <v>8</v>
      </c>
      <c r="AJ27">
        <v>0</v>
      </c>
      <c r="AK27">
        <v>90</v>
      </c>
      <c r="AL27" s="14">
        <f t="shared" si="4"/>
        <v>0</v>
      </c>
      <c r="AM27" s="8">
        <f t="shared" si="5"/>
        <v>14.814814814814813</v>
      </c>
      <c r="AN27" s="8">
        <f t="shared" si="6"/>
        <v>7.4074074074074066</v>
      </c>
      <c r="AO27" s="13">
        <f t="shared" si="7"/>
        <v>108</v>
      </c>
      <c r="AP27" t="s">
        <v>91</v>
      </c>
    </row>
    <row r="28" spans="1:42" ht="17" x14ac:dyDescent="0.2">
      <c r="A28" t="s">
        <v>25</v>
      </c>
      <c r="B28">
        <v>6</v>
      </c>
      <c r="C28" s="8">
        <v>27.144380000000002</v>
      </c>
      <c r="D28" s="8">
        <v>-82.478129999999993</v>
      </c>
      <c r="E28" s="9">
        <v>44771</v>
      </c>
      <c r="F28" t="s">
        <v>6</v>
      </c>
      <c r="G28" t="s">
        <v>7</v>
      </c>
      <c r="H28">
        <v>0</v>
      </c>
      <c r="I28" s="10" t="s">
        <v>16</v>
      </c>
      <c r="J28">
        <v>0</v>
      </c>
      <c r="L28" t="s">
        <v>16</v>
      </c>
      <c r="M28" s="8">
        <v>2.7431999999999999</v>
      </c>
      <c r="N28" s="8">
        <v>14.020799999999999</v>
      </c>
      <c r="O28" s="11">
        <v>16.763999999999999</v>
      </c>
      <c r="P28" s="12">
        <v>0.83636363636363631</v>
      </c>
      <c r="Q28" t="str">
        <f t="shared" si="1"/>
        <v>U</v>
      </c>
      <c r="R28" s="13">
        <f>(CONVERT(22,"in","cm"))</f>
        <v>55.879999999999995</v>
      </c>
      <c r="S28" s="13">
        <f>(CONVERT(26,"in","cm"))</f>
        <v>66.039999999999992</v>
      </c>
      <c r="T28" s="13">
        <f t="shared" si="2"/>
        <v>10.159999999999997</v>
      </c>
      <c r="U28" s="13">
        <f>(CONVERT(9,"in","cm"))</f>
        <v>22.86</v>
      </c>
      <c r="V28" s="13">
        <v>132</v>
      </c>
      <c r="W28" s="13">
        <v>5</v>
      </c>
      <c r="X28" s="8">
        <f>(3/5)*100</f>
        <v>60</v>
      </c>
      <c r="Y28" s="13">
        <v>0</v>
      </c>
      <c r="Z28" s="13">
        <v>0</v>
      </c>
      <c r="AA28" s="13">
        <v>0</v>
      </c>
      <c r="AB28" s="13">
        <f t="shared" si="9"/>
        <v>0</v>
      </c>
      <c r="AC28" s="13">
        <v>0</v>
      </c>
      <c r="AD28" s="13">
        <v>0</v>
      </c>
      <c r="AE28" s="13">
        <v>0</v>
      </c>
      <c r="AF28" s="13">
        <f t="shared" si="3"/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4">
        <f t="shared" si="4"/>
        <v>0</v>
      </c>
      <c r="AM28" s="8">
        <f t="shared" si="5"/>
        <v>96.350364963503651</v>
      </c>
      <c r="AN28" s="8">
        <f t="shared" si="6"/>
        <v>96.350364963503651</v>
      </c>
      <c r="AO28" s="13">
        <f t="shared" si="7"/>
        <v>137</v>
      </c>
    </row>
    <row r="29" spans="1:42" ht="17" x14ac:dyDescent="0.2">
      <c r="A29" t="s">
        <v>64</v>
      </c>
      <c r="B29">
        <v>6</v>
      </c>
      <c r="C29" s="8">
        <v>27.14237</v>
      </c>
      <c r="D29" s="8">
        <v>-82.477249999999998</v>
      </c>
      <c r="E29" s="9">
        <v>44781</v>
      </c>
      <c r="F29" t="s">
        <v>6</v>
      </c>
      <c r="G29" t="s">
        <v>7</v>
      </c>
      <c r="H29">
        <v>0</v>
      </c>
      <c r="I29" s="10" t="s">
        <v>16</v>
      </c>
      <c r="J29" s="10">
        <v>0</v>
      </c>
      <c r="K29" s="10"/>
      <c r="L29" s="10" t="s">
        <v>16</v>
      </c>
      <c r="M29" s="8">
        <v>4.5720000000000001</v>
      </c>
      <c r="N29" s="8">
        <v>11.8872</v>
      </c>
      <c r="O29" s="11">
        <v>16.459199999999999</v>
      </c>
      <c r="P29" s="12">
        <v>0.72222222222222221</v>
      </c>
      <c r="Q29" t="str">
        <f t="shared" si="1"/>
        <v>U</v>
      </c>
      <c r="R29" s="13">
        <f>(CONVERT(14,"in","cm"))</f>
        <v>35.56</v>
      </c>
      <c r="S29" s="13">
        <f>(CONVERT(21,"in","cm"))</f>
        <v>53.339999999999996</v>
      </c>
      <c r="T29" s="13">
        <f t="shared" si="2"/>
        <v>17.779999999999994</v>
      </c>
      <c r="U29" s="13">
        <f>(CONVERT(11,"in","cm"))</f>
        <v>27.939999999999998</v>
      </c>
      <c r="V29" s="13">
        <v>69</v>
      </c>
      <c r="W29" s="13">
        <v>21</v>
      </c>
      <c r="X29" s="8">
        <f>(1/21)*100</f>
        <v>4.7619047619047619</v>
      </c>
      <c r="Y29" s="13">
        <v>0</v>
      </c>
      <c r="Z29" s="13">
        <v>0</v>
      </c>
      <c r="AA29" s="13">
        <v>0</v>
      </c>
      <c r="AB29" s="13">
        <f t="shared" si="9"/>
        <v>0</v>
      </c>
      <c r="AC29" s="13">
        <v>0</v>
      </c>
      <c r="AD29" s="13">
        <v>0</v>
      </c>
      <c r="AE29" s="13">
        <v>0</v>
      </c>
      <c r="AF29" s="13">
        <f t="shared" si="3"/>
        <v>0</v>
      </c>
      <c r="AG29" s="13">
        <v>0</v>
      </c>
      <c r="AH29" s="13">
        <v>0</v>
      </c>
      <c r="AI29" s="13">
        <v>2</v>
      </c>
      <c r="AJ29" s="13">
        <v>0</v>
      </c>
      <c r="AK29" s="13">
        <v>0</v>
      </c>
      <c r="AL29" s="14">
        <f t="shared" si="4"/>
        <v>0</v>
      </c>
      <c r="AM29" s="8">
        <f t="shared" si="5"/>
        <v>76.666666666666671</v>
      </c>
      <c r="AN29" s="8">
        <f t="shared" si="6"/>
        <v>74.444444444444443</v>
      </c>
      <c r="AO29" s="13">
        <f t="shared" si="7"/>
        <v>90</v>
      </c>
    </row>
    <row r="30" spans="1:42" ht="68" x14ac:dyDescent="0.2">
      <c r="A30" t="s">
        <v>100</v>
      </c>
      <c r="B30">
        <v>6</v>
      </c>
      <c r="C30" s="17">
        <v>27.142420000000001</v>
      </c>
      <c r="D30" s="17">
        <v>-82.477279999999993</v>
      </c>
      <c r="E30" s="9">
        <v>44787</v>
      </c>
      <c r="F30" t="s">
        <v>6</v>
      </c>
      <c r="G30" t="s">
        <v>7</v>
      </c>
      <c r="H30">
        <v>0</v>
      </c>
      <c r="I30" s="10" t="s">
        <v>101</v>
      </c>
      <c r="J30" s="10">
        <v>0</v>
      </c>
      <c r="K30" s="10"/>
      <c r="L30" s="10" t="s">
        <v>16</v>
      </c>
      <c r="M30" s="8">
        <v>5.1816000000000004</v>
      </c>
      <c r="N30" s="8">
        <v>14.3256</v>
      </c>
      <c r="O30" s="11">
        <v>19.507200000000001</v>
      </c>
      <c r="P30" s="12">
        <v>0.734375</v>
      </c>
      <c r="Q30" t="str">
        <f t="shared" si="1"/>
        <v>U</v>
      </c>
      <c r="R30" s="13">
        <v>33</v>
      </c>
      <c r="S30" s="13">
        <v>47</v>
      </c>
      <c r="T30" s="13">
        <f t="shared" si="2"/>
        <v>14</v>
      </c>
      <c r="U30" s="13">
        <v>25</v>
      </c>
      <c r="V30" s="13">
        <v>32</v>
      </c>
      <c r="W30" s="13">
        <v>55</v>
      </c>
      <c r="X30" s="8">
        <v>0</v>
      </c>
      <c r="Y30" s="13">
        <v>0</v>
      </c>
      <c r="Z30" s="13">
        <v>0</v>
      </c>
      <c r="AA30" s="13">
        <v>0</v>
      </c>
      <c r="AB30" s="13">
        <f t="shared" si="9"/>
        <v>0</v>
      </c>
      <c r="AC30" s="13">
        <v>0</v>
      </c>
      <c r="AD30" s="13">
        <v>0</v>
      </c>
      <c r="AE30" s="13">
        <v>0</v>
      </c>
      <c r="AF30" s="13">
        <f t="shared" si="3"/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4">
        <f t="shared" si="4"/>
        <v>0</v>
      </c>
      <c r="AM30" s="8">
        <f t="shared" si="5"/>
        <v>36.781609195402297</v>
      </c>
      <c r="AN30" s="8">
        <f t="shared" si="6"/>
        <v>36.781609195402297</v>
      </c>
      <c r="AO30" s="13">
        <f t="shared" si="7"/>
        <v>87</v>
      </c>
      <c r="AP30" s="10" t="s">
        <v>222</v>
      </c>
    </row>
    <row r="31" spans="1:42" ht="34" x14ac:dyDescent="0.2">
      <c r="A31" t="s">
        <v>105</v>
      </c>
      <c r="B31">
        <v>6</v>
      </c>
      <c r="C31" s="17">
        <v>27.147099999999998</v>
      </c>
      <c r="D31" s="17">
        <v>-82.479479999999995</v>
      </c>
      <c r="E31" s="9">
        <v>44788</v>
      </c>
      <c r="F31" t="s">
        <v>6</v>
      </c>
      <c r="G31" t="s">
        <v>7</v>
      </c>
      <c r="H31">
        <v>0</v>
      </c>
      <c r="I31" s="10" t="s">
        <v>106</v>
      </c>
      <c r="J31" s="10">
        <v>0</v>
      </c>
      <c r="K31" s="10"/>
      <c r="L31" s="10" t="s">
        <v>16</v>
      </c>
      <c r="M31" s="8">
        <v>1.2192000000000001</v>
      </c>
      <c r="N31" s="8">
        <v>12.801600000000001</v>
      </c>
      <c r="O31" s="11">
        <v>14.020799999999999</v>
      </c>
      <c r="P31" s="12">
        <v>0.91304347826086951</v>
      </c>
      <c r="Q31" t="str">
        <f t="shared" si="1"/>
        <v>U</v>
      </c>
      <c r="R31" s="13">
        <v>43</v>
      </c>
      <c r="S31" s="13">
        <v>54</v>
      </c>
      <c r="T31" s="13">
        <f t="shared" si="2"/>
        <v>11</v>
      </c>
      <c r="U31" s="13">
        <v>26</v>
      </c>
      <c r="V31" s="13">
        <v>59</v>
      </c>
      <c r="W31" s="13">
        <v>0</v>
      </c>
      <c r="X31" s="8">
        <v>0</v>
      </c>
      <c r="Y31" s="13">
        <v>0</v>
      </c>
      <c r="Z31" s="13">
        <v>0</v>
      </c>
      <c r="AA31" s="13">
        <v>0</v>
      </c>
      <c r="AB31" s="13">
        <f t="shared" si="9"/>
        <v>0</v>
      </c>
      <c r="AC31" s="13">
        <v>0</v>
      </c>
      <c r="AD31" s="13">
        <v>0</v>
      </c>
      <c r="AE31" s="13">
        <v>0</v>
      </c>
      <c r="AF31" s="13">
        <f t="shared" si="3"/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4">
        <f t="shared" si="4"/>
        <v>0</v>
      </c>
      <c r="AM31" s="8">
        <f t="shared" si="5"/>
        <v>100</v>
      </c>
      <c r="AN31" s="8">
        <f t="shared" si="6"/>
        <v>100</v>
      </c>
      <c r="AO31" s="13">
        <f t="shared" si="7"/>
        <v>59</v>
      </c>
    </row>
    <row r="32" spans="1:42" ht="34" x14ac:dyDescent="0.2">
      <c r="A32" t="s">
        <v>168</v>
      </c>
      <c r="B32">
        <v>7</v>
      </c>
      <c r="C32" s="15">
        <v>27.13571</v>
      </c>
      <c r="D32" s="15">
        <v>-82.474649999999997</v>
      </c>
      <c r="E32" s="9">
        <v>44798</v>
      </c>
      <c r="F32" t="s">
        <v>6</v>
      </c>
      <c r="G32" t="s">
        <v>7</v>
      </c>
      <c r="H32">
        <v>1</v>
      </c>
      <c r="I32" s="10" t="s">
        <v>169</v>
      </c>
      <c r="J32" s="10">
        <v>1</v>
      </c>
      <c r="K32" s="10" t="s">
        <v>218</v>
      </c>
      <c r="L32" s="10" t="s">
        <v>98</v>
      </c>
      <c r="M32" s="8">
        <v>0.61</v>
      </c>
      <c r="N32" s="8">
        <v>16.149999999999999</v>
      </c>
      <c r="O32" s="11">
        <f>M32+N32</f>
        <v>16.759999999999998</v>
      </c>
      <c r="P32" s="12">
        <f>1-(M32/O32)</f>
        <v>0.96360381861575184</v>
      </c>
      <c r="Q32" t="str">
        <f t="shared" si="1"/>
        <v>U</v>
      </c>
      <c r="R32" s="13">
        <v>34</v>
      </c>
      <c r="S32" s="13">
        <v>47</v>
      </c>
      <c r="T32" s="13">
        <f t="shared" si="2"/>
        <v>13</v>
      </c>
      <c r="U32" s="13">
        <v>20</v>
      </c>
      <c r="V32" s="13">
        <v>66</v>
      </c>
      <c r="W32" s="13">
        <v>5</v>
      </c>
      <c r="X32" s="8">
        <v>0</v>
      </c>
      <c r="Y32" s="13">
        <v>1</v>
      </c>
      <c r="Z32" s="13">
        <v>0</v>
      </c>
      <c r="AA32" s="13">
        <v>0</v>
      </c>
      <c r="AB32" s="13">
        <f t="shared" si="9"/>
        <v>0</v>
      </c>
      <c r="AC32" s="13">
        <v>0</v>
      </c>
      <c r="AD32" s="13">
        <v>0</v>
      </c>
      <c r="AE32" s="13">
        <v>0</v>
      </c>
      <c r="AF32" s="13">
        <f t="shared" si="3"/>
        <v>0</v>
      </c>
      <c r="AG32" s="13">
        <v>0</v>
      </c>
      <c r="AH32" s="13">
        <v>0</v>
      </c>
      <c r="AI32" s="13">
        <v>1</v>
      </c>
      <c r="AJ32" s="13">
        <v>0</v>
      </c>
      <c r="AK32" s="13">
        <v>0</v>
      </c>
      <c r="AL32" s="14">
        <f t="shared" si="4"/>
        <v>0</v>
      </c>
      <c r="AM32" s="8">
        <f t="shared" si="5"/>
        <v>91.666666666666657</v>
      </c>
      <c r="AN32" s="8">
        <f t="shared" si="6"/>
        <v>90.277777777777786</v>
      </c>
      <c r="AO32" s="13">
        <f t="shared" si="7"/>
        <v>72</v>
      </c>
      <c r="AP32" s="13"/>
    </row>
    <row r="33" spans="1:43" ht="17" x14ac:dyDescent="0.2">
      <c r="A33" t="s">
        <v>162</v>
      </c>
      <c r="B33">
        <v>7</v>
      </c>
      <c r="C33" s="15">
        <v>27.13954</v>
      </c>
      <c r="D33" s="15">
        <v>-82.476070000000007</v>
      </c>
      <c r="E33" s="9">
        <v>44797</v>
      </c>
      <c r="F33" t="s">
        <v>6</v>
      </c>
      <c r="G33" t="s">
        <v>7</v>
      </c>
      <c r="H33">
        <v>0</v>
      </c>
      <c r="I33" s="10" t="s">
        <v>16</v>
      </c>
      <c r="J33" s="10">
        <v>0</v>
      </c>
      <c r="K33" s="10"/>
      <c r="L33" s="10" t="s">
        <v>16</v>
      </c>
      <c r="M33" s="8">
        <v>8.84</v>
      </c>
      <c r="N33" s="8">
        <v>8.23</v>
      </c>
      <c r="O33" s="11">
        <f>M33+N33</f>
        <v>17.07</v>
      </c>
      <c r="P33" s="12">
        <f>1-(M33/O33)</f>
        <v>0.48213239601640301</v>
      </c>
      <c r="Q33" t="str">
        <f t="shared" si="1"/>
        <v>M</v>
      </c>
      <c r="R33" s="13">
        <v>40</v>
      </c>
      <c r="S33" s="13">
        <v>45</v>
      </c>
      <c r="T33" s="13">
        <f t="shared" si="2"/>
        <v>5</v>
      </c>
      <c r="U33" s="13">
        <v>24</v>
      </c>
      <c r="V33" s="13">
        <v>52</v>
      </c>
      <c r="W33" s="13">
        <v>12</v>
      </c>
      <c r="X33" s="8">
        <f>(2/12)*100</f>
        <v>16.666666666666664</v>
      </c>
      <c r="Y33" s="13">
        <v>0</v>
      </c>
      <c r="Z33" s="13">
        <v>11</v>
      </c>
      <c r="AA33" s="13">
        <v>0</v>
      </c>
      <c r="AB33" s="13">
        <f t="shared" si="9"/>
        <v>0</v>
      </c>
      <c r="AC33" s="13">
        <v>0</v>
      </c>
      <c r="AD33" s="13">
        <v>0</v>
      </c>
      <c r="AE33" s="13">
        <v>0</v>
      </c>
      <c r="AF33" s="13">
        <f t="shared" si="3"/>
        <v>0</v>
      </c>
      <c r="AG33" s="13">
        <v>0</v>
      </c>
      <c r="AH33" s="13">
        <v>0</v>
      </c>
      <c r="AI33" s="13">
        <v>0</v>
      </c>
      <c r="AJ33" s="13">
        <v>1</v>
      </c>
      <c r="AK33" s="13">
        <v>26</v>
      </c>
      <c r="AL33" s="14">
        <f t="shared" si="4"/>
        <v>0</v>
      </c>
      <c r="AM33" s="8">
        <f t="shared" si="5"/>
        <v>51.485148514851488</v>
      </c>
      <c r="AN33" s="8">
        <f t="shared" si="6"/>
        <v>50.495049504950494</v>
      </c>
      <c r="AO33" s="13">
        <f t="shared" si="7"/>
        <v>101</v>
      </c>
    </row>
    <row r="34" spans="1:43" ht="34" x14ac:dyDescent="0.2">
      <c r="A34" t="s">
        <v>11</v>
      </c>
      <c r="B34">
        <v>7</v>
      </c>
      <c r="C34" s="8">
        <v>27.13607</v>
      </c>
      <c r="D34" s="8">
        <v>-82.474779999999996</v>
      </c>
      <c r="E34" s="9">
        <v>44766</v>
      </c>
      <c r="F34" t="s">
        <v>6</v>
      </c>
      <c r="G34" t="s">
        <v>7</v>
      </c>
      <c r="H34">
        <v>1</v>
      </c>
      <c r="I34" s="10" t="s">
        <v>12</v>
      </c>
      <c r="J34">
        <v>1</v>
      </c>
      <c r="K34" t="s">
        <v>219</v>
      </c>
      <c r="L34" t="s">
        <v>13</v>
      </c>
      <c r="M34" s="8">
        <v>1.8288</v>
      </c>
      <c r="N34" s="8">
        <v>9.7536000000000005</v>
      </c>
      <c r="O34" s="11">
        <f>M34+N34</f>
        <v>11.5824</v>
      </c>
      <c r="P34" s="12">
        <v>0.8421052631578948</v>
      </c>
      <c r="Q34" t="str">
        <f t="shared" ref="Q34:Q65" si="10">IF(P34&lt;&gt;"",(IF(P34&gt;0.66,"U",IF(P34&lt;0.33,"L","M"))),"")</f>
        <v>U</v>
      </c>
      <c r="R34" s="13">
        <f>(CONVERT(19.5,"in","cm"))</f>
        <v>49.53</v>
      </c>
      <c r="S34" s="13">
        <f>(CONVERT(22.5,"in","cm"))</f>
        <v>57.15</v>
      </c>
      <c r="T34" s="13">
        <f t="shared" ref="T34:T65" si="11">S34-R34</f>
        <v>7.6199999999999974</v>
      </c>
      <c r="U34" s="13">
        <f>(CONVERT(11.5,"in","cm"))</f>
        <v>29.21</v>
      </c>
      <c r="V34" s="13">
        <v>96</v>
      </c>
      <c r="W34" s="13">
        <f>(9/106)*100</f>
        <v>8.4905660377358494</v>
      </c>
      <c r="X34" s="8">
        <f xml:space="preserve"> (3/8)*100</f>
        <v>37.5</v>
      </c>
      <c r="Y34" s="13">
        <v>0</v>
      </c>
      <c r="Z34" s="13">
        <v>1</v>
      </c>
      <c r="AA34" s="13">
        <v>0</v>
      </c>
      <c r="AB34" s="13">
        <f t="shared" si="9"/>
        <v>1</v>
      </c>
      <c r="AC34" s="13">
        <v>0</v>
      </c>
      <c r="AD34" s="13">
        <v>0</v>
      </c>
      <c r="AE34" s="13">
        <v>1</v>
      </c>
      <c r="AF34" s="13">
        <f t="shared" ref="AF34:AF65" si="12">AG34+AH34</f>
        <v>0</v>
      </c>
      <c r="AG34" s="13">
        <v>0</v>
      </c>
      <c r="AH34" s="13">
        <v>0</v>
      </c>
      <c r="AI34">
        <v>0</v>
      </c>
      <c r="AJ34">
        <v>0</v>
      </c>
      <c r="AK34" s="13">
        <v>0</v>
      </c>
      <c r="AL34" s="14">
        <f t="shared" ref="AL34:AL65" si="13">(AB34+AF34)/AO34</f>
        <v>9.390503189227498E-3</v>
      </c>
      <c r="AM34" s="8">
        <f t="shared" ref="AM34:AM65" si="14">((V34+AD34+AG34)/AO34)*100</f>
        <v>90.148830616583979</v>
      </c>
      <c r="AN34" s="8">
        <f t="shared" ref="AN34:AN65" si="15">(((V34+AD34+AG34)-AJ34-AI34)/AO34)*100</f>
        <v>90.148830616583979</v>
      </c>
      <c r="AO34" s="13">
        <f t="shared" ref="AO34:AO65" si="16">SUM(V34+W34+Y34+Z34+AB34+AF34+AK34)</f>
        <v>106.49056603773585</v>
      </c>
      <c r="AP34" s="10" t="s">
        <v>14</v>
      </c>
    </row>
    <row r="35" spans="1:43" ht="51" x14ac:dyDescent="0.2">
      <c r="A35" t="s">
        <v>18</v>
      </c>
      <c r="B35">
        <v>7</v>
      </c>
      <c r="C35" s="8">
        <v>27.13618</v>
      </c>
      <c r="D35" s="8">
        <v>-82.474829999999997</v>
      </c>
      <c r="E35" s="9">
        <v>44769</v>
      </c>
      <c r="F35" t="s">
        <v>6</v>
      </c>
      <c r="G35" t="s">
        <v>7</v>
      </c>
      <c r="H35">
        <v>1</v>
      </c>
      <c r="I35" t="s">
        <v>19</v>
      </c>
      <c r="J35" s="10">
        <v>1</v>
      </c>
      <c r="K35" s="10" t="s">
        <v>218</v>
      </c>
      <c r="L35" s="10" t="s">
        <v>20</v>
      </c>
      <c r="M35" s="8">
        <v>1.524</v>
      </c>
      <c r="N35" s="8">
        <v>14.020799999999999</v>
      </c>
      <c r="O35" s="11">
        <v>15.5448</v>
      </c>
      <c r="P35" s="12">
        <v>0.90196078431372539</v>
      </c>
      <c r="Q35" t="str">
        <f t="shared" si="10"/>
        <v>U</v>
      </c>
      <c r="R35" s="13">
        <f>(CONVERT(12.5,"in","cm"))</f>
        <v>31.75</v>
      </c>
      <c r="S35" s="13">
        <f>(CONVERT(17.5,"in","cm"))</f>
        <v>44.45</v>
      </c>
      <c r="T35" s="13">
        <f t="shared" si="11"/>
        <v>12.700000000000003</v>
      </c>
      <c r="U35" s="13">
        <f>(CONVERT(11,"in","cm"))</f>
        <v>27.939999999999998</v>
      </c>
      <c r="V35" s="13">
        <v>69</v>
      </c>
      <c r="W35" s="13">
        <v>10</v>
      </c>
      <c r="X35" s="8">
        <f>(3/10)*100</f>
        <v>30</v>
      </c>
      <c r="Y35" s="13">
        <v>0</v>
      </c>
      <c r="Z35" s="13">
        <v>1</v>
      </c>
      <c r="AA35" s="13">
        <v>0</v>
      </c>
      <c r="AB35" s="13">
        <f t="shared" si="9"/>
        <v>1</v>
      </c>
      <c r="AC35" s="13">
        <v>0</v>
      </c>
      <c r="AD35" s="13">
        <v>0</v>
      </c>
      <c r="AE35" s="13">
        <v>1</v>
      </c>
      <c r="AF35" s="13">
        <f t="shared" si="12"/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4">
        <f t="shared" si="13"/>
        <v>1.2345679012345678E-2</v>
      </c>
      <c r="AM35" s="8">
        <f t="shared" si="14"/>
        <v>85.18518518518519</v>
      </c>
      <c r="AN35" s="8">
        <f t="shared" si="15"/>
        <v>85.18518518518519</v>
      </c>
      <c r="AO35" s="13">
        <f t="shared" si="16"/>
        <v>81</v>
      </c>
      <c r="AP35" s="10" t="s">
        <v>21</v>
      </c>
    </row>
    <row r="36" spans="1:43" ht="102" x14ac:dyDescent="0.2">
      <c r="A36" t="s">
        <v>33</v>
      </c>
      <c r="B36">
        <v>7</v>
      </c>
      <c r="C36" s="8">
        <v>27.13869</v>
      </c>
      <c r="D36" s="8">
        <v>-82.475639999999999</v>
      </c>
      <c r="E36" s="9">
        <v>44773</v>
      </c>
      <c r="F36" t="s">
        <v>6</v>
      </c>
      <c r="G36" t="s">
        <v>7</v>
      </c>
      <c r="H36">
        <v>1</v>
      </c>
      <c r="I36" s="10" t="s">
        <v>34</v>
      </c>
      <c r="J36" s="10">
        <v>1</v>
      </c>
      <c r="K36" s="10" t="s">
        <v>218</v>
      </c>
      <c r="L36" s="10" t="s">
        <v>35</v>
      </c>
      <c r="M36" s="8">
        <v>-2.4384000000000001</v>
      </c>
      <c r="N36" s="8">
        <v>17.0688</v>
      </c>
      <c r="O36" s="11">
        <v>14.6304</v>
      </c>
      <c r="P36" s="12">
        <v>1.1666666666666667</v>
      </c>
      <c r="Q36" t="str">
        <f t="shared" si="10"/>
        <v>U</v>
      </c>
      <c r="R36" s="13">
        <f>(CONVERT(6,"in","cm"))</f>
        <v>15.24</v>
      </c>
      <c r="S36" s="13">
        <f>(CONVERT(14,"in","cm"))</f>
        <v>35.56</v>
      </c>
      <c r="T36" s="13">
        <f t="shared" si="11"/>
        <v>20.32</v>
      </c>
      <c r="U36" s="13">
        <f>(CONVERT(9,"in","cm"))</f>
        <v>22.86</v>
      </c>
      <c r="V36" s="13">
        <v>65</v>
      </c>
      <c r="W36" s="13">
        <v>11</v>
      </c>
      <c r="X36" s="8">
        <f>(4/11)*100</f>
        <v>36.363636363636367</v>
      </c>
      <c r="Y36" s="13">
        <v>0</v>
      </c>
      <c r="Z36" s="13">
        <v>0</v>
      </c>
      <c r="AA36" s="13">
        <v>1</v>
      </c>
      <c r="AB36" s="13">
        <f t="shared" si="9"/>
        <v>2</v>
      </c>
      <c r="AC36" s="13">
        <v>0</v>
      </c>
      <c r="AD36" s="13">
        <v>0</v>
      </c>
      <c r="AE36" s="13">
        <v>2</v>
      </c>
      <c r="AF36" s="13">
        <f t="shared" si="12"/>
        <v>3</v>
      </c>
      <c r="AG36" s="13">
        <v>0</v>
      </c>
      <c r="AH36" s="13">
        <v>3</v>
      </c>
      <c r="AI36" s="13">
        <v>0</v>
      </c>
      <c r="AJ36" s="13">
        <v>0</v>
      </c>
      <c r="AK36" s="13">
        <v>0</v>
      </c>
      <c r="AL36" s="14">
        <f t="shared" si="13"/>
        <v>6.1728395061728392E-2</v>
      </c>
      <c r="AM36" s="8">
        <f t="shared" si="14"/>
        <v>80.246913580246911</v>
      </c>
      <c r="AN36" s="8">
        <f t="shared" si="15"/>
        <v>80.246913580246911</v>
      </c>
      <c r="AO36" s="13">
        <f t="shared" si="16"/>
        <v>81</v>
      </c>
      <c r="AP36" s="10" t="s">
        <v>36</v>
      </c>
    </row>
    <row r="37" spans="1:43" ht="17" x14ac:dyDescent="0.2">
      <c r="A37" t="s">
        <v>37</v>
      </c>
      <c r="B37">
        <v>7</v>
      </c>
      <c r="C37" s="8">
        <v>27.13691</v>
      </c>
      <c r="D37" s="8">
        <v>-82.474999999999994</v>
      </c>
      <c r="E37" s="9">
        <v>44774</v>
      </c>
      <c r="F37" t="s">
        <v>6</v>
      </c>
      <c r="G37" t="s">
        <v>7</v>
      </c>
      <c r="H37">
        <v>0</v>
      </c>
      <c r="I37" s="10" t="s">
        <v>38</v>
      </c>
      <c r="J37" s="10">
        <v>1</v>
      </c>
      <c r="K37" s="10" t="s">
        <v>218</v>
      </c>
      <c r="L37" s="10" t="s">
        <v>39</v>
      </c>
      <c r="M37" s="8">
        <v>3.3527999999999998</v>
      </c>
      <c r="N37" s="8">
        <v>12.4968</v>
      </c>
      <c r="O37" s="11">
        <v>15.849600000000001</v>
      </c>
      <c r="P37" s="12">
        <v>0.78846153846153844</v>
      </c>
      <c r="Q37" t="str">
        <f t="shared" si="10"/>
        <v>U</v>
      </c>
      <c r="R37" s="13">
        <f>(CONVERT(9,"in","cm"))</f>
        <v>22.86</v>
      </c>
      <c r="S37" s="13">
        <f>(CONVERT(19.5,"in","cm"))</f>
        <v>49.53</v>
      </c>
      <c r="T37" s="13">
        <f t="shared" si="11"/>
        <v>26.67</v>
      </c>
      <c r="U37" s="13">
        <f>(CONVERT(10,"in","cm"))</f>
        <v>25.4</v>
      </c>
      <c r="V37" s="13">
        <v>76</v>
      </c>
      <c r="W37" s="13">
        <v>3</v>
      </c>
      <c r="X37" s="8">
        <v>0</v>
      </c>
      <c r="Y37" s="13">
        <v>0</v>
      </c>
      <c r="Z37" s="13">
        <v>0</v>
      </c>
      <c r="AA37" s="13">
        <v>0</v>
      </c>
      <c r="AB37" s="13">
        <f t="shared" si="9"/>
        <v>1</v>
      </c>
      <c r="AC37" s="13">
        <v>0</v>
      </c>
      <c r="AD37" s="13">
        <v>0</v>
      </c>
      <c r="AE37" s="13">
        <v>1</v>
      </c>
      <c r="AF37" s="13">
        <f t="shared" si="12"/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4">
        <f t="shared" si="13"/>
        <v>1.2500000000000001E-2</v>
      </c>
      <c r="AM37" s="8">
        <f t="shared" si="14"/>
        <v>95</v>
      </c>
      <c r="AN37" s="8">
        <f t="shared" si="15"/>
        <v>95</v>
      </c>
      <c r="AO37" s="13">
        <f t="shared" si="16"/>
        <v>80</v>
      </c>
      <c r="AP37" s="10" t="s">
        <v>40</v>
      </c>
    </row>
    <row r="38" spans="1:43" ht="34" x14ac:dyDescent="0.2">
      <c r="A38" t="s">
        <v>55</v>
      </c>
      <c r="B38">
        <v>7</v>
      </c>
      <c r="C38" s="8">
        <v>27.137730000000001</v>
      </c>
      <c r="D38" s="8">
        <v>-82.475350000000006</v>
      </c>
      <c r="E38" s="9">
        <v>44778</v>
      </c>
      <c r="F38" t="s">
        <v>6</v>
      </c>
      <c r="G38" t="s">
        <v>7</v>
      </c>
      <c r="H38">
        <v>1</v>
      </c>
      <c r="I38" s="10" t="s">
        <v>56</v>
      </c>
      <c r="J38" s="10">
        <v>1</v>
      </c>
      <c r="K38" s="10" t="s">
        <v>218</v>
      </c>
      <c r="L38" s="10" t="s">
        <v>57</v>
      </c>
      <c r="M38" s="8">
        <v>1.2192000000000001</v>
      </c>
      <c r="N38" s="8">
        <v>19.507200000000001</v>
      </c>
      <c r="O38" s="11">
        <v>20.726400000000002</v>
      </c>
      <c r="P38" s="12">
        <v>0.94117647058823528</v>
      </c>
      <c r="Q38" t="str">
        <f t="shared" si="10"/>
        <v>U</v>
      </c>
      <c r="R38" s="13">
        <f>(CONVERT(14.5,"in","cm"))</f>
        <v>36.83</v>
      </c>
      <c r="S38" s="13">
        <f>(CONVERT(21,"in","cm"))</f>
        <v>53.339999999999996</v>
      </c>
      <c r="T38" s="13">
        <f t="shared" si="11"/>
        <v>16.509999999999998</v>
      </c>
      <c r="U38" s="13">
        <f>(CONVERT(12,"in","cm"))</f>
        <v>30.48</v>
      </c>
      <c r="V38" s="13">
        <v>66</v>
      </c>
      <c r="W38" s="13">
        <v>5</v>
      </c>
      <c r="X38" s="8">
        <v>0</v>
      </c>
      <c r="Y38" s="13">
        <v>0</v>
      </c>
      <c r="Z38" s="13">
        <v>0</v>
      </c>
      <c r="AA38" s="13">
        <v>0</v>
      </c>
      <c r="AB38" s="13">
        <f t="shared" si="9"/>
        <v>0</v>
      </c>
      <c r="AC38" s="13">
        <v>0</v>
      </c>
      <c r="AD38" s="13">
        <v>0</v>
      </c>
      <c r="AE38" s="13">
        <v>0</v>
      </c>
      <c r="AF38" s="13">
        <f t="shared" si="12"/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4">
        <f t="shared" si="13"/>
        <v>0</v>
      </c>
      <c r="AM38" s="8">
        <f t="shared" si="14"/>
        <v>92.957746478873233</v>
      </c>
      <c r="AN38" s="8">
        <f t="shared" si="15"/>
        <v>92.957746478873233</v>
      </c>
      <c r="AO38" s="13">
        <f t="shared" si="16"/>
        <v>71</v>
      </c>
    </row>
    <row r="39" spans="1:43" ht="34" x14ac:dyDescent="0.2">
      <c r="A39" t="s">
        <v>86</v>
      </c>
      <c r="B39">
        <v>7</v>
      </c>
      <c r="C39" s="8">
        <v>27.137049999999999</v>
      </c>
      <c r="D39" s="8">
        <v>-82.475030000000004</v>
      </c>
      <c r="E39" s="9">
        <v>44785</v>
      </c>
      <c r="F39" t="s">
        <v>6</v>
      </c>
      <c r="G39" t="s">
        <v>7</v>
      </c>
      <c r="H39">
        <v>1</v>
      </c>
      <c r="I39" s="10" t="s">
        <v>87</v>
      </c>
      <c r="J39" s="10">
        <v>1</v>
      </c>
      <c r="K39" s="10" t="s">
        <v>218</v>
      </c>
      <c r="L39" s="10" t="s">
        <v>88</v>
      </c>
      <c r="M39" s="8">
        <v>-7.3151999999999999</v>
      </c>
      <c r="N39" s="8">
        <v>27.127199999999998</v>
      </c>
      <c r="O39" s="11">
        <v>19.812000000000001</v>
      </c>
      <c r="P39" s="12">
        <v>1.369230769230769</v>
      </c>
      <c r="Q39" t="str">
        <f t="shared" si="10"/>
        <v>U</v>
      </c>
      <c r="R39" s="13">
        <f>(CONVERT(10,"in","cm"))</f>
        <v>25.4</v>
      </c>
      <c r="S39" s="13">
        <f>(CONVERT(18,"in","cm"))</f>
        <v>45.72</v>
      </c>
      <c r="T39" s="13">
        <f t="shared" si="11"/>
        <v>20.32</v>
      </c>
      <c r="U39" s="13">
        <f>(CONVERT(9,"in","cm"))</f>
        <v>22.86</v>
      </c>
      <c r="V39" s="13">
        <v>38</v>
      </c>
      <c r="W39" s="13">
        <v>11</v>
      </c>
      <c r="X39" s="8">
        <f>(6/11)*100</f>
        <v>54.54545454545454</v>
      </c>
      <c r="Y39" s="13">
        <v>0</v>
      </c>
      <c r="Z39" s="13">
        <v>3</v>
      </c>
      <c r="AA39" s="13">
        <v>0</v>
      </c>
      <c r="AB39" s="13">
        <f t="shared" si="9"/>
        <v>46</v>
      </c>
      <c r="AC39" s="13">
        <v>1</v>
      </c>
      <c r="AD39" s="13">
        <v>42</v>
      </c>
      <c r="AE39" s="13">
        <v>4</v>
      </c>
      <c r="AF39" s="13">
        <f t="shared" si="12"/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4">
        <f t="shared" si="13"/>
        <v>0.46938775510204084</v>
      </c>
      <c r="AM39" s="8">
        <f t="shared" si="14"/>
        <v>81.632653061224488</v>
      </c>
      <c r="AN39" s="8">
        <f t="shared" si="15"/>
        <v>81.632653061224488</v>
      </c>
      <c r="AO39" s="13">
        <f t="shared" si="16"/>
        <v>98</v>
      </c>
    </row>
    <row r="40" spans="1:43" ht="68" x14ac:dyDescent="0.2">
      <c r="A40" t="s">
        <v>102</v>
      </c>
      <c r="B40">
        <v>7</v>
      </c>
      <c r="C40" s="17">
        <v>27.132770000000001</v>
      </c>
      <c r="D40" s="17">
        <v>-82.473820000000003</v>
      </c>
      <c r="E40" s="9">
        <v>44787</v>
      </c>
      <c r="F40" t="s">
        <v>6</v>
      </c>
      <c r="G40" t="s">
        <v>7</v>
      </c>
      <c r="H40">
        <v>1</v>
      </c>
      <c r="I40" s="10" t="s">
        <v>103</v>
      </c>
      <c r="J40" s="10">
        <v>1</v>
      </c>
      <c r="K40" s="10" t="s">
        <v>218</v>
      </c>
      <c r="L40" s="10" t="s">
        <v>98</v>
      </c>
      <c r="M40" s="8">
        <v>-0.60960000000000003</v>
      </c>
      <c r="N40" s="8">
        <v>22.555199999999999</v>
      </c>
      <c r="O40" s="11">
        <v>21.945599999999999</v>
      </c>
      <c r="P40" s="12">
        <v>1.0277777777777779</v>
      </c>
      <c r="Q40" t="str">
        <f t="shared" si="10"/>
        <v>U</v>
      </c>
      <c r="R40" s="13">
        <v>31</v>
      </c>
      <c r="S40" s="13">
        <v>52</v>
      </c>
      <c r="T40" s="13">
        <f t="shared" si="11"/>
        <v>21</v>
      </c>
      <c r="U40" s="13">
        <v>25</v>
      </c>
      <c r="V40" s="13">
        <v>0</v>
      </c>
      <c r="W40" s="13">
        <v>0</v>
      </c>
      <c r="X40" s="8">
        <v>0</v>
      </c>
      <c r="Y40" s="13">
        <v>0</v>
      </c>
      <c r="Z40" s="13">
        <v>0</v>
      </c>
      <c r="AA40" s="13">
        <v>0</v>
      </c>
      <c r="AB40" s="13">
        <f t="shared" si="9"/>
        <v>113</v>
      </c>
      <c r="AC40" s="13">
        <v>0</v>
      </c>
      <c r="AD40" s="13">
        <v>8</v>
      </c>
      <c r="AE40" s="13">
        <v>105</v>
      </c>
      <c r="AF40" s="13">
        <f t="shared" si="12"/>
        <v>0</v>
      </c>
      <c r="AG40" s="13">
        <v>0</v>
      </c>
      <c r="AH40" s="13">
        <v>0</v>
      </c>
      <c r="AI40" s="13">
        <v>6</v>
      </c>
      <c r="AJ40" s="13">
        <v>0</v>
      </c>
      <c r="AK40" s="13">
        <v>0</v>
      </c>
      <c r="AL40" s="14">
        <f t="shared" si="13"/>
        <v>1</v>
      </c>
      <c r="AM40" s="8">
        <f t="shared" si="14"/>
        <v>7.0796460176991154</v>
      </c>
      <c r="AN40" s="8">
        <f t="shared" si="15"/>
        <v>1.7699115044247788</v>
      </c>
      <c r="AO40" s="13">
        <f t="shared" si="16"/>
        <v>113</v>
      </c>
      <c r="AP40" t="s">
        <v>104</v>
      </c>
    </row>
    <row r="41" spans="1:43" ht="51" x14ac:dyDescent="0.2">
      <c r="A41" t="s">
        <v>111</v>
      </c>
      <c r="B41">
        <v>7</v>
      </c>
      <c r="C41" s="17">
        <v>27.135739999999998</v>
      </c>
      <c r="D41" s="17">
        <v>-82.47466</v>
      </c>
      <c r="E41" s="9">
        <v>44788</v>
      </c>
      <c r="F41" t="s">
        <v>6</v>
      </c>
      <c r="G41" t="s">
        <v>7</v>
      </c>
      <c r="H41">
        <v>1</v>
      </c>
      <c r="I41" s="10" t="s">
        <v>112</v>
      </c>
      <c r="J41" s="10">
        <v>1</v>
      </c>
      <c r="K41" s="10" t="s">
        <v>218</v>
      </c>
      <c r="L41" s="10" t="s">
        <v>39</v>
      </c>
      <c r="M41" s="8">
        <v>0.91439999999999999</v>
      </c>
      <c r="N41" s="8">
        <v>16.763999999999999</v>
      </c>
      <c r="O41" s="11">
        <v>17.6784</v>
      </c>
      <c r="P41" s="12">
        <v>0.94827586206896552</v>
      </c>
      <c r="Q41" t="str">
        <f t="shared" si="10"/>
        <v>U</v>
      </c>
      <c r="R41" s="13">
        <v>46</v>
      </c>
      <c r="S41" s="13">
        <v>48</v>
      </c>
      <c r="T41" s="13">
        <f t="shared" si="11"/>
        <v>2</v>
      </c>
      <c r="U41" s="13">
        <v>26</v>
      </c>
      <c r="V41" s="13">
        <v>78</v>
      </c>
      <c r="W41" s="13">
        <v>1</v>
      </c>
      <c r="X41" s="8">
        <v>0</v>
      </c>
      <c r="Y41" s="13">
        <v>0</v>
      </c>
      <c r="Z41" s="13">
        <v>0</v>
      </c>
      <c r="AA41" s="13">
        <v>0</v>
      </c>
      <c r="AB41" s="13">
        <f t="shared" si="9"/>
        <v>0</v>
      </c>
      <c r="AC41" s="13">
        <v>0</v>
      </c>
      <c r="AD41" s="13">
        <v>0</v>
      </c>
      <c r="AE41" s="13">
        <v>0</v>
      </c>
      <c r="AF41" s="13">
        <f t="shared" si="12"/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4">
        <f t="shared" si="13"/>
        <v>0</v>
      </c>
      <c r="AM41" s="8">
        <f t="shared" si="14"/>
        <v>98.734177215189874</v>
      </c>
      <c r="AN41" s="8">
        <f t="shared" si="15"/>
        <v>98.734177215189874</v>
      </c>
      <c r="AO41" s="13">
        <f t="shared" si="16"/>
        <v>79</v>
      </c>
    </row>
    <row r="42" spans="1:43" ht="51" x14ac:dyDescent="0.2">
      <c r="A42" t="s">
        <v>113</v>
      </c>
      <c r="B42">
        <v>7</v>
      </c>
      <c r="C42" s="17">
        <v>27.133649999999999</v>
      </c>
      <c r="D42" s="17">
        <v>-82.473969999999994</v>
      </c>
      <c r="E42" s="9">
        <v>44788</v>
      </c>
      <c r="F42" t="s">
        <v>6</v>
      </c>
      <c r="G42" t="s">
        <v>7</v>
      </c>
      <c r="H42">
        <v>1</v>
      </c>
      <c r="I42" s="10" t="s">
        <v>114</v>
      </c>
      <c r="J42" s="10">
        <v>1</v>
      </c>
      <c r="K42" s="10" t="s">
        <v>218</v>
      </c>
      <c r="L42" s="10" t="s">
        <v>39</v>
      </c>
      <c r="M42" s="8">
        <v>0.91439999999999999</v>
      </c>
      <c r="N42" s="8">
        <v>19.507200000000001</v>
      </c>
      <c r="O42" s="11">
        <v>20.421600000000002</v>
      </c>
      <c r="P42" s="12">
        <v>0.95522388059701491</v>
      </c>
      <c r="Q42" t="str">
        <f t="shared" si="10"/>
        <v>U</v>
      </c>
      <c r="R42" s="13">
        <v>33</v>
      </c>
      <c r="S42" s="13">
        <v>46</v>
      </c>
      <c r="T42" s="13">
        <f t="shared" si="11"/>
        <v>13</v>
      </c>
      <c r="U42" s="13">
        <v>22</v>
      </c>
      <c r="V42" s="13">
        <v>79</v>
      </c>
      <c r="W42" s="13">
        <v>9</v>
      </c>
      <c r="X42" s="8">
        <v>0</v>
      </c>
      <c r="Y42" s="13">
        <v>0</v>
      </c>
      <c r="Z42" s="13">
        <v>0</v>
      </c>
      <c r="AA42" s="13">
        <v>0</v>
      </c>
      <c r="AB42" s="13">
        <f t="shared" si="9"/>
        <v>2</v>
      </c>
      <c r="AC42" s="13">
        <v>0</v>
      </c>
      <c r="AD42" s="13">
        <v>0</v>
      </c>
      <c r="AE42" s="13">
        <v>2</v>
      </c>
      <c r="AF42" s="13">
        <f t="shared" si="12"/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4">
        <f t="shared" si="13"/>
        <v>2.2222222222222223E-2</v>
      </c>
      <c r="AM42" s="8">
        <f t="shared" si="14"/>
        <v>87.777777777777771</v>
      </c>
      <c r="AN42" s="8">
        <f t="shared" si="15"/>
        <v>87.777777777777771</v>
      </c>
      <c r="AO42" s="13">
        <f t="shared" si="16"/>
        <v>90</v>
      </c>
    </row>
    <row r="43" spans="1:43" ht="68" x14ac:dyDescent="0.2">
      <c r="A43" t="s">
        <v>117</v>
      </c>
      <c r="B43">
        <v>7</v>
      </c>
      <c r="C43" s="17">
        <v>27.13456</v>
      </c>
      <c r="D43" s="17">
        <v>-82.474279999999993</v>
      </c>
      <c r="E43" s="9">
        <v>44789</v>
      </c>
      <c r="F43" t="s">
        <v>6</v>
      </c>
      <c r="G43" t="s">
        <v>118</v>
      </c>
      <c r="H43">
        <v>1</v>
      </c>
      <c r="I43" s="10" t="s">
        <v>119</v>
      </c>
      <c r="J43" s="10">
        <v>1</v>
      </c>
      <c r="K43" s="10" t="s">
        <v>218</v>
      </c>
      <c r="L43" s="10" t="s">
        <v>39</v>
      </c>
      <c r="M43" s="8">
        <v>1.8288</v>
      </c>
      <c r="N43" s="8">
        <v>17.3736</v>
      </c>
      <c r="O43" s="11">
        <v>19.202400000000001</v>
      </c>
      <c r="P43" s="12">
        <v>0.90476190476190466</v>
      </c>
      <c r="Q43" t="str">
        <f t="shared" si="10"/>
        <v>U</v>
      </c>
      <c r="R43" s="13">
        <v>35</v>
      </c>
      <c r="S43" s="13">
        <v>42</v>
      </c>
      <c r="T43" s="13">
        <f t="shared" si="11"/>
        <v>7</v>
      </c>
      <c r="U43" s="13">
        <v>30</v>
      </c>
      <c r="V43" s="13">
        <v>22</v>
      </c>
      <c r="W43" s="13">
        <v>22</v>
      </c>
      <c r="X43" s="8">
        <f>(1/22)*100</f>
        <v>4.5454545454545459</v>
      </c>
      <c r="Y43" s="13">
        <v>0</v>
      </c>
      <c r="Z43" s="13">
        <v>0</v>
      </c>
      <c r="AA43" s="13">
        <v>0</v>
      </c>
      <c r="AB43" s="13">
        <f t="shared" si="9"/>
        <v>0</v>
      </c>
      <c r="AC43" s="13">
        <v>0</v>
      </c>
      <c r="AD43" s="13">
        <v>0</v>
      </c>
      <c r="AE43" s="13">
        <v>0</v>
      </c>
      <c r="AF43" s="13">
        <f t="shared" si="12"/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7</v>
      </c>
      <c r="AL43" s="14">
        <f t="shared" si="13"/>
        <v>0</v>
      </c>
      <c r="AM43" s="8">
        <f t="shared" si="14"/>
        <v>43.137254901960787</v>
      </c>
      <c r="AN43" s="8">
        <f t="shared" si="15"/>
        <v>43.137254901960787</v>
      </c>
      <c r="AO43" s="13">
        <f t="shared" si="16"/>
        <v>51</v>
      </c>
      <c r="AP43" t="s">
        <v>120</v>
      </c>
      <c r="AQ43" s="13"/>
    </row>
    <row r="44" spans="1:43" ht="68" x14ac:dyDescent="0.2">
      <c r="A44" t="s">
        <v>130</v>
      </c>
      <c r="B44">
        <v>7</v>
      </c>
      <c r="C44" s="8">
        <v>27.13804</v>
      </c>
      <c r="D44" s="8">
        <v>-82.475459999999998</v>
      </c>
      <c r="E44" s="9">
        <v>44791</v>
      </c>
      <c r="F44" t="s">
        <v>6</v>
      </c>
      <c r="G44" t="s">
        <v>7</v>
      </c>
      <c r="H44">
        <v>1</v>
      </c>
      <c r="I44" s="10" t="s">
        <v>131</v>
      </c>
      <c r="J44" s="10">
        <v>1</v>
      </c>
      <c r="K44" s="10" t="s">
        <v>218</v>
      </c>
      <c r="L44" s="10" t="s">
        <v>98</v>
      </c>
      <c r="M44" s="8">
        <v>0</v>
      </c>
      <c r="N44" s="8">
        <v>17.3736</v>
      </c>
      <c r="O44" s="11">
        <v>17.3736</v>
      </c>
      <c r="P44" s="12">
        <v>1</v>
      </c>
      <c r="Q44" t="str">
        <f t="shared" si="10"/>
        <v>U</v>
      </c>
      <c r="R44" s="13">
        <v>26</v>
      </c>
      <c r="S44" s="13">
        <v>29</v>
      </c>
      <c r="T44" s="13">
        <f t="shared" si="11"/>
        <v>3</v>
      </c>
      <c r="U44" s="13">
        <v>15</v>
      </c>
      <c r="V44" s="13">
        <v>80</v>
      </c>
      <c r="W44" s="13">
        <v>1</v>
      </c>
      <c r="X44" s="8">
        <v>0</v>
      </c>
      <c r="Y44" s="13">
        <v>0</v>
      </c>
      <c r="Z44" s="13">
        <v>0</v>
      </c>
      <c r="AA44" s="13">
        <v>0</v>
      </c>
      <c r="AB44" s="13">
        <f t="shared" si="9"/>
        <v>1</v>
      </c>
      <c r="AC44" s="13">
        <v>0</v>
      </c>
      <c r="AD44" s="13">
        <v>1</v>
      </c>
      <c r="AE44" s="13">
        <v>0</v>
      </c>
      <c r="AF44" s="13">
        <f t="shared" si="12"/>
        <v>0</v>
      </c>
      <c r="AG44" s="13">
        <v>0</v>
      </c>
      <c r="AH44" s="13">
        <v>0</v>
      </c>
      <c r="AI44" s="13">
        <v>1</v>
      </c>
      <c r="AJ44" s="13">
        <v>0</v>
      </c>
      <c r="AK44" s="13">
        <v>0</v>
      </c>
      <c r="AL44" s="14">
        <f t="shared" si="13"/>
        <v>1.2195121951219513E-2</v>
      </c>
      <c r="AM44" s="8">
        <f t="shared" si="14"/>
        <v>98.780487804878049</v>
      </c>
      <c r="AN44" s="8">
        <f t="shared" si="15"/>
        <v>97.560975609756099</v>
      </c>
      <c r="AO44" s="13">
        <f t="shared" si="16"/>
        <v>82</v>
      </c>
      <c r="AQ44" s="13"/>
    </row>
    <row r="45" spans="1:43" ht="34" x14ac:dyDescent="0.2">
      <c r="A45" t="s">
        <v>132</v>
      </c>
      <c r="B45">
        <v>7</v>
      </c>
      <c r="C45" s="15">
        <v>27.136839999999999</v>
      </c>
      <c r="D45" s="15">
        <v>-82.475040000000007</v>
      </c>
      <c r="E45" s="9">
        <v>44791</v>
      </c>
      <c r="F45" t="s">
        <v>6</v>
      </c>
      <c r="G45" t="s">
        <v>7</v>
      </c>
      <c r="H45">
        <v>1</v>
      </c>
      <c r="I45" s="10" t="s">
        <v>133</v>
      </c>
      <c r="J45" s="10">
        <v>1</v>
      </c>
      <c r="K45" s="10" t="s">
        <v>218</v>
      </c>
      <c r="L45" s="10" t="s">
        <v>98</v>
      </c>
      <c r="M45" s="8">
        <v>1.2192000000000001</v>
      </c>
      <c r="N45" s="8">
        <v>19.507200000000001</v>
      </c>
      <c r="O45" s="11">
        <v>20.726400000000002</v>
      </c>
      <c r="P45" s="12">
        <v>0.94117647058823528</v>
      </c>
      <c r="Q45" t="str">
        <f t="shared" si="10"/>
        <v>U</v>
      </c>
      <c r="R45" s="13">
        <v>38</v>
      </c>
      <c r="S45" s="13">
        <v>43</v>
      </c>
      <c r="T45" s="13">
        <f t="shared" si="11"/>
        <v>5</v>
      </c>
      <c r="U45" s="13">
        <v>19</v>
      </c>
      <c r="V45" s="13">
        <v>102</v>
      </c>
      <c r="W45" s="13">
        <v>6</v>
      </c>
      <c r="X45" s="8">
        <v>0</v>
      </c>
      <c r="Y45" s="13">
        <v>0</v>
      </c>
      <c r="Z45" s="13">
        <v>7</v>
      </c>
      <c r="AA45" s="13">
        <v>0</v>
      </c>
      <c r="AB45" s="13">
        <f t="shared" si="9"/>
        <v>0</v>
      </c>
      <c r="AC45" s="13">
        <v>0</v>
      </c>
      <c r="AD45" s="13">
        <v>0</v>
      </c>
      <c r="AE45" s="13">
        <v>0</v>
      </c>
      <c r="AF45" s="13">
        <f t="shared" si="12"/>
        <v>0</v>
      </c>
      <c r="AG45" s="13">
        <v>0</v>
      </c>
      <c r="AH45" s="13">
        <v>0</v>
      </c>
      <c r="AI45" s="13">
        <v>2</v>
      </c>
      <c r="AJ45" s="13">
        <v>1</v>
      </c>
      <c r="AK45" s="13">
        <v>0</v>
      </c>
      <c r="AL45" s="14">
        <f t="shared" si="13"/>
        <v>0</v>
      </c>
      <c r="AM45" s="8">
        <f t="shared" si="14"/>
        <v>88.695652173913047</v>
      </c>
      <c r="AN45" s="8">
        <f t="shared" si="15"/>
        <v>86.08695652173914</v>
      </c>
      <c r="AO45" s="13">
        <f t="shared" si="16"/>
        <v>115</v>
      </c>
      <c r="AQ45" s="13"/>
    </row>
    <row r="46" spans="1:43" ht="68" x14ac:dyDescent="0.2">
      <c r="A46" t="s">
        <v>134</v>
      </c>
      <c r="B46">
        <v>7</v>
      </c>
      <c r="C46" s="16">
        <v>27.13561</v>
      </c>
      <c r="D46" s="16">
        <v>-82.474639999999994</v>
      </c>
      <c r="E46" s="9">
        <v>44791</v>
      </c>
      <c r="F46" t="s">
        <v>6</v>
      </c>
      <c r="G46" t="s">
        <v>7</v>
      </c>
      <c r="H46">
        <v>1</v>
      </c>
      <c r="I46" s="10" t="s">
        <v>135</v>
      </c>
      <c r="J46" s="10">
        <v>1</v>
      </c>
      <c r="K46" s="10" t="s">
        <v>218</v>
      </c>
      <c r="L46" s="10" t="s">
        <v>128</v>
      </c>
      <c r="M46" s="8">
        <v>0.91439999999999999</v>
      </c>
      <c r="N46" s="8">
        <v>17.9832</v>
      </c>
      <c r="O46" s="11">
        <v>18.897600000000001</v>
      </c>
      <c r="P46" s="12">
        <v>0.95161290322580638</v>
      </c>
      <c r="Q46" t="str">
        <f t="shared" si="10"/>
        <v>U</v>
      </c>
      <c r="R46" s="13">
        <v>30</v>
      </c>
      <c r="S46" s="13">
        <v>45</v>
      </c>
      <c r="T46" s="13">
        <f t="shared" si="11"/>
        <v>15</v>
      </c>
      <c r="U46" s="13">
        <v>20</v>
      </c>
      <c r="V46" s="13">
        <v>80</v>
      </c>
      <c r="W46" s="13">
        <v>2</v>
      </c>
      <c r="X46" s="8">
        <v>0</v>
      </c>
      <c r="Y46" s="13">
        <v>1</v>
      </c>
      <c r="Z46" s="13">
        <v>1</v>
      </c>
      <c r="AA46" s="13">
        <v>0</v>
      </c>
      <c r="AB46" s="13">
        <f t="shared" si="9"/>
        <v>0</v>
      </c>
      <c r="AC46" s="13">
        <v>0</v>
      </c>
      <c r="AD46" s="13">
        <v>0</v>
      </c>
      <c r="AE46" s="13">
        <v>0</v>
      </c>
      <c r="AF46" s="13">
        <f t="shared" si="12"/>
        <v>0</v>
      </c>
      <c r="AG46" s="13">
        <v>0</v>
      </c>
      <c r="AH46" s="13">
        <v>0</v>
      </c>
      <c r="AI46" s="13">
        <v>9</v>
      </c>
      <c r="AJ46" s="13">
        <v>0</v>
      </c>
      <c r="AK46" s="13">
        <v>0</v>
      </c>
      <c r="AL46" s="14">
        <f t="shared" si="13"/>
        <v>0</v>
      </c>
      <c r="AM46" s="8">
        <f t="shared" si="14"/>
        <v>95.238095238095227</v>
      </c>
      <c r="AN46" s="8">
        <f t="shared" si="15"/>
        <v>84.523809523809518</v>
      </c>
      <c r="AO46" s="13">
        <f t="shared" si="16"/>
        <v>84</v>
      </c>
    </row>
    <row r="47" spans="1:43" ht="51" x14ac:dyDescent="0.2">
      <c r="A47" t="s">
        <v>136</v>
      </c>
      <c r="B47">
        <v>7</v>
      </c>
      <c r="C47" s="16">
        <v>27.134779999999999</v>
      </c>
      <c r="D47" s="16">
        <v>-82.474369999999993</v>
      </c>
      <c r="E47" s="9">
        <v>44791</v>
      </c>
      <c r="F47" t="s">
        <v>6</v>
      </c>
      <c r="G47" t="s">
        <v>7</v>
      </c>
      <c r="H47">
        <v>1</v>
      </c>
      <c r="I47" s="10" t="s">
        <v>137</v>
      </c>
      <c r="J47" s="10">
        <v>1</v>
      </c>
      <c r="K47" s="10" t="s">
        <v>218</v>
      </c>
      <c r="L47" s="10" t="s">
        <v>128</v>
      </c>
      <c r="M47" s="8">
        <v>1.524</v>
      </c>
      <c r="N47" s="8">
        <v>15.5448</v>
      </c>
      <c r="O47" s="11">
        <v>17.0688</v>
      </c>
      <c r="P47" s="12">
        <v>0.91071428571428581</v>
      </c>
      <c r="Q47" t="str">
        <f t="shared" si="10"/>
        <v>U</v>
      </c>
      <c r="R47" s="13">
        <v>33</v>
      </c>
      <c r="S47" s="13">
        <v>46</v>
      </c>
      <c r="T47" s="13">
        <f t="shared" si="11"/>
        <v>13</v>
      </c>
      <c r="U47" s="13">
        <v>23</v>
      </c>
      <c r="V47" s="13">
        <v>81</v>
      </c>
      <c r="W47" s="13">
        <v>8</v>
      </c>
      <c r="X47" s="8">
        <v>0</v>
      </c>
      <c r="Y47" s="13">
        <v>0</v>
      </c>
      <c r="Z47" s="13">
        <v>10</v>
      </c>
      <c r="AA47" s="13">
        <v>0</v>
      </c>
      <c r="AB47" s="13">
        <f t="shared" si="9"/>
        <v>0</v>
      </c>
      <c r="AC47" s="13">
        <v>0</v>
      </c>
      <c r="AD47" s="13">
        <v>0</v>
      </c>
      <c r="AE47" s="13">
        <v>0</v>
      </c>
      <c r="AF47" s="13">
        <f t="shared" si="12"/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4">
        <f t="shared" si="13"/>
        <v>0</v>
      </c>
      <c r="AM47" s="8">
        <f t="shared" si="14"/>
        <v>81.818181818181827</v>
      </c>
      <c r="AN47" s="8">
        <f t="shared" si="15"/>
        <v>81.818181818181827</v>
      </c>
      <c r="AO47" s="13">
        <f t="shared" si="16"/>
        <v>99</v>
      </c>
    </row>
    <row r="48" spans="1:43" ht="68" x14ac:dyDescent="0.2">
      <c r="A48" t="s">
        <v>139</v>
      </c>
      <c r="B48">
        <v>7</v>
      </c>
      <c r="C48" s="16">
        <v>27.135079999999999</v>
      </c>
      <c r="D48" s="16">
        <v>-82.474490000000003</v>
      </c>
      <c r="E48" s="9">
        <v>44792</v>
      </c>
      <c r="F48" t="s">
        <v>6</v>
      </c>
      <c r="G48" t="s">
        <v>7</v>
      </c>
      <c r="H48">
        <v>1</v>
      </c>
      <c r="I48" s="10" t="s">
        <v>140</v>
      </c>
      <c r="J48" s="10">
        <v>1</v>
      </c>
      <c r="K48" s="10" t="s">
        <v>218</v>
      </c>
      <c r="L48" s="10" t="s">
        <v>128</v>
      </c>
      <c r="M48" s="8">
        <v>3.048</v>
      </c>
      <c r="N48" s="8">
        <v>15.849600000000001</v>
      </c>
      <c r="O48" s="11">
        <v>18.897600000000001</v>
      </c>
      <c r="P48" s="12">
        <v>0.83870967741935487</v>
      </c>
      <c r="Q48" t="str">
        <f t="shared" si="10"/>
        <v>U</v>
      </c>
      <c r="R48" s="13">
        <v>42</v>
      </c>
      <c r="S48" s="13">
        <v>47</v>
      </c>
      <c r="T48" s="13">
        <f t="shared" si="11"/>
        <v>5</v>
      </c>
      <c r="U48" s="13">
        <v>20</v>
      </c>
      <c r="V48" s="13">
        <v>75</v>
      </c>
      <c r="W48" s="13">
        <v>17</v>
      </c>
      <c r="X48" s="8">
        <v>0</v>
      </c>
      <c r="Y48" s="13">
        <v>0</v>
      </c>
      <c r="Z48" s="13">
        <v>4</v>
      </c>
      <c r="AA48" s="13">
        <v>0</v>
      </c>
      <c r="AB48" s="13">
        <f t="shared" si="9"/>
        <v>0</v>
      </c>
      <c r="AC48" s="13">
        <v>0</v>
      </c>
      <c r="AD48" s="13">
        <v>0</v>
      </c>
      <c r="AE48" s="13">
        <v>0</v>
      </c>
      <c r="AF48" s="13">
        <f t="shared" si="12"/>
        <v>0</v>
      </c>
      <c r="AG48" s="13">
        <v>0</v>
      </c>
      <c r="AH48" s="13">
        <v>0</v>
      </c>
      <c r="AI48" s="13">
        <v>1</v>
      </c>
      <c r="AJ48" s="13">
        <v>0</v>
      </c>
      <c r="AK48" s="13">
        <v>0</v>
      </c>
      <c r="AL48" s="14">
        <f t="shared" si="13"/>
        <v>0</v>
      </c>
      <c r="AM48" s="8">
        <f t="shared" si="14"/>
        <v>78.125</v>
      </c>
      <c r="AN48" s="8">
        <f t="shared" si="15"/>
        <v>77.083333333333343</v>
      </c>
      <c r="AO48" s="13">
        <f t="shared" si="16"/>
        <v>96</v>
      </c>
    </row>
    <row r="49" spans="1:42" ht="51" x14ac:dyDescent="0.2">
      <c r="A49" t="s">
        <v>154</v>
      </c>
      <c r="B49">
        <v>7</v>
      </c>
      <c r="C49" s="15">
        <v>27.13334</v>
      </c>
      <c r="D49" s="15">
        <v>-82.473879999999994</v>
      </c>
      <c r="E49" s="9">
        <v>44796</v>
      </c>
      <c r="F49" t="s">
        <v>6</v>
      </c>
      <c r="G49" t="s">
        <v>7</v>
      </c>
      <c r="H49">
        <v>1</v>
      </c>
      <c r="I49" s="10" t="s">
        <v>23</v>
      </c>
      <c r="J49" s="10">
        <v>1</v>
      </c>
      <c r="K49" s="10" t="s">
        <v>218</v>
      </c>
      <c r="L49" s="10" t="s">
        <v>39</v>
      </c>
      <c r="M49" s="8">
        <v>3.6576</v>
      </c>
      <c r="N49" s="8">
        <v>17.0688</v>
      </c>
      <c r="O49" s="11">
        <v>20.726400000000002</v>
      </c>
      <c r="P49" s="12">
        <v>0.82352941176470584</v>
      </c>
      <c r="Q49" t="str">
        <f t="shared" si="10"/>
        <v>U</v>
      </c>
      <c r="R49" s="13">
        <v>42</v>
      </c>
      <c r="S49" s="13">
        <v>50</v>
      </c>
      <c r="T49" s="13">
        <f t="shared" si="11"/>
        <v>8</v>
      </c>
      <c r="U49" s="13">
        <v>24</v>
      </c>
      <c r="V49" s="13">
        <v>62</v>
      </c>
      <c r="W49" s="13">
        <v>20</v>
      </c>
      <c r="X49" s="8">
        <v>0</v>
      </c>
      <c r="Y49" s="13">
        <v>0</v>
      </c>
      <c r="Z49" s="13">
        <v>2</v>
      </c>
      <c r="AA49" s="13">
        <v>0</v>
      </c>
      <c r="AB49" s="13">
        <f t="shared" si="9"/>
        <v>0</v>
      </c>
      <c r="AC49" s="13">
        <v>0</v>
      </c>
      <c r="AD49" s="13">
        <v>0</v>
      </c>
      <c r="AE49" s="13">
        <v>0</v>
      </c>
      <c r="AF49" s="13">
        <f t="shared" si="12"/>
        <v>0</v>
      </c>
      <c r="AG49" s="13">
        <v>0</v>
      </c>
      <c r="AH49" s="13">
        <v>0</v>
      </c>
      <c r="AI49" s="13">
        <v>2</v>
      </c>
      <c r="AJ49" s="13">
        <v>0</v>
      </c>
      <c r="AK49" s="13">
        <v>0</v>
      </c>
      <c r="AL49" s="14">
        <f t="shared" si="13"/>
        <v>0</v>
      </c>
      <c r="AM49" s="8">
        <f t="shared" si="14"/>
        <v>73.80952380952381</v>
      </c>
      <c r="AN49" s="8">
        <f t="shared" si="15"/>
        <v>71.428571428571431</v>
      </c>
      <c r="AO49" s="13">
        <f t="shared" si="16"/>
        <v>84</v>
      </c>
    </row>
    <row r="50" spans="1:42" ht="34" x14ac:dyDescent="0.2">
      <c r="A50" t="s">
        <v>15</v>
      </c>
      <c r="B50">
        <v>7</v>
      </c>
      <c r="C50" s="8">
        <v>27.13936</v>
      </c>
      <c r="D50" s="8">
        <v>-82.476100000000002</v>
      </c>
      <c r="E50" s="9">
        <v>44769</v>
      </c>
      <c r="F50" t="s">
        <v>6</v>
      </c>
      <c r="G50" t="s">
        <v>7</v>
      </c>
      <c r="H50">
        <v>0</v>
      </c>
      <c r="I50" t="s">
        <v>16</v>
      </c>
      <c r="J50">
        <v>0</v>
      </c>
      <c r="L50" t="s">
        <v>16</v>
      </c>
      <c r="M50" s="8">
        <v>5.1816000000000004</v>
      </c>
      <c r="N50" s="8">
        <v>11.5824</v>
      </c>
      <c r="O50" s="11">
        <v>16.763999999999999</v>
      </c>
      <c r="P50" s="12">
        <v>0.69090909090909092</v>
      </c>
      <c r="Q50" t="str">
        <f t="shared" si="10"/>
        <v>U</v>
      </c>
      <c r="R50" s="13">
        <f>(CONVERT(17.5,"in","cm"))</f>
        <v>44.45</v>
      </c>
      <c r="S50" s="13">
        <f>(CONVERT(19,"in","cm"))</f>
        <v>48.26</v>
      </c>
      <c r="T50" s="13">
        <f t="shared" si="11"/>
        <v>3.8099999999999952</v>
      </c>
      <c r="U50" s="13">
        <f>(CONVERT(10,"in","cm"))</f>
        <v>25.4</v>
      </c>
      <c r="V50" s="13">
        <v>81</v>
      </c>
      <c r="W50" s="13">
        <v>10</v>
      </c>
      <c r="X50" s="8">
        <f>(3/10)*100</f>
        <v>30</v>
      </c>
      <c r="Y50" s="13">
        <v>3</v>
      </c>
      <c r="Z50" s="13">
        <v>0</v>
      </c>
      <c r="AA50" s="13">
        <v>2</v>
      </c>
      <c r="AB50" s="13">
        <f t="shared" si="9"/>
        <v>0</v>
      </c>
      <c r="AC50" s="13">
        <v>0</v>
      </c>
      <c r="AD50" s="13">
        <v>0</v>
      </c>
      <c r="AE50" s="13">
        <v>0</v>
      </c>
      <c r="AF50" s="13">
        <f t="shared" si="12"/>
        <v>0</v>
      </c>
      <c r="AG50" s="13">
        <v>0</v>
      </c>
      <c r="AH50" s="13">
        <v>0</v>
      </c>
      <c r="AI50" s="13">
        <v>2</v>
      </c>
      <c r="AJ50" s="13">
        <v>0</v>
      </c>
      <c r="AK50" s="13">
        <v>0</v>
      </c>
      <c r="AL50" s="14">
        <f t="shared" si="13"/>
        <v>0</v>
      </c>
      <c r="AM50" s="8">
        <f t="shared" si="14"/>
        <v>86.170212765957444</v>
      </c>
      <c r="AN50" s="8">
        <f t="shared" si="15"/>
        <v>84.042553191489361</v>
      </c>
      <c r="AO50" s="13">
        <f t="shared" si="16"/>
        <v>94</v>
      </c>
      <c r="AP50" s="10" t="s">
        <v>17</v>
      </c>
    </row>
    <row r="51" spans="1:42" ht="17" x14ac:dyDescent="0.2">
      <c r="A51" t="s">
        <v>44</v>
      </c>
      <c r="B51">
        <v>7</v>
      </c>
      <c r="C51" s="8">
        <v>27.133459999999999</v>
      </c>
      <c r="D51" s="8">
        <v>-82.473939999999999</v>
      </c>
      <c r="E51" s="9">
        <v>44775</v>
      </c>
      <c r="F51" t="s">
        <v>6</v>
      </c>
      <c r="G51" t="s">
        <v>7</v>
      </c>
      <c r="H51">
        <v>0</v>
      </c>
      <c r="I51" s="10" t="s">
        <v>16</v>
      </c>
      <c r="J51" s="10">
        <v>0</v>
      </c>
      <c r="K51" s="10"/>
      <c r="L51" s="10" t="s">
        <v>16</v>
      </c>
      <c r="M51" s="8">
        <v>4.5720000000000001</v>
      </c>
      <c r="N51" s="8">
        <v>17.0688</v>
      </c>
      <c r="O51" s="11">
        <v>21.640799999999999</v>
      </c>
      <c r="P51" s="12">
        <v>0.78873239436619713</v>
      </c>
      <c r="Q51" t="str">
        <f t="shared" si="10"/>
        <v>U</v>
      </c>
      <c r="R51" s="13">
        <f>(CONVERT(12,"in","cm"))</f>
        <v>30.48</v>
      </c>
      <c r="S51" s="13">
        <f>(CONVERT(20,"in","cm"))</f>
        <v>50.8</v>
      </c>
      <c r="T51" s="13">
        <f t="shared" si="11"/>
        <v>20.319999999999997</v>
      </c>
      <c r="U51" s="13">
        <f>(CONVERT(8,"in","cm"))</f>
        <v>20.32</v>
      </c>
      <c r="V51" s="13">
        <v>77</v>
      </c>
      <c r="W51" s="13">
        <v>5</v>
      </c>
      <c r="X51" s="8">
        <f>(3/5)*100</f>
        <v>60</v>
      </c>
      <c r="Y51" s="13">
        <v>0</v>
      </c>
      <c r="Z51" s="13">
        <v>0</v>
      </c>
      <c r="AA51" s="13">
        <v>0</v>
      </c>
      <c r="AB51" s="13">
        <f t="shared" si="9"/>
        <v>0</v>
      </c>
      <c r="AC51" s="13">
        <v>0</v>
      </c>
      <c r="AD51" s="13">
        <v>0</v>
      </c>
      <c r="AE51" s="13">
        <v>0</v>
      </c>
      <c r="AF51" s="13">
        <f t="shared" si="12"/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4">
        <f t="shared" si="13"/>
        <v>0</v>
      </c>
      <c r="AM51" s="8">
        <f t="shared" si="14"/>
        <v>93.902439024390233</v>
      </c>
      <c r="AN51" s="8">
        <f t="shared" si="15"/>
        <v>93.902439024390233</v>
      </c>
      <c r="AO51" s="13">
        <f t="shared" si="16"/>
        <v>82</v>
      </c>
    </row>
    <row r="52" spans="1:42" ht="17" x14ac:dyDescent="0.2">
      <c r="A52" t="s">
        <v>58</v>
      </c>
      <c r="B52">
        <v>7</v>
      </c>
      <c r="C52" s="8">
        <v>27.136679999999998</v>
      </c>
      <c r="D52" s="8">
        <v>-82.475020000000001</v>
      </c>
      <c r="E52" s="9">
        <v>44778</v>
      </c>
      <c r="F52" t="s">
        <v>6</v>
      </c>
      <c r="G52" t="s">
        <v>7</v>
      </c>
      <c r="H52">
        <v>0</v>
      </c>
      <c r="I52" s="10" t="s">
        <v>16</v>
      </c>
      <c r="J52" s="10">
        <v>0</v>
      </c>
      <c r="K52" s="10"/>
      <c r="L52" s="10" t="s">
        <v>16</v>
      </c>
      <c r="M52" s="8">
        <v>4.2671999999999999</v>
      </c>
      <c r="N52" s="8">
        <v>3.6576</v>
      </c>
      <c r="O52" s="11">
        <v>7.9248000000000003</v>
      </c>
      <c r="P52" s="12">
        <v>0.46153846153846156</v>
      </c>
      <c r="Q52" t="str">
        <f t="shared" si="10"/>
        <v>M</v>
      </c>
      <c r="R52" s="13">
        <f>(CONVERT(13.5,"in","cm"))</f>
        <v>34.29</v>
      </c>
      <c r="S52" s="13">
        <f>(CONVERT(19.5,"in","cm"))</f>
        <v>49.53</v>
      </c>
      <c r="T52" s="13">
        <f t="shared" si="11"/>
        <v>15.240000000000002</v>
      </c>
      <c r="U52" s="13">
        <f>(CONVERT(9,"in","cm"))</f>
        <v>22.86</v>
      </c>
      <c r="V52" s="13">
        <v>107</v>
      </c>
      <c r="W52" s="13">
        <v>3</v>
      </c>
      <c r="X52" s="8">
        <v>0</v>
      </c>
      <c r="Y52" s="13">
        <v>0</v>
      </c>
      <c r="Z52" s="13">
        <v>0</v>
      </c>
      <c r="AA52" s="13">
        <v>0</v>
      </c>
      <c r="AB52" s="13">
        <f t="shared" si="9"/>
        <v>0</v>
      </c>
      <c r="AC52" s="13"/>
      <c r="AD52" s="13"/>
      <c r="AE52" s="13"/>
      <c r="AF52" s="13">
        <f t="shared" si="12"/>
        <v>0</v>
      </c>
      <c r="AG52" s="13">
        <v>0</v>
      </c>
      <c r="AH52" s="13">
        <v>0</v>
      </c>
      <c r="AI52" s="13">
        <v>1</v>
      </c>
      <c r="AJ52" s="13">
        <v>0</v>
      </c>
      <c r="AK52" s="13">
        <v>0</v>
      </c>
      <c r="AL52" s="14">
        <f t="shared" si="13"/>
        <v>0</v>
      </c>
      <c r="AM52" s="8">
        <f t="shared" si="14"/>
        <v>97.27272727272728</v>
      </c>
      <c r="AN52" s="8">
        <f t="shared" si="15"/>
        <v>96.36363636363636</v>
      </c>
      <c r="AO52" s="13">
        <f t="shared" si="16"/>
        <v>110</v>
      </c>
      <c r="AP52" t="s">
        <v>59</v>
      </c>
    </row>
    <row r="53" spans="1:42" ht="17" x14ac:dyDescent="0.2">
      <c r="A53" t="s">
        <v>92</v>
      </c>
      <c r="B53">
        <v>7</v>
      </c>
      <c r="C53" s="17">
        <v>27.13974</v>
      </c>
      <c r="D53" s="17">
        <v>-82.476169999999996</v>
      </c>
      <c r="E53" s="9">
        <v>44786</v>
      </c>
      <c r="F53" t="s">
        <v>6</v>
      </c>
      <c r="G53" t="s">
        <v>7</v>
      </c>
      <c r="H53">
        <v>0</v>
      </c>
      <c r="I53" s="10" t="s">
        <v>16</v>
      </c>
      <c r="J53" s="10">
        <v>0</v>
      </c>
      <c r="K53" s="10"/>
      <c r="L53" s="10" t="s">
        <v>16</v>
      </c>
      <c r="M53" s="8">
        <v>4.2671999999999999</v>
      </c>
      <c r="N53" s="8">
        <v>13.106400000000001</v>
      </c>
      <c r="O53" s="11">
        <v>17.3736</v>
      </c>
      <c r="P53" s="12">
        <v>0.75438596491228072</v>
      </c>
      <c r="Q53" t="str">
        <f t="shared" si="10"/>
        <v>U</v>
      </c>
      <c r="R53" s="13">
        <f>(CONVERT(20.5,"in","cm"))</f>
        <v>52.070000000000007</v>
      </c>
      <c r="S53" s="13">
        <f>(CONVERT(25.5,"in","cm"))</f>
        <v>64.77000000000001</v>
      </c>
      <c r="T53" s="13">
        <f t="shared" si="11"/>
        <v>12.700000000000003</v>
      </c>
      <c r="U53" s="13">
        <f>(CONVERT(13,"in","cm"))</f>
        <v>33.019999999999996</v>
      </c>
      <c r="V53" s="13">
        <v>117</v>
      </c>
      <c r="W53" s="13">
        <v>0</v>
      </c>
      <c r="X53" s="8">
        <v>0</v>
      </c>
      <c r="Y53" s="13">
        <v>2</v>
      </c>
      <c r="Z53" s="13">
        <v>21</v>
      </c>
      <c r="AA53" s="13">
        <v>0</v>
      </c>
      <c r="AB53" s="13">
        <f t="shared" si="9"/>
        <v>0</v>
      </c>
      <c r="AC53" s="13">
        <v>0</v>
      </c>
      <c r="AD53" s="13">
        <v>0</v>
      </c>
      <c r="AE53" s="13">
        <v>0</v>
      </c>
      <c r="AF53" s="13">
        <f t="shared" si="12"/>
        <v>0</v>
      </c>
      <c r="AG53" s="13">
        <v>0</v>
      </c>
      <c r="AH53" s="13">
        <v>0</v>
      </c>
      <c r="AI53" s="13">
        <v>17</v>
      </c>
      <c r="AJ53" s="13">
        <v>5</v>
      </c>
      <c r="AK53" s="13">
        <v>0</v>
      </c>
      <c r="AL53" s="14">
        <f t="shared" si="13"/>
        <v>0</v>
      </c>
      <c r="AM53" s="8">
        <f t="shared" si="14"/>
        <v>83.571428571428569</v>
      </c>
      <c r="AN53" s="8">
        <f t="shared" si="15"/>
        <v>67.857142857142861</v>
      </c>
      <c r="AO53" s="13">
        <f t="shared" si="16"/>
        <v>140</v>
      </c>
    </row>
    <row r="54" spans="1:42" ht="17" x14ac:dyDescent="0.2">
      <c r="A54" t="s">
        <v>115</v>
      </c>
      <c r="B54">
        <v>7</v>
      </c>
      <c r="C54" s="17">
        <v>27.137309999999999</v>
      </c>
      <c r="D54" s="17">
        <v>-82.475279999999998</v>
      </c>
      <c r="E54" s="9">
        <v>44789</v>
      </c>
      <c r="F54" t="s">
        <v>6</v>
      </c>
      <c r="G54" t="s">
        <v>7</v>
      </c>
      <c r="H54">
        <v>0</v>
      </c>
      <c r="I54" s="10" t="s">
        <v>16</v>
      </c>
      <c r="J54" s="10">
        <v>0</v>
      </c>
      <c r="K54" s="10"/>
      <c r="L54" s="10" t="s">
        <v>16</v>
      </c>
      <c r="M54" s="8">
        <v>6.0960000000000001</v>
      </c>
      <c r="N54" s="8">
        <v>10.667999999999999</v>
      </c>
      <c r="O54" s="11">
        <v>16.763999999999999</v>
      </c>
      <c r="P54" s="12">
        <v>0.63636363636363635</v>
      </c>
      <c r="Q54" t="str">
        <f t="shared" si="10"/>
        <v>M</v>
      </c>
      <c r="R54" s="13">
        <v>30</v>
      </c>
      <c r="S54" s="13">
        <v>52</v>
      </c>
      <c r="T54" s="13">
        <f t="shared" si="11"/>
        <v>22</v>
      </c>
      <c r="U54" s="13">
        <v>29</v>
      </c>
      <c r="V54" s="13">
        <v>83</v>
      </c>
      <c r="W54" s="13">
        <v>2</v>
      </c>
      <c r="X54" s="8">
        <v>0</v>
      </c>
      <c r="Y54" s="13">
        <v>0</v>
      </c>
      <c r="Z54" s="13">
        <v>0</v>
      </c>
      <c r="AA54" s="13">
        <v>0</v>
      </c>
      <c r="AB54" s="13">
        <f t="shared" si="9"/>
        <v>0</v>
      </c>
      <c r="AC54" s="13">
        <v>0</v>
      </c>
      <c r="AD54" s="13">
        <v>0</v>
      </c>
      <c r="AE54" s="13">
        <v>0</v>
      </c>
      <c r="AF54" s="13">
        <f t="shared" si="12"/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4">
        <f t="shared" si="13"/>
        <v>0</v>
      </c>
      <c r="AM54" s="8">
        <f t="shared" si="14"/>
        <v>97.647058823529406</v>
      </c>
      <c r="AN54" s="8">
        <f t="shared" si="15"/>
        <v>97.647058823529406</v>
      </c>
      <c r="AO54" s="13">
        <f t="shared" si="16"/>
        <v>85</v>
      </c>
    </row>
    <row r="55" spans="1:42" ht="17" x14ac:dyDescent="0.2">
      <c r="A55" t="s">
        <v>116</v>
      </c>
      <c r="B55">
        <v>7</v>
      </c>
      <c r="C55" s="17">
        <v>27.135290000000001</v>
      </c>
      <c r="D55" s="17">
        <v>-82.474590000000006</v>
      </c>
      <c r="E55" s="9">
        <v>44789</v>
      </c>
      <c r="F55" t="s">
        <v>6</v>
      </c>
      <c r="G55" t="s">
        <v>7</v>
      </c>
      <c r="H55">
        <v>0</v>
      </c>
      <c r="I55" s="10" t="s">
        <v>16</v>
      </c>
      <c r="J55" s="10">
        <v>0</v>
      </c>
      <c r="K55" s="10"/>
      <c r="L55" s="10" t="s">
        <v>16</v>
      </c>
      <c r="M55" s="8">
        <v>7.3151999999999999</v>
      </c>
      <c r="N55" s="8">
        <v>10.972799999999999</v>
      </c>
      <c r="O55" s="11">
        <v>18.288</v>
      </c>
      <c r="P55" s="12">
        <v>0.6</v>
      </c>
      <c r="Q55" t="str">
        <f t="shared" si="10"/>
        <v>M</v>
      </c>
      <c r="R55" s="13">
        <v>32</v>
      </c>
      <c r="S55" s="13">
        <v>44</v>
      </c>
      <c r="T55" s="13">
        <f t="shared" si="11"/>
        <v>12</v>
      </c>
      <c r="U55" s="13">
        <v>32</v>
      </c>
      <c r="V55" s="13">
        <v>53</v>
      </c>
      <c r="W55" s="13">
        <v>22</v>
      </c>
      <c r="X55" s="8">
        <f>(2/22)*100</f>
        <v>9.0909090909090917</v>
      </c>
      <c r="Y55" s="13">
        <v>0</v>
      </c>
      <c r="Z55" s="13">
        <v>1</v>
      </c>
      <c r="AA55" s="13">
        <v>0</v>
      </c>
      <c r="AB55" s="13">
        <f t="shared" si="9"/>
        <v>0</v>
      </c>
      <c r="AC55" s="13">
        <v>0</v>
      </c>
      <c r="AD55" s="13">
        <v>0</v>
      </c>
      <c r="AE55" s="13">
        <v>0</v>
      </c>
      <c r="AF55" s="13">
        <f t="shared" si="12"/>
        <v>0</v>
      </c>
      <c r="AG55" s="13">
        <v>0</v>
      </c>
      <c r="AH55" s="13">
        <v>0</v>
      </c>
      <c r="AI55" s="13">
        <v>2</v>
      </c>
      <c r="AJ55" s="13">
        <v>0</v>
      </c>
      <c r="AK55" s="13">
        <v>0</v>
      </c>
      <c r="AL55" s="14">
        <f t="shared" si="13"/>
        <v>0</v>
      </c>
      <c r="AM55" s="8">
        <f t="shared" si="14"/>
        <v>69.73684210526315</v>
      </c>
      <c r="AN55" s="8">
        <f t="shared" si="15"/>
        <v>67.10526315789474</v>
      </c>
      <c r="AO55" s="13">
        <f t="shared" si="16"/>
        <v>76</v>
      </c>
    </row>
    <row r="56" spans="1:42" ht="17" x14ac:dyDescent="0.2">
      <c r="A56" t="s">
        <v>141</v>
      </c>
      <c r="B56">
        <v>7</v>
      </c>
      <c r="C56" s="16">
        <v>27.13946</v>
      </c>
      <c r="D56" s="16">
        <v>-82.476060000000004</v>
      </c>
      <c r="E56" s="9">
        <v>44792</v>
      </c>
      <c r="F56" t="s">
        <v>6</v>
      </c>
      <c r="G56" t="s">
        <v>7</v>
      </c>
      <c r="H56">
        <v>0</v>
      </c>
      <c r="I56" s="10" t="s">
        <v>16</v>
      </c>
      <c r="J56" s="10">
        <v>0</v>
      </c>
      <c r="K56" s="10"/>
      <c r="L56" s="10" t="s">
        <v>16</v>
      </c>
      <c r="M56" s="8">
        <v>4.8768000000000002</v>
      </c>
      <c r="N56" s="8">
        <v>10.667999999999999</v>
      </c>
      <c r="O56" s="11">
        <v>15.5448</v>
      </c>
      <c r="P56" s="12">
        <v>0.68627450980392157</v>
      </c>
      <c r="Q56" t="str">
        <f t="shared" si="10"/>
        <v>U</v>
      </c>
      <c r="R56" s="13">
        <v>32</v>
      </c>
      <c r="S56" s="13">
        <v>44</v>
      </c>
      <c r="T56" s="13">
        <f t="shared" si="11"/>
        <v>12</v>
      </c>
      <c r="U56" s="13">
        <v>19</v>
      </c>
      <c r="V56" s="13">
        <v>72</v>
      </c>
      <c r="W56" s="13">
        <v>9</v>
      </c>
      <c r="X56" s="8">
        <v>0</v>
      </c>
      <c r="Y56" s="13">
        <v>0</v>
      </c>
      <c r="Z56" s="13">
        <v>9</v>
      </c>
      <c r="AA56" s="13">
        <v>0</v>
      </c>
      <c r="AB56" s="13">
        <f t="shared" si="9"/>
        <v>0</v>
      </c>
      <c r="AC56" s="13">
        <v>0</v>
      </c>
      <c r="AD56" s="13">
        <v>0</v>
      </c>
      <c r="AE56" s="13">
        <v>0</v>
      </c>
      <c r="AF56" s="13">
        <f t="shared" si="12"/>
        <v>0</v>
      </c>
      <c r="AG56" s="13">
        <v>0</v>
      </c>
      <c r="AH56" s="13">
        <v>0</v>
      </c>
      <c r="AI56" s="13">
        <v>9</v>
      </c>
      <c r="AJ56" s="13">
        <v>0</v>
      </c>
      <c r="AK56" s="13">
        <v>0</v>
      </c>
      <c r="AL56" s="14">
        <f t="shared" si="13"/>
        <v>0</v>
      </c>
      <c r="AM56" s="8">
        <f t="shared" si="14"/>
        <v>80</v>
      </c>
      <c r="AN56" s="8">
        <f t="shared" si="15"/>
        <v>70</v>
      </c>
      <c r="AO56" s="13">
        <f t="shared" si="16"/>
        <v>90</v>
      </c>
    </row>
    <row r="57" spans="1:42" ht="17" x14ac:dyDescent="0.2">
      <c r="A57" t="s">
        <v>142</v>
      </c>
      <c r="B57">
        <v>7</v>
      </c>
      <c r="C57" s="16">
        <v>27.134930000000001</v>
      </c>
      <c r="D57" s="16">
        <v>-82.474459999999993</v>
      </c>
      <c r="E57" s="9">
        <v>44792</v>
      </c>
      <c r="F57" t="s">
        <v>6</v>
      </c>
      <c r="G57" t="s">
        <v>7</v>
      </c>
      <c r="H57">
        <v>1</v>
      </c>
      <c r="I57" s="10" t="s">
        <v>12</v>
      </c>
      <c r="J57" s="10">
        <v>0</v>
      </c>
      <c r="K57" s="10"/>
      <c r="L57" s="10" t="s">
        <v>16</v>
      </c>
      <c r="M57" s="8">
        <v>6.7055999999999996</v>
      </c>
      <c r="N57" s="8">
        <v>11.5824</v>
      </c>
      <c r="O57" s="11">
        <v>18.288</v>
      </c>
      <c r="P57" s="12">
        <v>0.6333333333333333</v>
      </c>
      <c r="Q57" t="str">
        <f t="shared" si="10"/>
        <v>M</v>
      </c>
      <c r="R57" s="13">
        <v>48</v>
      </c>
      <c r="S57" s="13">
        <v>55</v>
      </c>
      <c r="T57" s="13">
        <f t="shared" si="11"/>
        <v>7</v>
      </c>
      <c r="U57" s="13">
        <v>26</v>
      </c>
      <c r="V57" s="13">
        <v>66</v>
      </c>
      <c r="W57" s="13">
        <v>7</v>
      </c>
      <c r="X57" s="8">
        <v>0</v>
      </c>
      <c r="Y57" s="13">
        <v>0</v>
      </c>
      <c r="Z57" s="13">
        <v>1</v>
      </c>
      <c r="AA57" s="13">
        <v>1</v>
      </c>
      <c r="AB57" s="13">
        <f t="shared" si="9"/>
        <v>0</v>
      </c>
      <c r="AC57" s="13">
        <v>0</v>
      </c>
      <c r="AD57" s="13">
        <v>0</v>
      </c>
      <c r="AE57" s="13">
        <v>0</v>
      </c>
      <c r="AF57" s="13">
        <f t="shared" si="12"/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4">
        <f t="shared" si="13"/>
        <v>0</v>
      </c>
      <c r="AM57" s="8">
        <f t="shared" si="14"/>
        <v>89.189189189189193</v>
      </c>
      <c r="AN57" s="8">
        <f t="shared" si="15"/>
        <v>89.189189189189193</v>
      </c>
      <c r="AO57" s="13">
        <f t="shared" si="16"/>
        <v>74</v>
      </c>
    </row>
    <row r="58" spans="1:42" ht="17" x14ac:dyDescent="0.2">
      <c r="A58" t="s">
        <v>145</v>
      </c>
      <c r="B58">
        <v>7</v>
      </c>
      <c r="C58" s="15">
        <v>27.140750000000001</v>
      </c>
      <c r="D58" s="15">
        <v>-82.476590000000002</v>
      </c>
      <c r="E58" s="9">
        <v>44795</v>
      </c>
      <c r="F58" t="s">
        <v>6</v>
      </c>
      <c r="G58" t="s">
        <v>7</v>
      </c>
      <c r="H58">
        <v>1</v>
      </c>
      <c r="I58" s="10" t="s">
        <v>12</v>
      </c>
      <c r="J58" s="10">
        <v>0</v>
      </c>
      <c r="K58" s="10"/>
      <c r="L58" s="10" t="s">
        <v>16</v>
      </c>
      <c r="M58" s="8">
        <v>6.4008000000000003</v>
      </c>
      <c r="N58" s="8">
        <v>13.715999999999999</v>
      </c>
      <c r="O58" s="11">
        <v>20.116800000000001</v>
      </c>
      <c r="P58" s="12">
        <v>0.68181818181818177</v>
      </c>
      <c r="Q58" t="str">
        <f t="shared" si="10"/>
        <v>U</v>
      </c>
      <c r="R58" s="13">
        <v>39</v>
      </c>
      <c r="S58" s="13">
        <v>53</v>
      </c>
      <c r="T58" s="13">
        <f t="shared" si="11"/>
        <v>14</v>
      </c>
      <c r="U58" s="13">
        <v>25</v>
      </c>
      <c r="V58" s="13">
        <v>85</v>
      </c>
      <c r="W58" s="13">
        <v>25</v>
      </c>
      <c r="X58" s="8">
        <v>0</v>
      </c>
      <c r="Y58" s="13">
        <v>0</v>
      </c>
      <c r="Z58" s="13">
        <v>3</v>
      </c>
      <c r="AA58" s="13">
        <v>0</v>
      </c>
      <c r="AB58" s="13">
        <f t="shared" si="9"/>
        <v>0</v>
      </c>
      <c r="AC58" s="13">
        <v>0</v>
      </c>
      <c r="AD58" s="13">
        <v>0</v>
      </c>
      <c r="AE58" s="13">
        <v>0</v>
      </c>
      <c r="AF58" s="13">
        <f t="shared" si="12"/>
        <v>0</v>
      </c>
      <c r="AG58" s="13">
        <v>0</v>
      </c>
      <c r="AH58" s="13">
        <v>0</v>
      </c>
      <c r="AI58" s="13">
        <v>3</v>
      </c>
      <c r="AJ58" s="13">
        <v>2</v>
      </c>
      <c r="AK58" s="13">
        <v>0</v>
      </c>
      <c r="AL58" s="14">
        <f t="shared" si="13"/>
        <v>0</v>
      </c>
      <c r="AM58" s="8">
        <f t="shared" si="14"/>
        <v>75.221238938053091</v>
      </c>
      <c r="AN58" s="8">
        <f t="shared" si="15"/>
        <v>70.796460176991147</v>
      </c>
      <c r="AO58" s="13">
        <f t="shared" si="16"/>
        <v>113</v>
      </c>
    </row>
    <row r="59" spans="1:42" ht="17" x14ac:dyDescent="0.2">
      <c r="A59" t="s">
        <v>146</v>
      </c>
      <c r="B59">
        <v>7</v>
      </c>
      <c r="C59" s="16">
        <v>27.139759999999999</v>
      </c>
      <c r="D59" s="16">
        <v>-82.476179999999999</v>
      </c>
      <c r="E59" s="9">
        <v>44795</v>
      </c>
      <c r="F59" t="s">
        <v>6</v>
      </c>
      <c r="G59" t="s">
        <v>7</v>
      </c>
      <c r="H59">
        <v>1</v>
      </c>
      <c r="I59" s="10" t="s">
        <v>12</v>
      </c>
      <c r="J59" s="10">
        <v>0</v>
      </c>
      <c r="K59" s="10"/>
      <c r="L59" s="10" t="s">
        <v>16</v>
      </c>
      <c r="M59" s="8">
        <v>7.62</v>
      </c>
      <c r="N59" s="8">
        <v>12.192</v>
      </c>
      <c r="O59" s="11">
        <v>19.812000000000001</v>
      </c>
      <c r="P59" s="12">
        <v>0.61538461538461542</v>
      </c>
      <c r="Q59" t="str">
        <f t="shared" si="10"/>
        <v>M</v>
      </c>
      <c r="R59" s="13">
        <v>43</v>
      </c>
      <c r="S59" s="13">
        <v>49</v>
      </c>
      <c r="T59" s="13">
        <f t="shared" si="11"/>
        <v>6</v>
      </c>
      <c r="U59" s="13">
        <v>25</v>
      </c>
      <c r="V59" s="13">
        <v>94</v>
      </c>
      <c r="W59" s="13">
        <v>8</v>
      </c>
      <c r="X59" s="8">
        <f>(1/8)*100</f>
        <v>12.5</v>
      </c>
      <c r="Y59" s="13">
        <v>0</v>
      </c>
      <c r="Z59" s="13">
        <v>5</v>
      </c>
      <c r="AA59" s="13">
        <v>0</v>
      </c>
      <c r="AB59" s="13">
        <f t="shared" si="9"/>
        <v>0</v>
      </c>
      <c r="AC59" s="13">
        <v>0</v>
      </c>
      <c r="AD59" s="13">
        <v>0</v>
      </c>
      <c r="AE59" s="13">
        <v>0</v>
      </c>
      <c r="AF59" s="13">
        <f t="shared" si="12"/>
        <v>0</v>
      </c>
      <c r="AG59" s="13">
        <v>0</v>
      </c>
      <c r="AH59" s="13">
        <v>0</v>
      </c>
      <c r="AI59" s="13">
        <v>0</v>
      </c>
      <c r="AJ59" s="13">
        <v>1</v>
      </c>
      <c r="AK59" s="13">
        <v>0</v>
      </c>
      <c r="AL59" s="14">
        <f t="shared" si="13"/>
        <v>0</v>
      </c>
      <c r="AM59" s="8">
        <f t="shared" si="14"/>
        <v>87.850467289719631</v>
      </c>
      <c r="AN59" s="8">
        <f t="shared" si="15"/>
        <v>86.915887850467286</v>
      </c>
      <c r="AO59" s="13">
        <f t="shared" si="16"/>
        <v>107</v>
      </c>
    </row>
    <row r="60" spans="1:42" ht="17" x14ac:dyDescent="0.2">
      <c r="A60" t="s">
        <v>147</v>
      </c>
      <c r="B60">
        <v>7</v>
      </c>
      <c r="C60" s="16">
        <v>27.132940000000001</v>
      </c>
      <c r="D60" s="16">
        <v>-82.473830000000007</v>
      </c>
      <c r="E60" s="9">
        <v>44795</v>
      </c>
      <c r="F60" t="s">
        <v>6</v>
      </c>
      <c r="G60" t="s">
        <v>7</v>
      </c>
      <c r="H60">
        <v>1</v>
      </c>
      <c r="I60" s="10" t="s">
        <v>12</v>
      </c>
      <c r="J60" s="10">
        <v>0</v>
      </c>
      <c r="K60" s="10"/>
      <c r="L60" s="10" t="s">
        <v>16</v>
      </c>
      <c r="M60" s="8">
        <v>5.7911999999999999</v>
      </c>
      <c r="N60" s="8">
        <v>9.4488000000000003</v>
      </c>
      <c r="O60" s="11">
        <v>15.24</v>
      </c>
      <c r="P60" s="12">
        <v>0.62</v>
      </c>
      <c r="Q60" t="str">
        <f t="shared" si="10"/>
        <v>M</v>
      </c>
      <c r="R60" s="13">
        <v>43</v>
      </c>
      <c r="S60" s="13">
        <v>50</v>
      </c>
      <c r="T60" s="13">
        <f t="shared" si="11"/>
        <v>7</v>
      </c>
      <c r="U60" s="13">
        <v>23</v>
      </c>
      <c r="V60" s="13">
        <v>91</v>
      </c>
      <c r="W60" s="13">
        <v>3</v>
      </c>
      <c r="X60" s="8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f t="shared" si="12"/>
        <v>0</v>
      </c>
      <c r="AG60" s="13">
        <v>0</v>
      </c>
      <c r="AH60" s="13">
        <v>0</v>
      </c>
      <c r="AI60" s="13">
        <v>0</v>
      </c>
      <c r="AJ60" s="13">
        <v>1</v>
      </c>
      <c r="AK60" s="13">
        <v>0</v>
      </c>
      <c r="AL60" s="14">
        <f t="shared" si="13"/>
        <v>0</v>
      </c>
      <c r="AM60" s="8">
        <f t="shared" si="14"/>
        <v>96.808510638297875</v>
      </c>
      <c r="AN60" s="8">
        <f t="shared" si="15"/>
        <v>95.744680851063833</v>
      </c>
      <c r="AO60" s="13">
        <f t="shared" si="16"/>
        <v>94</v>
      </c>
    </row>
    <row r="61" spans="1:42" ht="34" x14ac:dyDescent="0.2">
      <c r="A61" t="s">
        <v>167</v>
      </c>
      <c r="B61">
        <v>7</v>
      </c>
      <c r="C61" s="15">
        <v>27.135919999999999</v>
      </c>
      <c r="D61" s="15">
        <v>-82.474729999999994</v>
      </c>
      <c r="E61" s="9">
        <v>44798</v>
      </c>
      <c r="F61" t="s">
        <v>6</v>
      </c>
      <c r="G61" t="s">
        <v>7</v>
      </c>
      <c r="H61">
        <v>1</v>
      </c>
      <c r="I61" s="10" t="s">
        <v>28</v>
      </c>
      <c r="J61" s="10">
        <v>0</v>
      </c>
      <c r="K61" s="10"/>
      <c r="L61" s="10" t="s">
        <v>16</v>
      </c>
      <c r="M61" s="8">
        <v>2.7431999999999999</v>
      </c>
      <c r="N61" s="8">
        <v>14.9352</v>
      </c>
      <c r="O61" s="11">
        <v>17.6784</v>
      </c>
      <c r="P61" s="12">
        <v>0.84482758620689657</v>
      </c>
      <c r="Q61" t="str">
        <f t="shared" si="10"/>
        <v>U</v>
      </c>
      <c r="R61" s="13">
        <v>30</v>
      </c>
      <c r="S61" s="13">
        <v>53</v>
      </c>
      <c r="T61" s="13">
        <f t="shared" si="11"/>
        <v>23</v>
      </c>
      <c r="U61" s="13">
        <v>22</v>
      </c>
      <c r="V61" s="13">
        <v>58</v>
      </c>
      <c r="W61" s="13">
        <v>57</v>
      </c>
      <c r="X61" s="8">
        <f>(1/57)*100</f>
        <v>1.7543859649122806</v>
      </c>
      <c r="Y61" s="13">
        <v>0</v>
      </c>
      <c r="Z61" s="13">
        <v>1</v>
      </c>
      <c r="AA61" s="13">
        <v>0</v>
      </c>
      <c r="AB61" s="13">
        <f>AD61+AE61</f>
        <v>0</v>
      </c>
      <c r="AC61" s="13">
        <v>0</v>
      </c>
      <c r="AD61" s="13">
        <v>0</v>
      </c>
      <c r="AE61" s="13">
        <v>0</v>
      </c>
      <c r="AF61" s="13">
        <f t="shared" si="12"/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4">
        <f t="shared" si="13"/>
        <v>0</v>
      </c>
      <c r="AM61" s="8">
        <f t="shared" si="14"/>
        <v>50</v>
      </c>
      <c r="AN61" s="8">
        <f t="shared" si="15"/>
        <v>50</v>
      </c>
      <c r="AO61" s="13">
        <f t="shared" si="16"/>
        <v>116</v>
      </c>
    </row>
    <row r="62" spans="1:42" ht="34" x14ac:dyDescent="0.2">
      <c r="A62" t="s">
        <v>156</v>
      </c>
      <c r="B62">
        <v>8</v>
      </c>
      <c r="C62" s="15">
        <v>27.128160000000001</v>
      </c>
      <c r="D62" s="15">
        <v>-82.472430000000003</v>
      </c>
      <c r="E62" s="9">
        <v>44796</v>
      </c>
      <c r="F62" t="s">
        <v>6</v>
      </c>
      <c r="G62" t="s">
        <v>7</v>
      </c>
      <c r="H62">
        <v>1</v>
      </c>
      <c r="I62" s="10" t="s">
        <v>51</v>
      </c>
      <c r="J62" s="10">
        <v>1</v>
      </c>
      <c r="K62" s="10" t="s">
        <v>218</v>
      </c>
      <c r="L62" s="10" t="s">
        <v>98</v>
      </c>
      <c r="M62" s="8">
        <v>3.05</v>
      </c>
      <c r="N62" s="8">
        <v>20.420000000000002</v>
      </c>
      <c r="O62" s="11">
        <f>M62+N62</f>
        <v>23.470000000000002</v>
      </c>
      <c r="P62" s="12">
        <f>1-(M62/O62)</f>
        <v>0.87004686834256506</v>
      </c>
      <c r="Q62" t="str">
        <f t="shared" si="10"/>
        <v>U</v>
      </c>
      <c r="R62" s="13">
        <v>43</v>
      </c>
      <c r="S62" s="13">
        <v>46</v>
      </c>
      <c r="T62" s="13">
        <f t="shared" si="11"/>
        <v>3</v>
      </c>
      <c r="U62" s="13">
        <v>23.5</v>
      </c>
      <c r="V62" s="13">
        <v>78</v>
      </c>
      <c r="W62" s="13">
        <v>8</v>
      </c>
      <c r="X62" s="8">
        <f>(1/8)*100</f>
        <v>12.5</v>
      </c>
      <c r="Y62" s="13">
        <v>0</v>
      </c>
      <c r="Z62" s="13">
        <v>2</v>
      </c>
      <c r="AA62" s="13">
        <v>0</v>
      </c>
      <c r="AB62" s="13">
        <f>AD62+AE62</f>
        <v>0</v>
      </c>
      <c r="AC62" s="13">
        <v>0</v>
      </c>
      <c r="AD62" s="13">
        <v>0</v>
      </c>
      <c r="AE62" s="13">
        <v>0</v>
      </c>
      <c r="AF62" s="13">
        <f t="shared" si="12"/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4">
        <f t="shared" si="13"/>
        <v>0</v>
      </c>
      <c r="AM62" s="8">
        <f t="shared" si="14"/>
        <v>88.63636363636364</v>
      </c>
      <c r="AN62" s="8">
        <f t="shared" si="15"/>
        <v>88.63636363636364</v>
      </c>
      <c r="AO62" s="13">
        <f t="shared" si="16"/>
        <v>88</v>
      </c>
    </row>
    <row r="63" spans="1:42" ht="17" x14ac:dyDescent="0.2">
      <c r="A63" t="s">
        <v>155</v>
      </c>
      <c r="B63">
        <v>8</v>
      </c>
      <c r="C63" s="15">
        <v>27.128640000000001</v>
      </c>
      <c r="D63" s="15">
        <v>-82.472660000000005</v>
      </c>
      <c r="E63" s="9">
        <v>44796</v>
      </c>
      <c r="F63" t="s">
        <v>6</v>
      </c>
      <c r="G63" t="s">
        <v>7</v>
      </c>
      <c r="H63">
        <v>0</v>
      </c>
      <c r="I63" s="10" t="s">
        <v>16</v>
      </c>
      <c r="J63" s="10">
        <v>0</v>
      </c>
      <c r="K63" s="10"/>
      <c r="L63" s="10" t="s">
        <v>16</v>
      </c>
      <c r="M63" s="8">
        <v>13.11</v>
      </c>
      <c r="N63" s="8">
        <v>10.67</v>
      </c>
      <c r="O63" s="11">
        <f>M63+N63</f>
        <v>23.78</v>
      </c>
      <c r="P63" s="12">
        <f>1-(M63/O63)</f>
        <v>0.44869638351555929</v>
      </c>
      <c r="Q63" t="str">
        <f t="shared" si="10"/>
        <v>M</v>
      </c>
      <c r="R63" s="13">
        <v>30</v>
      </c>
      <c r="S63" s="13">
        <v>48</v>
      </c>
      <c r="T63" s="13">
        <f t="shared" si="11"/>
        <v>18</v>
      </c>
      <c r="U63" s="13">
        <v>18</v>
      </c>
      <c r="V63" s="13">
        <v>78</v>
      </c>
      <c r="W63" s="13">
        <v>6</v>
      </c>
      <c r="X63" s="8">
        <v>0</v>
      </c>
      <c r="Y63" s="13">
        <v>0</v>
      </c>
      <c r="Z63" s="13">
        <v>0</v>
      </c>
      <c r="AA63" s="13">
        <v>0</v>
      </c>
      <c r="AB63" s="13">
        <f>AD63+AE63</f>
        <v>0</v>
      </c>
      <c r="AC63" s="13">
        <v>0</v>
      </c>
      <c r="AD63" s="13">
        <v>0</v>
      </c>
      <c r="AE63" s="13">
        <v>0</v>
      </c>
      <c r="AF63" s="13">
        <f t="shared" si="12"/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4">
        <f t="shared" si="13"/>
        <v>0</v>
      </c>
      <c r="AM63" s="8">
        <f t="shared" si="14"/>
        <v>92.857142857142861</v>
      </c>
      <c r="AN63" s="8">
        <f t="shared" si="15"/>
        <v>92.857142857142861</v>
      </c>
      <c r="AO63" s="13">
        <f t="shared" si="16"/>
        <v>84</v>
      </c>
    </row>
    <row r="64" spans="1:42" ht="17" x14ac:dyDescent="0.2">
      <c r="A64" t="s">
        <v>163</v>
      </c>
      <c r="B64">
        <v>8</v>
      </c>
      <c r="C64" s="15">
        <v>27.128789999999999</v>
      </c>
      <c r="D64" s="15">
        <v>-82.472669999999994</v>
      </c>
      <c r="E64" s="9">
        <v>44797</v>
      </c>
      <c r="F64" t="s">
        <v>6</v>
      </c>
      <c r="G64" t="s">
        <v>7</v>
      </c>
      <c r="H64">
        <v>0</v>
      </c>
      <c r="I64" s="10" t="s">
        <v>16</v>
      </c>
      <c r="J64" s="10">
        <v>0</v>
      </c>
      <c r="K64" s="10"/>
      <c r="L64" s="10" t="s">
        <v>16</v>
      </c>
      <c r="M64" s="8">
        <v>10.36</v>
      </c>
      <c r="N64" s="8">
        <v>12.19</v>
      </c>
      <c r="O64" s="11">
        <f>M64+N64</f>
        <v>22.549999999999997</v>
      </c>
      <c r="P64" s="12">
        <f>1-(M64/O64)</f>
        <v>0.5405764966740576</v>
      </c>
      <c r="Q64" t="str">
        <f t="shared" si="10"/>
        <v>M</v>
      </c>
      <c r="R64" s="13">
        <v>29</v>
      </c>
      <c r="S64" s="13">
        <v>45</v>
      </c>
      <c r="T64" s="13">
        <f t="shared" si="11"/>
        <v>16</v>
      </c>
      <c r="U64" s="13">
        <v>26</v>
      </c>
      <c r="V64" s="13">
        <v>119</v>
      </c>
      <c r="W64" s="13">
        <v>2</v>
      </c>
      <c r="X64" s="8">
        <v>0</v>
      </c>
      <c r="Y64" s="13">
        <v>0</v>
      </c>
      <c r="Z64" s="13">
        <v>3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f t="shared" si="12"/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4">
        <f t="shared" si="13"/>
        <v>0</v>
      </c>
      <c r="AM64" s="8">
        <f t="shared" si="14"/>
        <v>95.967741935483872</v>
      </c>
      <c r="AN64" s="8">
        <f t="shared" si="15"/>
        <v>95.967741935483872</v>
      </c>
      <c r="AO64" s="13">
        <f t="shared" si="16"/>
        <v>124</v>
      </c>
    </row>
    <row r="65" spans="1:42" ht="51" x14ac:dyDescent="0.2">
      <c r="A65" t="s">
        <v>22</v>
      </c>
      <c r="B65">
        <v>8</v>
      </c>
      <c r="C65" s="8">
        <v>27.129370000000002</v>
      </c>
      <c r="D65" s="8">
        <v>-82.472830000000002</v>
      </c>
      <c r="E65" s="9">
        <v>44769</v>
      </c>
      <c r="F65" t="s">
        <v>6</v>
      </c>
      <c r="G65" t="s">
        <v>7</v>
      </c>
      <c r="H65">
        <v>1</v>
      </c>
      <c r="I65" s="10" t="s">
        <v>23</v>
      </c>
      <c r="J65">
        <v>0</v>
      </c>
      <c r="L65" t="s">
        <v>16</v>
      </c>
      <c r="M65" s="8">
        <v>7.3151999999999999</v>
      </c>
      <c r="N65" s="8">
        <v>15.24</v>
      </c>
      <c r="O65" s="11">
        <v>22.555199999999999</v>
      </c>
      <c r="P65" s="12">
        <v>0.67567567567567566</v>
      </c>
      <c r="Q65" t="str">
        <f t="shared" si="10"/>
        <v>U</v>
      </c>
      <c r="R65" s="13">
        <f>(CONVERT(13,"in","cm"))</f>
        <v>33.019999999999996</v>
      </c>
      <c r="S65" s="13">
        <f>(CONVERT(21,"in","cm"))</f>
        <v>53.339999999999996</v>
      </c>
      <c r="T65" s="13">
        <f t="shared" si="11"/>
        <v>20.32</v>
      </c>
      <c r="U65" s="13">
        <f>(CONVERT(10,"in","cm"))</f>
        <v>25.4</v>
      </c>
      <c r="V65" s="13">
        <v>74</v>
      </c>
      <c r="W65" s="13">
        <v>11</v>
      </c>
      <c r="X65" s="8">
        <f>(0/11)*100</f>
        <v>0</v>
      </c>
      <c r="Y65" s="13">
        <v>0</v>
      </c>
      <c r="Z65" s="13">
        <v>0</v>
      </c>
      <c r="AA65" s="13">
        <v>0</v>
      </c>
      <c r="AB65" s="13">
        <f t="shared" ref="AB65:AB94" si="17">AD65+AE65</f>
        <v>0</v>
      </c>
      <c r="AC65" s="13">
        <v>0</v>
      </c>
      <c r="AD65" s="13">
        <v>0</v>
      </c>
      <c r="AE65" s="13">
        <v>0</v>
      </c>
      <c r="AF65" s="13">
        <f t="shared" si="12"/>
        <v>0</v>
      </c>
      <c r="AG65" s="13">
        <v>0</v>
      </c>
      <c r="AH65" s="13">
        <v>0</v>
      </c>
      <c r="AI65" s="13">
        <v>1</v>
      </c>
      <c r="AJ65" s="13">
        <v>0</v>
      </c>
      <c r="AK65" s="13">
        <v>0</v>
      </c>
      <c r="AL65" s="14">
        <f t="shared" si="13"/>
        <v>0</v>
      </c>
      <c r="AM65" s="8">
        <f t="shared" si="14"/>
        <v>87.058823529411768</v>
      </c>
      <c r="AN65" s="8">
        <f t="shared" si="15"/>
        <v>85.882352941176464</v>
      </c>
      <c r="AO65" s="13">
        <f t="shared" si="16"/>
        <v>85</v>
      </c>
      <c r="AP65" s="10" t="s">
        <v>24</v>
      </c>
    </row>
    <row r="66" spans="1:42" ht="17" x14ac:dyDescent="0.2">
      <c r="A66" t="s">
        <v>26</v>
      </c>
      <c r="B66">
        <v>8</v>
      </c>
      <c r="C66" s="8">
        <v>27.130099999999999</v>
      </c>
      <c r="D66" s="8">
        <v>-82.473050000000001</v>
      </c>
      <c r="E66" s="9">
        <v>44771</v>
      </c>
      <c r="F66" t="s">
        <v>6</v>
      </c>
      <c r="G66" t="s">
        <v>7</v>
      </c>
      <c r="H66">
        <v>0</v>
      </c>
      <c r="I66" s="10" t="s">
        <v>16</v>
      </c>
      <c r="J66">
        <v>0</v>
      </c>
      <c r="L66" t="s">
        <v>16</v>
      </c>
      <c r="M66" s="8">
        <v>15.849600000000001</v>
      </c>
      <c r="N66" s="8">
        <v>6.0960000000000001</v>
      </c>
      <c r="O66" s="11">
        <v>21.945599999999999</v>
      </c>
      <c r="P66" s="12">
        <v>0.27777777777777779</v>
      </c>
      <c r="Q66" t="str">
        <f t="shared" ref="Q66:Q77" si="18">IF(P66&lt;&gt;"",(IF(P66&gt;0.66,"U",IF(P66&lt;0.33,"L","M"))),"")</f>
        <v>L</v>
      </c>
      <c r="R66" s="13">
        <f>(CONVERT(14.5,"in","cm"))</f>
        <v>36.83</v>
      </c>
      <c r="S66" s="13">
        <f>(CONVERT(25,"in","cm"))</f>
        <v>63.5</v>
      </c>
      <c r="T66" s="13">
        <f t="shared" ref="T66:T94" si="19">S66-R66</f>
        <v>26.67</v>
      </c>
      <c r="U66" s="13">
        <f>(CONVERT(11,"in","cm"))</f>
        <v>27.939999999999998</v>
      </c>
      <c r="V66" s="13">
        <v>122</v>
      </c>
      <c r="W66" s="13">
        <v>2</v>
      </c>
      <c r="X66" s="8">
        <f>(0/2)*100</f>
        <v>0</v>
      </c>
      <c r="Y66" s="13">
        <v>0</v>
      </c>
      <c r="Z66" s="13">
        <v>1</v>
      </c>
      <c r="AA66" s="13">
        <v>0</v>
      </c>
      <c r="AB66" s="13">
        <f t="shared" si="17"/>
        <v>0</v>
      </c>
      <c r="AC66" s="13">
        <v>0</v>
      </c>
      <c r="AD66" s="13">
        <v>0</v>
      </c>
      <c r="AE66" s="13">
        <v>0</v>
      </c>
      <c r="AF66" s="13">
        <f t="shared" ref="AF66:AF94" si="20">AG66+AH66</f>
        <v>0</v>
      </c>
      <c r="AG66" s="13">
        <v>0</v>
      </c>
      <c r="AH66" s="13">
        <v>0</v>
      </c>
      <c r="AI66" s="13">
        <v>1</v>
      </c>
      <c r="AJ66" s="13">
        <v>1</v>
      </c>
      <c r="AK66" s="13">
        <v>0</v>
      </c>
      <c r="AL66" s="14">
        <f t="shared" ref="AL66:AL94" si="21">(AB66+AF66)/AO66</f>
        <v>0</v>
      </c>
      <c r="AM66" s="8">
        <f t="shared" ref="AM66:AM94" si="22">((V66+AD66+AG66)/AO66)*100</f>
        <v>97.6</v>
      </c>
      <c r="AN66" s="8">
        <f t="shared" ref="AN66:AN94" si="23">(((V66+AD66+AG66)-AJ66-AI66)/AO66)*100</f>
        <v>96</v>
      </c>
      <c r="AO66" s="13">
        <f t="shared" ref="AO66:AO94" si="24">SUM(V66+W66+Y66+Z66+AB66+AF66+AK66)</f>
        <v>125</v>
      </c>
      <c r="AP66" t="s">
        <v>27</v>
      </c>
    </row>
    <row r="67" spans="1:42" ht="17" x14ac:dyDescent="0.2">
      <c r="A67" t="s">
        <v>31</v>
      </c>
      <c r="B67">
        <v>8</v>
      </c>
      <c r="C67" s="8">
        <v>27.126840000000001</v>
      </c>
      <c r="D67" s="8">
        <v>-82.472179999999994</v>
      </c>
      <c r="E67" s="9">
        <v>44772</v>
      </c>
      <c r="F67" t="s">
        <v>6</v>
      </c>
      <c r="G67" t="s">
        <v>7</v>
      </c>
      <c r="H67">
        <v>0</v>
      </c>
      <c r="I67" s="10" t="s">
        <v>16</v>
      </c>
      <c r="J67">
        <v>0</v>
      </c>
      <c r="L67" t="s">
        <v>16</v>
      </c>
      <c r="M67" s="8">
        <v>15.5448</v>
      </c>
      <c r="N67" s="8">
        <v>9.4488000000000003</v>
      </c>
      <c r="O67" s="11">
        <v>24.993600000000001</v>
      </c>
      <c r="P67" s="12">
        <v>0.37804878048780488</v>
      </c>
      <c r="Q67" t="str">
        <f t="shared" si="18"/>
        <v>M</v>
      </c>
      <c r="R67" s="13">
        <f>(CONVERT(14,"in","cm"))</f>
        <v>35.56</v>
      </c>
      <c r="S67" s="13">
        <f>(CONVERT(20,"in","cm"))</f>
        <v>50.8</v>
      </c>
      <c r="T67" s="13">
        <f t="shared" si="19"/>
        <v>15.239999999999995</v>
      </c>
      <c r="U67" s="13">
        <f>(CONVERT(11,"in","cm"))</f>
        <v>27.939999999999998</v>
      </c>
      <c r="V67" s="13">
        <v>81</v>
      </c>
      <c r="W67" s="13">
        <v>3</v>
      </c>
      <c r="X67" s="8">
        <v>0</v>
      </c>
      <c r="Y67" s="13">
        <v>0</v>
      </c>
      <c r="Z67" s="13">
        <v>0</v>
      </c>
      <c r="AA67" s="13">
        <v>0</v>
      </c>
      <c r="AB67" s="13">
        <f t="shared" si="17"/>
        <v>0</v>
      </c>
      <c r="AC67" s="13">
        <v>0</v>
      </c>
      <c r="AD67" s="13">
        <v>0</v>
      </c>
      <c r="AE67" s="13">
        <v>0</v>
      </c>
      <c r="AF67" s="13">
        <f t="shared" si="20"/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4">
        <f t="shared" si="21"/>
        <v>0</v>
      </c>
      <c r="AM67" s="8">
        <f t="shared" si="22"/>
        <v>96.428571428571431</v>
      </c>
      <c r="AN67" s="8">
        <f t="shared" si="23"/>
        <v>96.428571428571431</v>
      </c>
      <c r="AO67" s="13">
        <f t="shared" si="24"/>
        <v>84</v>
      </c>
    </row>
    <row r="68" spans="1:42" ht="17" x14ac:dyDescent="0.2">
      <c r="A68" t="s">
        <v>45</v>
      </c>
      <c r="B68">
        <v>8</v>
      </c>
      <c r="C68" s="8">
        <v>27.131440000000001</v>
      </c>
      <c r="D68" s="8">
        <v>-82.5</v>
      </c>
      <c r="E68" s="9">
        <v>44775</v>
      </c>
      <c r="F68" t="s">
        <v>6</v>
      </c>
      <c r="G68" t="s">
        <v>7</v>
      </c>
      <c r="H68">
        <v>0</v>
      </c>
      <c r="I68" s="10" t="s">
        <v>16</v>
      </c>
      <c r="J68" s="10">
        <v>0</v>
      </c>
      <c r="K68" s="10"/>
      <c r="L68" s="10" t="s">
        <v>16</v>
      </c>
      <c r="M68" s="8">
        <v>7.9248000000000003</v>
      </c>
      <c r="N68" s="8">
        <v>13.715999999999999</v>
      </c>
      <c r="O68" s="11">
        <v>21.640799999999999</v>
      </c>
      <c r="P68" s="12">
        <v>0.63380281690140849</v>
      </c>
      <c r="Q68" t="str">
        <f t="shared" si="18"/>
        <v>M</v>
      </c>
      <c r="R68" s="13">
        <f>(CONVERT(14,"in","cm"))</f>
        <v>35.56</v>
      </c>
      <c r="S68" s="13">
        <f>(CONVERT(19,"in","cm"))</f>
        <v>48.26</v>
      </c>
      <c r="T68" s="13">
        <f t="shared" si="19"/>
        <v>12.699999999999996</v>
      </c>
      <c r="U68" s="13">
        <f>(CONVERT(11,"in","cm"))</f>
        <v>27.939999999999998</v>
      </c>
      <c r="V68" s="13">
        <v>94</v>
      </c>
      <c r="W68" s="13">
        <v>6</v>
      </c>
      <c r="X68" s="8">
        <f>(3/6)*100</f>
        <v>50</v>
      </c>
      <c r="Y68" s="13">
        <v>1</v>
      </c>
      <c r="Z68" s="13">
        <v>2</v>
      </c>
      <c r="AA68" s="13">
        <v>0</v>
      </c>
      <c r="AB68" s="13">
        <f t="shared" si="17"/>
        <v>0</v>
      </c>
      <c r="AC68" s="13">
        <v>0</v>
      </c>
      <c r="AD68" s="13">
        <v>0</v>
      </c>
      <c r="AE68" s="13">
        <v>0</v>
      </c>
      <c r="AF68" s="13">
        <f t="shared" si="20"/>
        <v>0</v>
      </c>
      <c r="AG68" s="13">
        <v>0</v>
      </c>
      <c r="AH68" s="13">
        <v>0</v>
      </c>
      <c r="AI68" s="13">
        <v>5</v>
      </c>
      <c r="AJ68" s="13">
        <v>1</v>
      </c>
      <c r="AK68" s="13">
        <v>0</v>
      </c>
      <c r="AL68" s="14">
        <f t="shared" si="21"/>
        <v>0</v>
      </c>
      <c r="AM68" s="8">
        <f t="shared" si="22"/>
        <v>91.262135922330103</v>
      </c>
      <c r="AN68" s="8">
        <f t="shared" si="23"/>
        <v>85.436893203883486</v>
      </c>
      <c r="AO68" s="13">
        <f t="shared" si="24"/>
        <v>103</v>
      </c>
    </row>
    <row r="69" spans="1:42" ht="85" x14ac:dyDescent="0.2">
      <c r="A69" t="s">
        <v>93</v>
      </c>
      <c r="B69">
        <v>8</v>
      </c>
      <c r="C69" s="17">
        <v>27.13165</v>
      </c>
      <c r="D69" s="17">
        <v>-82.473380000000006</v>
      </c>
      <c r="E69" s="9">
        <v>44786</v>
      </c>
      <c r="F69" t="s">
        <v>6</v>
      </c>
      <c r="G69" t="s">
        <v>7</v>
      </c>
      <c r="H69">
        <v>1</v>
      </c>
      <c r="I69" s="10" t="s">
        <v>94</v>
      </c>
      <c r="J69" s="10">
        <v>0</v>
      </c>
      <c r="K69" s="10"/>
      <c r="L69" s="10" t="s">
        <v>16</v>
      </c>
      <c r="M69" s="8">
        <v>4.2671999999999999</v>
      </c>
      <c r="N69" s="8">
        <v>15.849600000000001</v>
      </c>
      <c r="O69" s="11">
        <v>20.116800000000001</v>
      </c>
      <c r="P69" s="12">
        <v>0.78787878787878785</v>
      </c>
      <c r="Q69" t="str">
        <f t="shared" si="18"/>
        <v>U</v>
      </c>
      <c r="R69" s="13">
        <f>(CONVERT(14,"in","cm"))</f>
        <v>35.56</v>
      </c>
      <c r="S69" s="13">
        <f>(CONVERT(17.5,"in","cm"))</f>
        <v>44.45</v>
      </c>
      <c r="T69" s="13">
        <f t="shared" si="19"/>
        <v>8.89</v>
      </c>
      <c r="U69" s="13">
        <f>(CONVERT(9,"in","cm"))</f>
        <v>22.86</v>
      </c>
      <c r="V69" s="13">
        <v>65</v>
      </c>
      <c r="W69" s="13">
        <v>1</v>
      </c>
      <c r="X69" s="8">
        <v>0</v>
      </c>
      <c r="Y69" s="13">
        <v>7</v>
      </c>
      <c r="Z69" s="13">
        <v>7</v>
      </c>
      <c r="AA69" s="13">
        <v>0</v>
      </c>
      <c r="AB69" s="13">
        <f t="shared" si="17"/>
        <v>0</v>
      </c>
      <c r="AC69" s="13">
        <v>0</v>
      </c>
      <c r="AD69" s="13">
        <v>0</v>
      </c>
      <c r="AE69" s="13">
        <v>0</v>
      </c>
      <c r="AF69" s="13">
        <f t="shared" si="20"/>
        <v>0</v>
      </c>
      <c r="AG69" s="13">
        <v>0</v>
      </c>
      <c r="AH69" s="13">
        <v>0</v>
      </c>
      <c r="AI69" s="13">
        <v>10</v>
      </c>
      <c r="AJ69" s="13">
        <v>0</v>
      </c>
      <c r="AK69" s="13">
        <v>0</v>
      </c>
      <c r="AL69" s="14">
        <f t="shared" si="21"/>
        <v>0</v>
      </c>
      <c r="AM69" s="8">
        <f t="shared" si="22"/>
        <v>81.25</v>
      </c>
      <c r="AN69" s="8">
        <f t="shared" si="23"/>
        <v>68.75</v>
      </c>
      <c r="AO69" s="13">
        <f t="shared" si="24"/>
        <v>80</v>
      </c>
    </row>
    <row r="70" spans="1:42" ht="17" x14ac:dyDescent="0.2">
      <c r="A70" t="s">
        <v>95</v>
      </c>
      <c r="B70">
        <v>8</v>
      </c>
      <c r="C70" s="17">
        <v>27.128769999999999</v>
      </c>
      <c r="D70" s="17">
        <v>-82.472620000000006</v>
      </c>
      <c r="E70" s="9">
        <v>44786</v>
      </c>
      <c r="F70" t="s">
        <v>6</v>
      </c>
      <c r="G70" t="s">
        <v>7</v>
      </c>
      <c r="H70">
        <v>0</v>
      </c>
      <c r="I70" s="10" t="s">
        <v>16</v>
      </c>
      <c r="J70" s="10">
        <v>0</v>
      </c>
      <c r="K70" s="10"/>
      <c r="L70" s="10" t="s">
        <v>16</v>
      </c>
      <c r="M70" s="8">
        <v>5.7911999999999999</v>
      </c>
      <c r="N70" s="8">
        <v>17.0688</v>
      </c>
      <c r="O70" s="11">
        <v>22.86</v>
      </c>
      <c r="P70" s="12">
        <v>0.7466666666666667</v>
      </c>
      <c r="Q70" t="str">
        <f t="shared" si="18"/>
        <v>U</v>
      </c>
      <c r="R70" s="13">
        <v>33</v>
      </c>
      <c r="S70" s="13">
        <v>42</v>
      </c>
      <c r="T70" s="13">
        <f t="shared" si="19"/>
        <v>9</v>
      </c>
      <c r="U70" s="13">
        <v>27</v>
      </c>
      <c r="V70" s="13">
        <v>87</v>
      </c>
      <c r="W70" s="13">
        <v>1</v>
      </c>
      <c r="X70" s="8">
        <v>0</v>
      </c>
      <c r="Y70" s="13">
        <v>0</v>
      </c>
      <c r="Z70" s="13">
        <v>0</v>
      </c>
      <c r="AA70" s="13">
        <v>0</v>
      </c>
      <c r="AB70" s="13">
        <f t="shared" si="17"/>
        <v>0</v>
      </c>
      <c r="AC70" s="13">
        <v>0</v>
      </c>
      <c r="AD70" s="13">
        <v>0</v>
      </c>
      <c r="AE70" s="13">
        <v>0</v>
      </c>
      <c r="AF70" s="13">
        <f t="shared" si="20"/>
        <v>0</v>
      </c>
      <c r="AG70" s="13">
        <v>0</v>
      </c>
      <c r="AH70" s="13">
        <v>0</v>
      </c>
      <c r="AI70" s="13">
        <v>1</v>
      </c>
      <c r="AJ70" s="13">
        <v>0</v>
      </c>
      <c r="AK70" s="13">
        <v>0</v>
      </c>
      <c r="AL70" s="14">
        <f t="shared" si="21"/>
        <v>0</v>
      </c>
      <c r="AM70" s="8">
        <f t="shared" si="22"/>
        <v>98.86363636363636</v>
      </c>
      <c r="AN70" s="8">
        <f t="shared" si="23"/>
        <v>97.727272727272734</v>
      </c>
      <c r="AO70" s="13">
        <f t="shared" si="24"/>
        <v>88</v>
      </c>
    </row>
    <row r="71" spans="1:42" x14ac:dyDescent="0.2">
      <c r="A71" t="s">
        <v>121</v>
      </c>
      <c r="B71">
        <v>8</v>
      </c>
      <c r="C71" s="17">
        <v>27.126629999999999</v>
      </c>
      <c r="D71" s="17">
        <v>-82.472080000000005</v>
      </c>
      <c r="E71" s="9">
        <v>44789</v>
      </c>
      <c r="F71" t="s">
        <v>6</v>
      </c>
      <c r="G71" t="s">
        <v>7</v>
      </c>
      <c r="H71">
        <v>0</v>
      </c>
      <c r="I71" t="s">
        <v>16</v>
      </c>
      <c r="J71" s="10">
        <v>0</v>
      </c>
      <c r="K71" s="10"/>
      <c r="L71" t="s">
        <v>16</v>
      </c>
      <c r="M71" s="8">
        <v>10.667999999999999</v>
      </c>
      <c r="N71" s="8">
        <v>10.667999999999999</v>
      </c>
      <c r="O71" s="11">
        <v>21.335999999999999</v>
      </c>
      <c r="P71" s="12">
        <v>0.5</v>
      </c>
      <c r="Q71" t="str">
        <f t="shared" si="18"/>
        <v>M</v>
      </c>
      <c r="R71" s="13">
        <v>30</v>
      </c>
      <c r="S71" s="13">
        <v>49</v>
      </c>
      <c r="T71" s="13">
        <f t="shared" si="19"/>
        <v>19</v>
      </c>
      <c r="U71" s="13">
        <v>31</v>
      </c>
      <c r="V71" s="13">
        <v>108</v>
      </c>
      <c r="W71" s="13">
        <v>6</v>
      </c>
      <c r="X71" s="8">
        <v>0</v>
      </c>
      <c r="Y71" s="13">
        <v>0</v>
      </c>
      <c r="Z71" s="13">
        <v>1</v>
      </c>
      <c r="AA71" s="13">
        <v>0</v>
      </c>
      <c r="AB71" s="13">
        <f t="shared" si="17"/>
        <v>0</v>
      </c>
      <c r="AC71" s="13">
        <v>0</v>
      </c>
      <c r="AD71" s="13">
        <v>0</v>
      </c>
      <c r="AE71" s="13">
        <v>0</v>
      </c>
      <c r="AF71" s="13">
        <f t="shared" si="20"/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4">
        <f t="shared" si="21"/>
        <v>0</v>
      </c>
      <c r="AM71" s="8">
        <f t="shared" si="22"/>
        <v>93.913043478260875</v>
      </c>
      <c r="AN71" s="8">
        <f t="shared" si="23"/>
        <v>93.913043478260875</v>
      </c>
      <c r="AO71" s="13">
        <f t="shared" si="24"/>
        <v>115</v>
      </c>
    </row>
    <row r="72" spans="1:42" ht="34" x14ac:dyDescent="0.2">
      <c r="A72" t="s">
        <v>122</v>
      </c>
      <c r="B72">
        <v>8</v>
      </c>
      <c r="C72" s="8">
        <v>27.13063</v>
      </c>
      <c r="D72" s="8">
        <v>-82.473110000000005</v>
      </c>
      <c r="E72" s="9">
        <v>44790</v>
      </c>
      <c r="F72" t="s">
        <v>6</v>
      </c>
      <c r="G72" t="s">
        <v>7</v>
      </c>
      <c r="H72">
        <v>0</v>
      </c>
      <c r="I72" s="10" t="s">
        <v>123</v>
      </c>
      <c r="J72" s="10">
        <v>0</v>
      </c>
      <c r="K72" s="10"/>
      <c r="L72" s="10" t="s">
        <v>16</v>
      </c>
      <c r="M72" s="8">
        <v>6.0960000000000001</v>
      </c>
      <c r="N72" s="8">
        <v>10.972799999999999</v>
      </c>
      <c r="O72" s="11">
        <v>17.0688</v>
      </c>
      <c r="P72" s="12">
        <v>0.6428571428571429</v>
      </c>
      <c r="Q72" t="str">
        <f t="shared" si="18"/>
        <v>M</v>
      </c>
      <c r="R72" s="13">
        <v>42</v>
      </c>
      <c r="S72" s="13">
        <v>49</v>
      </c>
      <c r="T72" s="13">
        <f t="shared" si="19"/>
        <v>7</v>
      </c>
      <c r="U72" s="13">
        <v>32</v>
      </c>
      <c r="V72" s="13">
        <v>86</v>
      </c>
      <c r="W72" s="13">
        <v>12</v>
      </c>
      <c r="X72" s="8">
        <f>(7/12)*100</f>
        <v>58.333333333333336</v>
      </c>
      <c r="Y72" s="13">
        <v>2</v>
      </c>
      <c r="Z72" s="13">
        <v>11</v>
      </c>
      <c r="AA72" s="13">
        <v>0</v>
      </c>
      <c r="AB72" s="13">
        <f t="shared" si="17"/>
        <v>0</v>
      </c>
      <c r="AC72" s="13">
        <v>0</v>
      </c>
      <c r="AD72" s="13">
        <v>0</v>
      </c>
      <c r="AE72" s="13">
        <v>0</v>
      </c>
      <c r="AF72" s="13">
        <f t="shared" si="20"/>
        <v>0</v>
      </c>
      <c r="AG72" s="13">
        <v>0</v>
      </c>
      <c r="AH72" s="13">
        <v>0</v>
      </c>
      <c r="AI72" s="13">
        <v>12</v>
      </c>
      <c r="AJ72" s="13">
        <v>3</v>
      </c>
      <c r="AK72" s="13">
        <v>0</v>
      </c>
      <c r="AL72" s="14">
        <f t="shared" si="21"/>
        <v>0</v>
      </c>
      <c r="AM72" s="8">
        <f t="shared" si="22"/>
        <v>77.477477477477478</v>
      </c>
      <c r="AN72" s="8">
        <f t="shared" si="23"/>
        <v>63.963963963963963</v>
      </c>
      <c r="AO72" s="13">
        <f t="shared" si="24"/>
        <v>111</v>
      </c>
    </row>
    <row r="73" spans="1:42" ht="17" x14ac:dyDescent="0.2">
      <c r="A73" t="s">
        <v>138</v>
      </c>
      <c r="B73">
        <v>8</v>
      </c>
      <c r="C73" s="16">
        <v>27.134779999999999</v>
      </c>
      <c r="D73" s="16">
        <v>-82.474369999999993</v>
      </c>
      <c r="E73" s="9">
        <v>44791</v>
      </c>
      <c r="F73" t="s">
        <v>6</v>
      </c>
      <c r="G73" t="s">
        <v>7</v>
      </c>
      <c r="H73">
        <v>0</v>
      </c>
      <c r="I73" s="10" t="s">
        <v>16</v>
      </c>
      <c r="J73" s="10">
        <v>0</v>
      </c>
      <c r="K73" s="10"/>
      <c r="L73" s="10" t="s">
        <v>16</v>
      </c>
      <c r="M73" s="8">
        <v>7.3151999999999999</v>
      </c>
      <c r="N73" s="8">
        <v>16.763999999999999</v>
      </c>
      <c r="O73" s="11">
        <v>24.0792</v>
      </c>
      <c r="P73" s="12">
        <v>0.69620253164556967</v>
      </c>
      <c r="Q73" t="str">
        <f t="shared" si="18"/>
        <v>U</v>
      </c>
      <c r="R73" s="13">
        <v>36</v>
      </c>
      <c r="S73" s="13">
        <v>45</v>
      </c>
      <c r="T73" s="13">
        <f t="shared" si="19"/>
        <v>9</v>
      </c>
      <c r="U73" s="13">
        <v>20</v>
      </c>
      <c r="V73" s="13">
        <v>83</v>
      </c>
      <c r="W73" s="13">
        <v>6</v>
      </c>
      <c r="X73" s="8">
        <v>0</v>
      </c>
      <c r="Y73" s="13">
        <v>0</v>
      </c>
      <c r="Z73" s="13">
        <v>5</v>
      </c>
      <c r="AA73" s="13">
        <v>0</v>
      </c>
      <c r="AB73" s="13">
        <f t="shared" si="17"/>
        <v>0</v>
      </c>
      <c r="AC73" s="13">
        <v>0</v>
      </c>
      <c r="AD73" s="13">
        <v>0</v>
      </c>
      <c r="AE73" s="13">
        <v>0</v>
      </c>
      <c r="AF73" s="13">
        <f t="shared" si="20"/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4">
        <f t="shared" si="21"/>
        <v>0</v>
      </c>
      <c r="AM73" s="8">
        <f t="shared" si="22"/>
        <v>88.297872340425528</v>
      </c>
      <c r="AN73" s="8">
        <f t="shared" si="23"/>
        <v>88.297872340425528</v>
      </c>
      <c r="AO73" s="13">
        <f t="shared" si="24"/>
        <v>94</v>
      </c>
    </row>
    <row r="74" spans="1:42" ht="17" x14ac:dyDescent="0.2">
      <c r="A74" t="s">
        <v>143</v>
      </c>
      <c r="B74">
        <v>8</v>
      </c>
      <c r="C74" s="16">
        <v>27.132670000000001</v>
      </c>
      <c r="D74" s="16">
        <v>-82.473709999999997</v>
      </c>
      <c r="E74" s="9">
        <v>44792</v>
      </c>
      <c r="F74" t="s">
        <v>6</v>
      </c>
      <c r="G74" t="s">
        <v>7</v>
      </c>
      <c r="H74">
        <v>0</v>
      </c>
      <c r="I74" s="10" t="s">
        <v>16</v>
      </c>
      <c r="J74" s="10">
        <v>0</v>
      </c>
      <c r="K74" s="10"/>
      <c r="L74" s="10" t="s">
        <v>16</v>
      </c>
      <c r="M74" s="8">
        <v>7.62</v>
      </c>
      <c r="N74" s="8">
        <v>12.801600000000001</v>
      </c>
      <c r="O74" s="11">
        <v>20.421600000000002</v>
      </c>
      <c r="P74" s="12">
        <v>0.62686567164179108</v>
      </c>
      <c r="Q74" t="str">
        <f t="shared" si="18"/>
        <v>M</v>
      </c>
      <c r="R74" s="13">
        <v>20</v>
      </c>
      <c r="S74" s="13">
        <v>58</v>
      </c>
      <c r="T74" s="13">
        <f t="shared" si="19"/>
        <v>38</v>
      </c>
      <c r="U74" s="13">
        <v>20</v>
      </c>
      <c r="V74" s="13">
        <v>94</v>
      </c>
      <c r="W74" s="13">
        <v>5</v>
      </c>
      <c r="X74" s="8">
        <v>0</v>
      </c>
      <c r="Y74" s="13">
        <v>1</v>
      </c>
      <c r="Z74" s="13">
        <v>6</v>
      </c>
      <c r="AA74" s="13">
        <v>0</v>
      </c>
      <c r="AB74" s="13">
        <f t="shared" si="17"/>
        <v>0</v>
      </c>
      <c r="AC74" s="13">
        <v>0</v>
      </c>
      <c r="AD74" s="13">
        <v>0</v>
      </c>
      <c r="AE74" s="13">
        <v>0</v>
      </c>
      <c r="AF74" s="13">
        <f t="shared" si="20"/>
        <v>0</v>
      </c>
      <c r="AG74" s="13">
        <v>0</v>
      </c>
      <c r="AH74" s="13">
        <v>0</v>
      </c>
      <c r="AI74" s="13">
        <v>9</v>
      </c>
      <c r="AJ74" s="13">
        <v>3</v>
      </c>
      <c r="AK74" s="13">
        <v>0</v>
      </c>
      <c r="AL74" s="14">
        <f t="shared" si="21"/>
        <v>0</v>
      </c>
      <c r="AM74" s="8">
        <f t="shared" si="22"/>
        <v>88.679245283018872</v>
      </c>
      <c r="AN74" s="8">
        <f t="shared" si="23"/>
        <v>77.358490566037744</v>
      </c>
      <c r="AO74" s="13">
        <f t="shared" si="24"/>
        <v>106</v>
      </c>
      <c r="AP74" t="s">
        <v>144</v>
      </c>
    </row>
    <row r="75" spans="1:42" ht="17" x14ac:dyDescent="0.2">
      <c r="A75" t="s">
        <v>148</v>
      </c>
      <c r="B75">
        <v>8</v>
      </c>
      <c r="C75" s="16">
        <v>27.127980000000001</v>
      </c>
      <c r="D75" s="16">
        <v>-82.472430000000003</v>
      </c>
      <c r="E75" s="9">
        <v>44795</v>
      </c>
      <c r="F75" t="s">
        <v>6</v>
      </c>
      <c r="G75" t="s">
        <v>7</v>
      </c>
      <c r="H75">
        <v>0</v>
      </c>
      <c r="I75" s="10" t="s">
        <v>16</v>
      </c>
      <c r="J75" s="10">
        <v>0</v>
      </c>
      <c r="K75" s="10"/>
      <c r="L75" s="10" t="s">
        <v>16</v>
      </c>
      <c r="M75" s="8">
        <v>10.363200000000001</v>
      </c>
      <c r="N75" s="8">
        <v>16.154399999999999</v>
      </c>
      <c r="O75" s="11">
        <v>26.517600000000002</v>
      </c>
      <c r="P75" s="12">
        <v>0.60919540229885061</v>
      </c>
      <c r="Q75" t="str">
        <f t="shared" si="18"/>
        <v>M</v>
      </c>
      <c r="R75" s="13">
        <v>38</v>
      </c>
      <c r="S75" s="13">
        <v>45</v>
      </c>
      <c r="T75" s="13">
        <f t="shared" si="19"/>
        <v>7</v>
      </c>
      <c r="U75" s="13">
        <v>25</v>
      </c>
      <c r="V75" s="13">
        <v>84</v>
      </c>
      <c r="W75" s="13">
        <v>11</v>
      </c>
      <c r="X75" s="8">
        <v>0</v>
      </c>
      <c r="Y75" s="13">
        <v>1</v>
      </c>
      <c r="Z75" s="13">
        <v>2</v>
      </c>
      <c r="AA75" s="13">
        <v>0</v>
      </c>
      <c r="AB75" s="13">
        <f t="shared" si="17"/>
        <v>0</v>
      </c>
      <c r="AC75" s="13">
        <v>0</v>
      </c>
      <c r="AD75" s="13">
        <v>0</v>
      </c>
      <c r="AE75" s="13">
        <v>0</v>
      </c>
      <c r="AF75" s="13">
        <f t="shared" si="20"/>
        <v>0</v>
      </c>
      <c r="AG75" s="13">
        <v>0</v>
      </c>
      <c r="AH75" s="13">
        <v>0</v>
      </c>
      <c r="AI75" s="13">
        <v>5</v>
      </c>
      <c r="AJ75" s="13">
        <v>0</v>
      </c>
      <c r="AK75" s="13">
        <v>0</v>
      </c>
      <c r="AL75" s="14">
        <f t="shared" si="21"/>
        <v>0</v>
      </c>
      <c r="AM75" s="8">
        <f t="shared" si="22"/>
        <v>85.714285714285708</v>
      </c>
      <c r="AN75" s="8">
        <f t="shared" si="23"/>
        <v>80.612244897959187</v>
      </c>
      <c r="AO75" s="13">
        <f t="shared" si="24"/>
        <v>98</v>
      </c>
    </row>
    <row r="76" spans="1:42" ht="17" x14ac:dyDescent="0.2">
      <c r="A76" t="s">
        <v>149</v>
      </c>
      <c r="B76">
        <v>8</v>
      </c>
      <c r="C76" s="16">
        <v>27.127420000000001</v>
      </c>
      <c r="D76" s="16">
        <v>-82.472319999999996</v>
      </c>
      <c r="E76" s="9">
        <v>44795</v>
      </c>
      <c r="F76" t="s">
        <v>6</v>
      </c>
      <c r="G76" t="s">
        <v>7</v>
      </c>
      <c r="H76">
        <v>0</v>
      </c>
      <c r="I76" s="10" t="s">
        <v>16</v>
      </c>
      <c r="J76" s="10">
        <v>0</v>
      </c>
      <c r="K76" s="10"/>
      <c r="L76" s="10" t="s">
        <v>16</v>
      </c>
      <c r="M76" s="8">
        <v>9.7536000000000005</v>
      </c>
      <c r="N76" s="8">
        <v>13.106400000000001</v>
      </c>
      <c r="O76" s="11">
        <v>22.86</v>
      </c>
      <c r="P76" s="12">
        <v>0.57333333333333336</v>
      </c>
      <c r="Q76" t="str">
        <f t="shared" si="18"/>
        <v>M</v>
      </c>
      <c r="R76" s="13">
        <v>42</v>
      </c>
      <c r="S76" s="13">
        <v>52</v>
      </c>
      <c r="T76" s="13">
        <f t="shared" si="19"/>
        <v>10</v>
      </c>
      <c r="U76" s="13">
        <v>24</v>
      </c>
      <c r="V76" s="13">
        <v>74</v>
      </c>
      <c r="W76" s="13">
        <v>8</v>
      </c>
      <c r="X76" s="8">
        <f>(1/8)*100</f>
        <v>12.5</v>
      </c>
      <c r="Y76" s="13">
        <v>0</v>
      </c>
      <c r="Z76" s="13">
        <v>1</v>
      </c>
      <c r="AA76" s="13">
        <v>0</v>
      </c>
      <c r="AB76" s="13">
        <f t="shared" si="17"/>
        <v>0</v>
      </c>
      <c r="AC76" s="13">
        <v>0</v>
      </c>
      <c r="AD76" s="13">
        <v>0</v>
      </c>
      <c r="AE76" s="13">
        <v>0</v>
      </c>
      <c r="AF76" s="13">
        <f t="shared" si="20"/>
        <v>0</v>
      </c>
      <c r="AG76" s="13">
        <v>0</v>
      </c>
      <c r="AH76" s="13">
        <v>0</v>
      </c>
      <c r="AI76" s="13">
        <v>1</v>
      </c>
      <c r="AJ76" s="13">
        <v>0</v>
      </c>
      <c r="AK76" s="13">
        <v>0</v>
      </c>
      <c r="AL76" s="14">
        <f t="shared" si="21"/>
        <v>0</v>
      </c>
      <c r="AM76" s="8">
        <f t="shared" si="22"/>
        <v>89.156626506024097</v>
      </c>
      <c r="AN76" s="8">
        <f t="shared" si="23"/>
        <v>87.951807228915655</v>
      </c>
      <c r="AO76" s="13">
        <f t="shared" si="24"/>
        <v>83</v>
      </c>
    </row>
    <row r="77" spans="1:42" ht="17" x14ac:dyDescent="0.2">
      <c r="A77" t="s">
        <v>212</v>
      </c>
      <c r="B77">
        <v>4</v>
      </c>
      <c r="C77" s="8">
        <v>27.154630000000001</v>
      </c>
      <c r="D77" s="8">
        <v>-82.483729999999994</v>
      </c>
      <c r="E77" s="9">
        <v>44826</v>
      </c>
      <c r="F77" t="s">
        <v>6</v>
      </c>
      <c r="G77" t="s">
        <v>7</v>
      </c>
      <c r="H77">
        <v>1</v>
      </c>
      <c r="I77" s="10" t="s">
        <v>213</v>
      </c>
      <c r="J77" s="10">
        <v>1</v>
      </c>
      <c r="K77" s="10" t="s">
        <v>219</v>
      </c>
      <c r="L77" s="10" t="s">
        <v>202</v>
      </c>
      <c r="M77" s="8">
        <v>0.61</v>
      </c>
      <c r="N77" s="8">
        <v>16.46</v>
      </c>
      <c r="O77" s="11">
        <f>M77+N77</f>
        <v>17.07</v>
      </c>
      <c r="P77" s="12">
        <f>1-(M77/O77)</f>
        <v>0.96426479203280613</v>
      </c>
      <c r="Q77" t="str">
        <f t="shared" si="18"/>
        <v>U</v>
      </c>
      <c r="R77" s="13">
        <v>36</v>
      </c>
      <c r="S77" s="13">
        <v>54</v>
      </c>
      <c r="T77" s="13">
        <f t="shared" si="19"/>
        <v>18</v>
      </c>
      <c r="U77" s="13">
        <v>26</v>
      </c>
      <c r="V77" s="13">
        <v>75</v>
      </c>
      <c r="W77" s="13">
        <v>1</v>
      </c>
      <c r="X77" s="8">
        <v>0</v>
      </c>
      <c r="Y77" s="13">
        <v>0</v>
      </c>
      <c r="Z77" s="13">
        <v>1</v>
      </c>
      <c r="AA77" s="13">
        <v>0</v>
      </c>
      <c r="AB77" s="13">
        <f t="shared" si="17"/>
        <v>3</v>
      </c>
      <c r="AC77" s="13">
        <v>0</v>
      </c>
      <c r="AD77" s="13">
        <v>0</v>
      </c>
      <c r="AE77" s="13">
        <v>3</v>
      </c>
      <c r="AF77" s="13">
        <f t="shared" si="20"/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4">
        <f t="shared" si="21"/>
        <v>3.7499999999999999E-2</v>
      </c>
      <c r="AM77" s="8">
        <f t="shared" si="22"/>
        <v>93.75</v>
      </c>
      <c r="AN77" s="8">
        <f t="shared" si="23"/>
        <v>93.75</v>
      </c>
      <c r="AO77" s="13">
        <f t="shared" si="24"/>
        <v>80</v>
      </c>
      <c r="AP77" s="13" t="s">
        <v>206</v>
      </c>
    </row>
    <row r="78" spans="1:42" ht="17" x14ac:dyDescent="0.2">
      <c r="A78" t="s">
        <v>70</v>
      </c>
      <c r="B78">
        <v>9</v>
      </c>
      <c r="C78" s="8">
        <v>27.117840000000001</v>
      </c>
      <c r="D78" s="8">
        <v>-82.469729999999998</v>
      </c>
      <c r="E78" s="9">
        <v>44782</v>
      </c>
      <c r="F78" t="s">
        <v>6</v>
      </c>
      <c r="G78" t="s">
        <v>7</v>
      </c>
      <c r="H78">
        <v>1</v>
      </c>
      <c r="I78" s="10" t="s">
        <v>19</v>
      </c>
      <c r="J78" s="10">
        <v>1</v>
      </c>
      <c r="K78" s="10" t="s">
        <v>218</v>
      </c>
      <c r="L78" s="10" t="s">
        <v>71</v>
      </c>
      <c r="M78" s="8">
        <v>-1.83</v>
      </c>
      <c r="N78" s="8">
        <v>26.52</v>
      </c>
      <c r="O78" s="11">
        <f t="shared" ref="O78:O93" si="25">M78+N78</f>
        <v>24.689999999999998</v>
      </c>
      <c r="P78" s="12">
        <f t="shared" ref="P78:P93" si="26">1-(M78/O78)</f>
        <v>1.0741190765492101</v>
      </c>
      <c r="Q78" t="str">
        <f t="shared" ref="Q78:Q93" si="27">IF(P78&lt;&gt;"",(IF(P78&gt;0.66,"U",IF(P78&lt;0.33,"L","M"))),"")</f>
        <v>U</v>
      </c>
      <c r="R78" s="13">
        <f>(CONVERT(12,"in","cm"))</f>
        <v>30.48</v>
      </c>
      <c r="S78" s="13">
        <f>(CONVERT(17,"in","cm"))</f>
        <v>43.18</v>
      </c>
      <c r="T78" s="13">
        <f t="shared" si="19"/>
        <v>12.7</v>
      </c>
      <c r="U78" s="13">
        <f>(CONVERT(9,"in","cm"))</f>
        <v>22.86</v>
      </c>
      <c r="V78" s="13">
        <v>75</v>
      </c>
      <c r="W78" s="13">
        <v>11</v>
      </c>
      <c r="X78" s="8">
        <v>0</v>
      </c>
      <c r="Y78" s="13">
        <v>0</v>
      </c>
      <c r="Z78" s="13">
        <v>2</v>
      </c>
      <c r="AA78" s="13">
        <v>0</v>
      </c>
      <c r="AB78" s="13">
        <f t="shared" si="17"/>
        <v>7</v>
      </c>
      <c r="AC78" s="13">
        <v>0</v>
      </c>
      <c r="AD78" s="13">
        <v>0</v>
      </c>
      <c r="AE78" s="13">
        <v>7</v>
      </c>
      <c r="AF78" s="13">
        <f t="shared" si="20"/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4">
        <f t="shared" si="21"/>
        <v>7.3684210526315783E-2</v>
      </c>
      <c r="AM78" s="8">
        <f t="shared" si="22"/>
        <v>78.94736842105263</v>
      </c>
      <c r="AN78" s="8">
        <f t="shared" si="23"/>
        <v>78.94736842105263</v>
      </c>
      <c r="AO78" s="13">
        <f t="shared" si="24"/>
        <v>95</v>
      </c>
      <c r="AP78" t="s">
        <v>72</v>
      </c>
    </row>
    <row r="79" spans="1:42" ht="34" x14ac:dyDescent="0.2">
      <c r="A79" t="s">
        <v>81</v>
      </c>
      <c r="B79">
        <v>6</v>
      </c>
      <c r="C79" s="8">
        <v>27.143470000000001</v>
      </c>
      <c r="D79" s="8">
        <v>-82.477689999999996</v>
      </c>
      <c r="E79" s="9">
        <v>44785</v>
      </c>
      <c r="F79" t="s">
        <v>6</v>
      </c>
      <c r="G79" t="s">
        <v>7</v>
      </c>
      <c r="H79">
        <v>1</v>
      </c>
      <c r="I79" s="10" t="s">
        <v>19</v>
      </c>
      <c r="J79" s="10">
        <v>1</v>
      </c>
      <c r="K79" s="10" t="s">
        <v>218</v>
      </c>
      <c r="L79" s="10" t="s">
        <v>82</v>
      </c>
      <c r="M79" s="8">
        <v>2.74</v>
      </c>
      <c r="N79" s="8">
        <v>13.41</v>
      </c>
      <c r="O79" s="11">
        <f t="shared" si="25"/>
        <v>16.149999999999999</v>
      </c>
      <c r="P79" s="12">
        <f t="shared" si="26"/>
        <v>0.83034055727554179</v>
      </c>
      <c r="Q79" t="str">
        <f t="shared" si="27"/>
        <v>U</v>
      </c>
      <c r="R79" s="13">
        <f>(CONVERT(19.5,"in","cm"))</f>
        <v>49.53</v>
      </c>
      <c r="S79" s="18">
        <f>(CONVERT(24,"in","cm"))</f>
        <v>60.96</v>
      </c>
      <c r="T79" s="13">
        <f t="shared" si="19"/>
        <v>11.43</v>
      </c>
      <c r="U79" s="13">
        <f>(CONVERT(8.5,"in","cm"))</f>
        <v>21.59</v>
      </c>
      <c r="V79" s="13">
        <v>88</v>
      </c>
      <c r="W79" s="13">
        <v>17</v>
      </c>
      <c r="X79" s="8">
        <v>0</v>
      </c>
      <c r="Y79" s="13">
        <v>0</v>
      </c>
      <c r="Z79" s="13">
        <v>1</v>
      </c>
      <c r="AA79" s="13">
        <v>0</v>
      </c>
      <c r="AB79" s="13">
        <f t="shared" si="17"/>
        <v>0</v>
      </c>
      <c r="AC79" s="13">
        <v>0</v>
      </c>
      <c r="AD79" s="13">
        <v>0</v>
      </c>
      <c r="AE79" s="13">
        <v>0</v>
      </c>
      <c r="AF79" s="13">
        <f t="shared" si="20"/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4">
        <f t="shared" si="21"/>
        <v>0</v>
      </c>
      <c r="AM79" s="8">
        <f t="shared" si="22"/>
        <v>83.018867924528308</v>
      </c>
      <c r="AN79" s="8">
        <f t="shared" si="23"/>
        <v>83.018867924528308</v>
      </c>
      <c r="AO79" s="13">
        <f t="shared" si="24"/>
        <v>106</v>
      </c>
    </row>
    <row r="80" spans="1:42" ht="51" x14ac:dyDescent="0.2">
      <c r="A80" t="s">
        <v>83</v>
      </c>
      <c r="B80">
        <v>7</v>
      </c>
      <c r="C80" s="8">
        <v>27.137530000000002</v>
      </c>
      <c r="D80" s="8">
        <v>-82.475269999999995</v>
      </c>
      <c r="E80" s="9">
        <v>44785</v>
      </c>
      <c r="F80" t="s">
        <v>6</v>
      </c>
      <c r="G80" t="s">
        <v>7</v>
      </c>
      <c r="H80">
        <v>1</v>
      </c>
      <c r="I80" s="10" t="s">
        <v>84</v>
      </c>
      <c r="J80" s="10">
        <v>1</v>
      </c>
      <c r="K80" s="10" t="s">
        <v>218</v>
      </c>
      <c r="L80" s="10" t="s">
        <v>85</v>
      </c>
      <c r="M80" s="8">
        <v>0</v>
      </c>
      <c r="N80" s="8">
        <v>16.149999999999999</v>
      </c>
      <c r="O80" s="11">
        <f t="shared" si="25"/>
        <v>16.149999999999999</v>
      </c>
      <c r="P80" s="12">
        <f t="shared" si="26"/>
        <v>1</v>
      </c>
      <c r="Q80" t="str">
        <f t="shared" si="27"/>
        <v>U</v>
      </c>
      <c r="R80" s="13">
        <f>(CONVERT(15,"in","cm"))</f>
        <v>38.1</v>
      </c>
      <c r="S80" s="13">
        <f>(CONVERT(19,"in","cm"))</f>
        <v>48.26</v>
      </c>
      <c r="T80" s="13">
        <f t="shared" si="19"/>
        <v>10.159999999999997</v>
      </c>
      <c r="U80" s="13">
        <f>(CONVERT(10,"in","cm"))</f>
        <v>25.4</v>
      </c>
      <c r="V80" s="13">
        <v>67</v>
      </c>
      <c r="W80" s="13">
        <v>2</v>
      </c>
      <c r="X80" s="8">
        <v>0</v>
      </c>
      <c r="Y80" s="13">
        <v>0</v>
      </c>
      <c r="Z80" s="13">
        <v>0</v>
      </c>
      <c r="AA80" s="13">
        <v>0</v>
      </c>
      <c r="AB80" s="13">
        <f t="shared" si="17"/>
        <v>20</v>
      </c>
      <c r="AC80" s="13">
        <v>0</v>
      </c>
      <c r="AD80" s="13">
        <v>20</v>
      </c>
      <c r="AE80" s="13">
        <v>0</v>
      </c>
      <c r="AF80" s="13">
        <f t="shared" si="20"/>
        <v>2</v>
      </c>
      <c r="AG80" s="13">
        <v>0</v>
      </c>
      <c r="AH80" s="13">
        <v>2</v>
      </c>
      <c r="AI80" s="13">
        <v>0</v>
      </c>
      <c r="AJ80" s="13">
        <v>0</v>
      </c>
      <c r="AK80" s="13">
        <v>0</v>
      </c>
      <c r="AL80" s="14">
        <f t="shared" si="21"/>
        <v>0.24175824175824176</v>
      </c>
      <c r="AM80" s="8">
        <f t="shared" si="22"/>
        <v>95.604395604395606</v>
      </c>
      <c r="AN80" s="8">
        <f t="shared" si="23"/>
        <v>95.604395604395606</v>
      </c>
      <c r="AO80" s="13">
        <f t="shared" si="24"/>
        <v>91</v>
      </c>
    </row>
    <row r="81" spans="1:43" ht="85" x14ac:dyDescent="0.2">
      <c r="A81" t="s">
        <v>96</v>
      </c>
      <c r="B81">
        <v>3</v>
      </c>
      <c r="C81" s="17">
        <v>27.160779999999999</v>
      </c>
      <c r="D81" s="17">
        <v>-82.487819999999999</v>
      </c>
      <c r="E81" s="9">
        <v>44787</v>
      </c>
      <c r="F81" t="s">
        <v>6</v>
      </c>
      <c r="G81" t="s">
        <v>7</v>
      </c>
      <c r="H81">
        <v>1</v>
      </c>
      <c r="I81" s="10" t="s">
        <v>97</v>
      </c>
      <c r="J81" s="10">
        <v>1</v>
      </c>
      <c r="K81" s="10" t="s">
        <v>218</v>
      </c>
      <c r="L81" s="10" t="s">
        <v>98</v>
      </c>
      <c r="M81" s="8">
        <v>0.3</v>
      </c>
      <c r="N81" s="8">
        <v>15.54</v>
      </c>
      <c r="O81" s="11">
        <f t="shared" si="25"/>
        <v>15.84</v>
      </c>
      <c r="P81" s="12">
        <f t="shared" si="26"/>
        <v>0.98106060606060608</v>
      </c>
      <c r="Q81" t="str">
        <f t="shared" si="27"/>
        <v>U</v>
      </c>
      <c r="R81" s="13">
        <f>(CONVERT(16,"in","cm"))</f>
        <v>40.64</v>
      </c>
      <c r="S81" s="13">
        <v>51</v>
      </c>
      <c r="T81" s="13">
        <f t="shared" si="19"/>
        <v>10.36</v>
      </c>
      <c r="U81" s="13">
        <v>27</v>
      </c>
      <c r="V81" s="13">
        <v>3</v>
      </c>
      <c r="W81" s="13">
        <v>0</v>
      </c>
      <c r="X81" s="8">
        <v>0</v>
      </c>
      <c r="Y81" s="13">
        <v>0</v>
      </c>
      <c r="Z81" s="13">
        <v>1</v>
      </c>
      <c r="AA81" s="13">
        <v>0</v>
      </c>
      <c r="AB81" s="13">
        <f t="shared" si="17"/>
        <v>82</v>
      </c>
      <c r="AC81" s="13">
        <v>0</v>
      </c>
      <c r="AD81" s="13">
        <v>41</v>
      </c>
      <c r="AE81" s="13">
        <v>41</v>
      </c>
      <c r="AF81" s="13">
        <f t="shared" si="20"/>
        <v>1</v>
      </c>
      <c r="AG81" s="13">
        <v>0</v>
      </c>
      <c r="AH81" s="13">
        <v>1</v>
      </c>
      <c r="AI81" s="13">
        <v>1</v>
      </c>
      <c r="AJ81" s="13">
        <v>3</v>
      </c>
      <c r="AK81" s="13">
        <v>36</v>
      </c>
      <c r="AL81" s="14">
        <f t="shared" si="21"/>
        <v>0.67479674796747968</v>
      </c>
      <c r="AM81" s="8">
        <f t="shared" si="22"/>
        <v>35.772357723577237</v>
      </c>
      <c r="AN81" s="8">
        <f t="shared" si="23"/>
        <v>32.520325203252028</v>
      </c>
      <c r="AO81" s="13">
        <f t="shared" si="24"/>
        <v>123</v>
      </c>
      <c r="AP81" s="10" t="s">
        <v>99</v>
      </c>
    </row>
    <row r="82" spans="1:43" ht="102" x14ac:dyDescent="0.2">
      <c r="A82" t="s">
        <v>126</v>
      </c>
      <c r="B82">
        <v>8</v>
      </c>
      <c r="C82" s="8">
        <v>27.126740000000002</v>
      </c>
      <c r="D82" s="8">
        <v>-82.471990000000005</v>
      </c>
      <c r="E82" s="9">
        <v>44790</v>
      </c>
      <c r="F82" t="s">
        <v>6</v>
      </c>
      <c r="G82" t="s">
        <v>7</v>
      </c>
      <c r="H82">
        <v>1</v>
      </c>
      <c r="I82" s="10" t="s">
        <v>127</v>
      </c>
      <c r="J82" s="10">
        <v>1</v>
      </c>
      <c r="K82" s="10" t="s">
        <v>218</v>
      </c>
      <c r="L82" s="10" t="s">
        <v>128</v>
      </c>
      <c r="M82" s="8">
        <v>-0.61</v>
      </c>
      <c r="N82" s="8">
        <v>25.91</v>
      </c>
      <c r="O82" s="11">
        <f t="shared" si="25"/>
        <v>25.3</v>
      </c>
      <c r="P82" s="12">
        <f t="shared" si="26"/>
        <v>1.024110671936759</v>
      </c>
      <c r="Q82" t="str">
        <f t="shared" si="27"/>
        <v>U</v>
      </c>
      <c r="R82" s="13">
        <v>29</v>
      </c>
      <c r="S82" s="13">
        <v>33</v>
      </c>
      <c r="T82" s="13">
        <f t="shared" si="19"/>
        <v>4</v>
      </c>
      <c r="U82" s="13">
        <v>28</v>
      </c>
      <c r="V82" s="13">
        <v>71</v>
      </c>
      <c r="W82" s="13">
        <v>3</v>
      </c>
      <c r="X82" s="8">
        <v>0</v>
      </c>
      <c r="Y82" s="13">
        <v>0</v>
      </c>
      <c r="Z82" s="13">
        <v>1</v>
      </c>
      <c r="AA82" s="13">
        <v>0</v>
      </c>
      <c r="AB82" s="13">
        <f t="shared" si="17"/>
        <v>12</v>
      </c>
      <c r="AC82" s="13">
        <v>1</v>
      </c>
      <c r="AD82" s="13">
        <v>10</v>
      </c>
      <c r="AE82" s="13">
        <v>2</v>
      </c>
      <c r="AF82" s="13">
        <f t="shared" si="20"/>
        <v>2</v>
      </c>
      <c r="AG82" s="13">
        <v>0</v>
      </c>
      <c r="AH82" s="13">
        <v>2</v>
      </c>
      <c r="AI82" s="13">
        <v>1</v>
      </c>
      <c r="AJ82" s="13">
        <v>0</v>
      </c>
      <c r="AK82" s="13">
        <v>0</v>
      </c>
      <c r="AL82" s="14">
        <f t="shared" si="21"/>
        <v>0.15730337078651685</v>
      </c>
      <c r="AM82" s="8">
        <f t="shared" si="22"/>
        <v>91.011235955056179</v>
      </c>
      <c r="AN82" s="8">
        <f t="shared" si="23"/>
        <v>89.887640449438194</v>
      </c>
      <c r="AO82" s="13">
        <f t="shared" si="24"/>
        <v>89</v>
      </c>
      <c r="AP82" t="s">
        <v>129</v>
      </c>
    </row>
    <row r="83" spans="1:43" ht="34" x14ac:dyDescent="0.2">
      <c r="A83" t="s">
        <v>32</v>
      </c>
      <c r="B83">
        <v>6</v>
      </c>
      <c r="C83" s="8">
        <v>27.143470000000001</v>
      </c>
      <c r="D83" s="8">
        <v>-82.477720000000005</v>
      </c>
      <c r="E83" s="9">
        <v>44773</v>
      </c>
      <c r="F83" t="s">
        <v>6</v>
      </c>
      <c r="G83" t="s">
        <v>7</v>
      </c>
      <c r="H83">
        <v>0</v>
      </c>
      <c r="I83" s="10" t="s">
        <v>16</v>
      </c>
      <c r="J83">
        <v>0</v>
      </c>
      <c r="L83" t="s">
        <v>16</v>
      </c>
      <c r="M83" s="8">
        <v>3.96</v>
      </c>
      <c r="N83" s="8">
        <v>12.8</v>
      </c>
      <c r="O83" s="11">
        <f t="shared" si="25"/>
        <v>16.760000000000002</v>
      </c>
      <c r="P83" s="12">
        <f t="shared" si="26"/>
        <v>0.76372315035799532</v>
      </c>
      <c r="Q83" t="str">
        <f t="shared" si="27"/>
        <v>U</v>
      </c>
      <c r="R83" s="13">
        <f>(CONVERT(16,"in","cm"))</f>
        <v>40.64</v>
      </c>
      <c r="S83" s="13">
        <f>(CONVERT(21.5,"in","cm"))</f>
        <v>54.61</v>
      </c>
      <c r="T83" s="13">
        <f t="shared" si="19"/>
        <v>13.969999999999999</v>
      </c>
      <c r="U83" s="13">
        <f>(CONVERT(10.5,"in","cm"))</f>
        <v>26.669999999999998</v>
      </c>
      <c r="V83" s="13">
        <v>106</v>
      </c>
      <c r="W83" s="13">
        <v>3</v>
      </c>
      <c r="X83" s="8">
        <v>0</v>
      </c>
      <c r="Y83" s="13">
        <v>0</v>
      </c>
      <c r="Z83" s="13">
        <v>0</v>
      </c>
      <c r="AA83" s="13">
        <v>0</v>
      </c>
      <c r="AB83" s="13">
        <f t="shared" si="17"/>
        <v>0</v>
      </c>
      <c r="AC83" s="13">
        <v>0</v>
      </c>
      <c r="AD83" s="13">
        <v>0</v>
      </c>
      <c r="AE83" s="13">
        <v>0</v>
      </c>
      <c r="AF83" s="13">
        <f t="shared" si="20"/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4">
        <f t="shared" si="21"/>
        <v>0</v>
      </c>
      <c r="AM83" s="8">
        <f t="shared" si="22"/>
        <v>97.247706422018354</v>
      </c>
      <c r="AN83" s="8">
        <f t="shared" si="23"/>
        <v>97.247706422018354</v>
      </c>
      <c r="AO83" s="13">
        <f t="shared" si="24"/>
        <v>109</v>
      </c>
      <c r="AP83" s="10" t="s">
        <v>223</v>
      </c>
    </row>
    <row r="84" spans="1:43" ht="17" x14ac:dyDescent="0.2">
      <c r="A84" t="s">
        <v>41</v>
      </c>
      <c r="B84">
        <v>7</v>
      </c>
      <c r="C84" s="8">
        <v>27.135829999999999</v>
      </c>
      <c r="D84" s="8">
        <v>-82.474720000000005</v>
      </c>
      <c r="E84" s="9">
        <v>44774</v>
      </c>
      <c r="F84" t="s">
        <v>6</v>
      </c>
      <c r="G84" t="s">
        <v>7</v>
      </c>
      <c r="H84">
        <v>0</v>
      </c>
      <c r="I84" s="10" t="s">
        <v>16</v>
      </c>
      <c r="J84" s="10">
        <v>0</v>
      </c>
      <c r="K84" s="10"/>
      <c r="L84" s="10" t="s">
        <v>16</v>
      </c>
      <c r="M84" s="8">
        <v>6.01</v>
      </c>
      <c r="N84" s="8">
        <v>10.67</v>
      </c>
      <c r="O84" s="11">
        <f t="shared" si="25"/>
        <v>16.68</v>
      </c>
      <c r="P84" s="12">
        <f t="shared" si="26"/>
        <v>0.63968824940047964</v>
      </c>
      <c r="Q84" t="str">
        <f t="shared" si="27"/>
        <v>M</v>
      </c>
      <c r="R84" s="13">
        <f>(CONVERT(16,"in","cm"))</f>
        <v>40.64</v>
      </c>
      <c r="S84" s="13">
        <f>(CONVERT(21,"in","cm"))</f>
        <v>53.339999999999996</v>
      </c>
      <c r="T84" s="13">
        <f t="shared" si="19"/>
        <v>12.699999999999996</v>
      </c>
      <c r="U84" s="13">
        <f>(CONVERT(10,"in","cm"))</f>
        <v>25.4</v>
      </c>
      <c r="V84" s="13">
        <v>58</v>
      </c>
      <c r="W84" s="13">
        <v>4</v>
      </c>
      <c r="X84" s="8">
        <f>(3/4)*100</f>
        <v>75</v>
      </c>
      <c r="Y84" s="13">
        <v>0</v>
      </c>
      <c r="Z84" s="13">
        <v>0</v>
      </c>
      <c r="AA84" s="13">
        <v>0</v>
      </c>
      <c r="AB84" s="13">
        <f t="shared" si="17"/>
        <v>0</v>
      </c>
      <c r="AC84" s="13">
        <v>0</v>
      </c>
      <c r="AD84" s="13">
        <v>0</v>
      </c>
      <c r="AE84" s="13">
        <v>0</v>
      </c>
      <c r="AF84" s="13">
        <f t="shared" si="20"/>
        <v>0</v>
      </c>
      <c r="AG84" s="13">
        <v>0</v>
      </c>
      <c r="AH84" s="13">
        <v>0</v>
      </c>
      <c r="AI84" s="13">
        <v>1</v>
      </c>
      <c r="AJ84" s="13">
        <v>0</v>
      </c>
      <c r="AK84" s="13">
        <v>0</v>
      </c>
      <c r="AL84" s="14">
        <f t="shared" si="21"/>
        <v>0</v>
      </c>
      <c r="AM84" s="8">
        <f t="shared" si="22"/>
        <v>93.548387096774192</v>
      </c>
      <c r="AN84" s="8">
        <f t="shared" si="23"/>
        <v>91.935483870967744</v>
      </c>
      <c r="AO84" s="13">
        <f t="shared" si="24"/>
        <v>62</v>
      </c>
    </row>
    <row r="85" spans="1:43" ht="17" x14ac:dyDescent="0.2">
      <c r="A85" t="s">
        <v>42</v>
      </c>
      <c r="B85">
        <v>7</v>
      </c>
      <c r="C85" s="8">
        <v>27.134650000000001</v>
      </c>
      <c r="D85" s="8">
        <v>-82.474279999999993</v>
      </c>
      <c r="E85" s="9">
        <v>44774</v>
      </c>
      <c r="F85" t="s">
        <v>6</v>
      </c>
      <c r="G85" t="s">
        <v>7</v>
      </c>
      <c r="H85">
        <v>0</v>
      </c>
      <c r="I85" s="10" t="s">
        <v>16</v>
      </c>
      <c r="J85" s="10">
        <v>0</v>
      </c>
      <c r="K85" s="10"/>
      <c r="L85" s="10" t="s">
        <v>16</v>
      </c>
      <c r="M85" s="8">
        <v>6.71</v>
      </c>
      <c r="N85" s="8">
        <v>9.14</v>
      </c>
      <c r="O85" s="11">
        <f t="shared" si="25"/>
        <v>15.850000000000001</v>
      </c>
      <c r="P85" s="12">
        <f t="shared" si="26"/>
        <v>0.57665615141955839</v>
      </c>
      <c r="Q85" t="str">
        <f t="shared" si="27"/>
        <v>M</v>
      </c>
      <c r="R85" s="13">
        <f>(CONVERT(18.5,"in","cm"))</f>
        <v>46.989999999999995</v>
      </c>
      <c r="S85" s="13">
        <f>(CONVERT(22,"in","cm"))</f>
        <v>55.879999999999995</v>
      </c>
      <c r="T85" s="13">
        <f t="shared" si="19"/>
        <v>8.89</v>
      </c>
      <c r="U85" s="13">
        <f>(CONVERT(13,"in","cm"))</f>
        <v>33.019999999999996</v>
      </c>
      <c r="V85" s="13">
        <v>60</v>
      </c>
      <c r="W85" s="13">
        <v>36</v>
      </c>
      <c r="X85" s="8">
        <f>(14/36)*100</f>
        <v>38.888888888888893</v>
      </c>
      <c r="Y85" s="13">
        <v>0</v>
      </c>
      <c r="Z85" s="13">
        <v>2</v>
      </c>
      <c r="AA85" s="13">
        <v>0</v>
      </c>
      <c r="AB85" s="13">
        <f t="shared" si="17"/>
        <v>0</v>
      </c>
      <c r="AC85" s="13">
        <v>0</v>
      </c>
      <c r="AD85" s="13">
        <v>0</v>
      </c>
      <c r="AE85" s="13">
        <v>0</v>
      </c>
      <c r="AF85" s="13">
        <f t="shared" si="20"/>
        <v>0</v>
      </c>
      <c r="AG85" s="13">
        <v>0</v>
      </c>
      <c r="AH85" s="13">
        <v>0</v>
      </c>
      <c r="AI85" s="13">
        <v>0</v>
      </c>
      <c r="AJ85" s="13">
        <v>1</v>
      </c>
      <c r="AK85" s="13">
        <v>0</v>
      </c>
      <c r="AL85" s="14">
        <f t="shared" si="21"/>
        <v>0</v>
      </c>
      <c r="AM85" s="8">
        <f t="shared" si="22"/>
        <v>61.224489795918366</v>
      </c>
      <c r="AN85" s="8">
        <f t="shared" si="23"/>
        <v>60.204081632653065</v>
      </c>
      <c r="AO85" s="13">
        <f t="shared" si="24"/>
        <v>98</v>
      </c>
      <c r="AP85" s="10" t="s">
        <v>43</v>
      </c>
    </row>
    <row r="86" spans="1:43" ht="17" x14ac:dyDescent="0.2">
      <c r="A86" t="s">
        <v>224</v>
      </c>
      <c r="B86">
        <v>7</v>
      </c>
      <c r="C86" s="8">
        <v>27.13682</v>
      </c>
      <c r="D86" s="8">
        <v>-82.475070000000002</v>
      </c>
      <c r="E86" s="9">
        <v>44775</v>
      </c>
      <c r="F86" t="s">
        <v>6</v>
      </c>
      <c r="G86" t="s">
        <v>7</v>
      </c>
      <c r="H86">
        <v>0</v>
      </c>
      <c r="I86" s="10" t="s">
        <v>16</v>
      </c>
      <c r="J86" s="10">
        <v>0</v>
      </c>
      <c r="K86" s="10"/>
      <c r="L86" s="10" t="s">
        <v>16</v>
      </c>
      <c r="M86" s="8">
        <v>2.74</v>
      </c>
      <c r="N86" s="8">
        <v>12.5</v>
      </c>
      <c r="O86" s="11">
        <f t="shared" si="25"/>
        <v>15.24</v>
      </c>
      <c r="P86" s="12">
        <f t="shared" si="26"/>
        <v>0.82020997375328086</v>
      </c>
      <c r="Q86" t="str">
        <f t="shared" si="27"/>
        <v>U</v>
      </c>
      <c r="R86" s="13">
        <f>(CONVERT(13.5,"in","cm"))</f>
        <v>34.29</v>
      </c>
      <c r="S86" s="18">
        <f>(CONVERT(21,"in","cm"))</f>
        <v>53.339999999999996</v>
      </c>
      <c r="T86" s="13">
        <f t="shared" si="19"/>
        <v>19.049999999999997</v>
      </c>
      <c r="U86" s="13">
        <f>(CONVERT(11.5,"in","cm"))</f>
        <v>29.21</v>
      </c>
      <c r="V86" s="13">
        <v>73</v>
      </c>
      <c r="W86" s="13">
        <v>4</v>
      </c>
      <c r="X86" s="8">
        <f>(1/4)*100</f>
        <v>25</v>
      </c>
      <c r="Y86" s="13">
        <v>0</v>
      </c>
      <c r="Z86" s="13">
        <v>1</v>
      </c>
      <c r="AA86" s="13">
        <v>0</v>
      </c>
      <c r="AB86" s="13">
        <f t="shared" si="17"/>
        <v>0</v>
      </c>
      <c r="AC86" s="13">
        <v>0</v>
      </c>
      <c r="AD86" s="13">
        <v>0</v>
      </c>
      <c r="AE86" s="13">
        <v>0</v>
      </c>
      <c r="AF86" s="13">
        <f t="shared" si="20"/>
        <v>0</v>
      </c>
      <c r="AG86" s="13">
        <v>0</v>
      </c>
      <c r="AH86" s="13">
        <v>0</v>
      </c>
      <c r="AI86" s="13">
        <v>4</v>
      </c>
      <c r="AJ86" s="13">
        <v>2</v>
      </c>
      <c r="AK86" s="13">
        <v>0</v>
      </c>
      <c r="AL86" s="14">
        <f t="shared" si="21"/>
        <v>0</v>
      </c>
      <c r="AM86" s="8">
        <f t="shared" si="22"/>
        <v>93.589743589743591</v>
      </c>
      <c r="AN86" s="8">
        <f t="shared" si="23"/>
        <v>85.897435897435898</v>
      </c>
      <c r="AO86" s="13">
        <f t="shared" si="24"/>
        <v>78</v>
      </c>
    </row>
    <row r="87" spans="1:43" ht="17" x14ac:dyDescent="0.2">
      <c r="A87" t="s">
        <v>53</v>
      </c>
      <c r="B87">
        <v>7</v>
      </c>
      <c r="C87" s="8">
        <v>27.13458</v>
      </c>
      <c r="D87" s="8">
        <v>-82.474339999999998</v>
      </c>
      <c r="E87" s="9">
        <v>44777</v>
      </c>
      <c r="F87" t="s">
        <v>6</v>
      </c>
      <c r="G87" t="s">
        <v>7</v>
      </c>
      <c r="H87">
        <v>0</v>
      </c>
      <c r="I87" s="10" t="s">
        <v>16</v>
      </c>
      <c r="J87" s="10">
        <v>0</v>
      </c>
      <c r="K87" s="10"/>
      <c r="L87" s="10" t="s">
        <v>16</v>
      </c>
      <c r="M87" s="8">
        <v>8.23</v>
      </c>
      <c r="N87" s="8">
        <v>3.35</v>
      </c>
      <c r="O87" s="11">
        <f t="shared" si="25"/>
        <v>11.58</v>
      </c>
      <c r="P87" s="12">
        <f t="shared" si="26"/>
        <v>0.28929188255613125</v>
      </c>
      <c r="Q87" t="str">
        <f t="shared" si="27"/>
        <v>L</v>
      </c>
      <c r="R87" s="13">
        <f>(CONVERT(16,"in","cm"))</f>
        <v>40.64</v>
      </c>
      <c r="S87" s="13">
        <f>(CONVERT(19,"in","cm"))</f>
        <v>48.26</v>
      </c>
      <c r="T87" s="13">
        <f t="shared" si="19"/>
        <v>7.6199999999999974</v>
      </c>
      <c r="U87" s="13">
        <f>(CONVERT(9,"in","cm"))</f>
        <v>22.86</v>
      </c>
      <c r="V87" s="13">
        <v>99</v>
      </c>
      <c r="W87" s="13">
        <v>12</v>
      </c>
      <c r="X87" s="8">
        <f>(4/12)*100</f>
        <v>33.333333333333329</v>
      </c>
      <c r="Y87" s="13">
        <v>0</v>
      </c>
      <c r="Z87" s="13">
        <v>0</v>
      </c>
      <c r="AA87" s="13">
        <v>0</v>
      </c>
      <c r="AB87" s="13">
        <f t="shared" si="17"/>
        <v>0</v>
      </c>
      <c r="AC87" s="13">
        <v>0</v>
      </c>
      <c r="AD87" s="13">
        <v>0</v>
      </c>
      <c r="AE87" s="13">
        <v>0</v>
      </c>
      <c r="AF87" s="13">
        <f t="shared" si="20"/>
        <v>0</v>
      </c>
      <c r="AG87" s="13">
        <v>0</v>
      </c>
      <c r="AH87" s="13">
        <v>0</v>
      </c>
      <c r="AI87" s="13">
        <v>0</v>
      </c>
      <c r="AJ87" s="13">
        <v>1</v>
      </c>
      <c r="AK87" s="13">
        <v>0</v>
      </c>
      <c r="AL87" s="14">
        <f t="shared" si="21"/>
        <v>0</v>
      </c>
      <c r="AM87" s="8">
        <f t="shared" si="22"/>
        <v>89.189189189189193</v>
      </c>
      <c r="AN87" s="8">
        <f t="shared" si="23"/>
        <v>88.288288288288285</v>
      </c>
      <c r="AO87" s="13">
        <f t="shared" si="24"/>
        <v>111</v>
      </c>
    </row>
    <row r="88" spans="1:43" ht="17" x14ac:dyDescent="0.2">
      <c r="A88" t="s">
        <v>54</v>
      </c>
      <c r="B88">
        <v>8</v>
      </c>
      <c r="C88" s="8">
        <v>27.130600000000001</v>
      </c>
      <c r="D88" s="8">
        <v>-82.473100000000002</v>
      </c>
      <c r="E88" s="9">
        <v>44777</v>
      </c>
      <c r="F88" t="s">
        <v>6</v>
      </c>
      <c r="G88" t="s">
        <v>7</v>
      </c>
      <c r="H88">
        <v>0</v>
      </c>
      <c r="I88" s="10" t="s">
        <v>16</v>
      </c>
      <c r="J88" s="10">
        <v>0</v>
      </c>
      <c r="K88" s="10"/>
      <c r="L88" s="10" t="s">
        <v>16</v>
      </c>
      <c r="M88" s="8">
        <v>6.4</v>
      </c>
      <c r="N88" s="8">
        <v>18.899999999999999</v>
      </c>
      <c r="O88" s="11">
        <f t="shared" si="25"/>
        <v>25.299999999999997</v>
      </c>
      <c r="P88" s="12">
        <f t="shared" si="26"/>
        <v>0.74703557312252955</v>
      </c>
      <c r="Q88" t="str">
        <f t="shared" si="27"/>
        <v>U</v>
      </c>
      <c r="R88" s="13">
        <f>(CONVERT(17,"in","cm"))</f>
        <v>43.18</v>
      </c>
      <c r="S88" s="13">
        <f>(CONVERT(21,"in","cm"))</f>
        <v>53.339999999999996</v>
      </c>
      <c r="T88" s="13">
        <f t="shared" si="19"/>
        <v>10.159999999999997</v>
      </c>
      <c r="U88" s="13">
        <f>(CONVERT(12.5,"in","cm"))</f>
        <v>31.75</v>
      </c>
      <c r="V88" s="13">
        <v>102</v>
      </c>
      <c r="W88" s="13">
        <v>1</v>
      </c>
      <c r="X88" s="8">
        <v>0</v>
      </c>
      <c r="Y88" s="13">
        <v>0</v>
      </c>
      <c r="Z88" s="13">
        <v>0</v>
      </c>
      <c r="AA88" s="13">
        <v>0</v>
      </c>
      <c r="AB88" s="13">
        <f t="shared" si="17"/>
        <v>0</v>
      </c>
      <c r="AC88" s="13">
        <v>0</v>
      </c>
      <c r="AD88" s="13">
        <v>0</v>
      </c>
      <c r="AE88" s="13">
        <v>0</v>
      </c>
      <c r="AF88" s="13">
        <f t="shared" si="20"/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4">
        <f t="shared" si="21"/>
        <v>0</v>
      </c>
      <c r="AM88" s="8">
        <f t="shared" si="22"/>
        <v>99.029126213592235</v>
      </c>
      <c r="AN88" s="8">
        <f t="shared" si="23"/>
        <v>99.029126213592235</v>
      </c>
      <c r="AO88" s="13">
        <f t="shared" si="24"/>
        <v>103</v>
      </c>
    </row>
    <row r="89" spans="1:43" ht="17" x14ac:dyDescent="0.2">
      <c r="A89" t="s">
        <v>225</v>
      </c>
      <c r="B89">
        <v>7</v>
      </c>
      <c r="C89" s="8">
        <v>27.140239999999999</v>
      </c>
      <c r="D89" s="8">
        <v>-82.476380000000006</v>
      </c>
      <c r="E89" s="9">
        <v>44778</v>
      </c>
      <c r="F89" t="s">
        <v>6</v>
      </c>
      <c r="G89" t="s">
        <v>7</v>
      </c>
      <c r="H89">
        <v>0</v>
      </c>
      <c r="I89" s="10" t="s">
        <v>16</v>
      </c>
      <c r="J89" s="10">
        <v>0</v>
      </c>
      <c r="K89" s="10"/>
      <c r="L89" s="10" t="s">
        <v>16</v>
      </c>
      <c r="M89" s="8">
        <v>7.92</v>
      </c>
      <c r="N89" s="8">
        <v>6.71</v>
      </c>
      <c r="O89" s="11">
        <f t="shared" si="25"/>
        <v>14.629999999999999</v>
      </c>
      <c r="P89" s="12">
        <f t="shared" si="26"/>
        <v>0.4586466165413533</v>
      </c>
      <c r="Q89" t="str">
        <f t="shared" si="27"/>
        <v>M</v>
      </c>
      <c r="R89" s="13">
        <f>(CONVERT(12,"in","cm"))</f>
        <v>30.48</v>
      </c>
      <c r="S89" s="13">
        <f>(CONVERT(17,"in","cm"))</f>
        <v>43.18</v>
      </c>
      <c r="T89" s="13">
        <f t="shared" si="19"/>
        <v>12.7</v>
      </c>
      <c r="U89" s="13">
        <f>(CONVERT(11,"in","cm"))</f>
        <v>27.939999999999998</v>
      </c>
      <c r="V89" s="13">
        <v>105</v>
      </c>
      <c r="W89" s="13">
        <v>4</v>
      </c>
      <c r="X89" s="8">
        <v>0</v>
      </c>
      <c r="Y89" s="13">
        <v>1</v>
      </c>
      <c r="Z89" s="13">
        <v>0</v>
      </c>
      <c r="AA89" s="13">
        <v>0</v>
      </c>
      <c r="AB89" s="13">
        <f t="shared" si="17"/>
        <v>0</v>
      </c>
      <c r="AC89" s="13">
        <v>0</v>
      </c>
      <c r="AD89" s="13">
        <v>0</v>
      </c>
      <c r="AE89" s="13">
        <v>0</v>
      </c>
      <c r="AF89" s="13">
        <f t="shared" si="20"/>
        <v>0</v>
      </c>
      <c r="AG89" s="13">
        <v>0</v>
      </c>
      <c r="AH89" s="13">
        <v>0</v>
      </c>
      <c r="AI89" s="13">
        <v>1</v>
      </c>
      <c r="AJ89" s="13">
        <v>0</v>
      </c>
      <c r="AK89" s="13">
        <v>0</v>
      </c>
      <c r="AL89" s="14">
        <f t="shared" si="21"/>
        <v>0</v>
      </c>
      <c r="AM89" s="8">
        <f t="shared" si="22"/>
        <v>95.454545454545453</v>
      </c>
      <c r="AN89" s="8">
        <f t="shared" si="23"/>
        <v>94.545454545454547</v>
      </c>
      <c r="AO89" s="13">
        <f t="shared" si="24"/>
        <v>110</v>
      </c>
    </row>
    <row r="90" spans="1:43" ht="17" x14ac:dyDescent="0.2">
      <c r="A90" t="s">
        <v>65</v>
      </c>
      <c r="B90">
        <v>8</v>
      </c>
      <c r="C90" s="8">
        <v>27.131720000000001</v>
      </c>
      <c r="D90" s="8">
        <v>-82.473420000000004</v>
      </c>
      <c r="E90" s="9">
        <v>44781</v>
      </c>
      <c r="F90" t="s">
        <v>6</v>
      </c>
      <c r="G90" t="s">
        <v>7</v>
      </c>
      <c r="H90">
        <v>0</v>
      </c>
      <c r="I90" s="10" t="s">
        <v>16</v>
      </c>
      <c r="J90" s="10">
        <v>0</v>
      </c>
      <c r="K90" s="10"/>
      <c r="L90" s="10" t="s">
        <v>16</v>
      </c>
      <c r="M90" s="8">
        <v>5.79</v>
      </c>
      <c r="N90" s="8">
        <v>16.149999999999999</v>
      </c>
      <c r="O90" s="11">
        <f t="shared" si="25"/>
        <v>21.939999999999998</v>
      </c>
      <c r="P90" s="12">
        <f t="shared" si="26"/>
        <v>0.73609845031905197</v>
      </c>
      <c r="Q90" t="str">
        <f t="shared" si="27"/>
        <v>U</v>
      </c>
      <c r="R90" s="13">
        <f>(CONVERT(12,"in","cm"))</f>
        <v>30.48</v>
      </c>
      <c r="S90" s="13">
        <f>(CONVERT(19,"in","cm"))</f>
        <v>48.26</v>
      </c>
      <c r="T90" s="13">
        <f t="shared" si="19"/>
        <v>17.779999999999998</v>
      </c>
      <c r="U90" s="13">
        <f>(CONVERT(10,"in","cm"))</f>
        <v>25.4</v>
      </c>
      <c r="V90" s="13">
        <v>75</v>
      </c>
      <c r="W90" s="13">
        <v>4</v>
      </c>
      <c r="X90" s="8">
        <v>0</v>
      </c>
      <c r="Y90" s="13">
        <v>0</v>
      </c>
      <c r="Z90" s="13">
        <v>0</v>
      </c>
      <c r="AA90" s="13">
        <v>0</v>
      </c>
      <c r="AB90" s="13">
        <f t="shared" si="17"/>
        <v>0</v>
      </c>
      <c r="AC90" s="13">
        <v>0</v>
      </c>
      <c r="AD90" s="13">
        <v>0</v>
      </c>
      <c r="AE90" s="13">
        <v>0</v>
      </c>
      <c r="AF90" s="13">
        <f t="shared" si="20"/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4">
        <f t="shared" si="21"/>
        <v>0</v>
      </c>
      <c r="AM90" s="8">
        <f t="shared" si="22"/>
        <v>94.936708860759495</v>
      </c>
      <c r="AN90" s="8">
        <f t="shared" si="23"/>
        <v>94.936708860759495</v>
      </c>
      <c r="AO90" s="13">
        <f t="shared" si="24"/>
        <v>79</v>
      </c>
    </row>
    <row r="91" spans="1:43" ht="17" x14ac:dyDescent="0.2">
      <c r="A91" t="s">
        <v>66</v>
      </c>
      <c r="B91">
        <v>5</v>
      </c>
      <c r="C91" s="8">
        <v>27.148040000000002</v>
      </c>
      <c r="D91" s="8">
        <v>-82.479939999999999</v>
      </c>
      <c r="E91" s="9">
        <v>44782</v>
      </c>
      <c r="F91" t="s">
        <v>6</v>
      </c>
      <c r="G91" t="s">
        <v>7</v>
      </c>
      <c r="H91">
        <v>1</v>
      </c>
      <c r="I91" t="s">
        <v>19</v>
      </c>
      <c r="J91" s="10">
        <v>0</v>
      </c>
      <c r="K91" s="10"/>
      <c r="L91" s="10" t="s">
        <v>16</v>
      </c>
      <c r="M91" s="8">
        <v>4.2699999999999996</v>
      </c>
      <c r="N91" s="8">
        <v>12.5</v>
      </c>
      <c r="O91" s="11">
        <f t="shared" si="25"/>
        <v>16.77</v>
      </c>
      <c r="P91" s="12">
        <f t="shared" si="26"/>
        <v>0.74537865235539658</v>
      </c>
      <c r="Q91" t="str">
        <f t="shared" si="27"/>
        <v>U</v>
      </c>
      <c r="R91" s="13">
        <f>(CONVERT(15.5,"in","cm"))</f>
        <v>39.369999999999997</v>
      </c>
      <c r="S91" s="13">
        <f>(CONVERT(21,"in","cm"))</f>
        <v>53.339999999999996</v>
      </c>
      <c r="T91" s="13">
        <f t="shared" si="19"/>
        <v>13.969999999999999</v>
      </c>
      <c r="U91" s="13">
        <f>(CONVERT(12,"in","cm"))</f>
        <v>30.48</v>
      </c>
      <c r="V91" s="13">
        <v>82</v>
      </c>
      <c r="W91" s="13">
        <v>9</v>
      </c>
      <c r="X91" s="8">
        <f>(3/9)*100</f>
        <v>33.333333333333329</v>
      </c>
      <c r="Y91" s="13">
        <v>0</v>
      </c>
      <c r="Z91" s="13">
        <v>0</v>
      </c>
      <c r="AA91" s="13">
        <v>0</v>
      </c>
      <c r="AB91" s="13">
        <f t="shared" si="17"/>
        <v>7</v>
      </c>
      <c r="AC91" s="13">
        <v>0</v>
      </c>
      <c r="AD91" s="13">
        <v>0</v>
      </c>
      <c r="AE91" s="13">
        <v>7</v>
      </c>
      <c r="AF91" s="13">
        <f t="shared" si="20"/>
        <v>0</v>
      </c>
      <c r="AG91" s="13">
        <v>0</v>
      </c>
      <c r="AH91" s="13">
        <v>0</v>
      </c>
      <c r="AI91" s="13">
        <v>1</v>
      </c>
      <c r="AJ91" s="13">
        <v>0</v>
      </c>
      <c r="AK91" s="13">
        <v>0</v>
      </c>
      <c r="AL91" s="14">
        <f t="shared" si="21"/>
        <v>7.1428571428571425E-2</v>
      </c>
      <c r="AM91" s="8">
        <f t="shared" si="22"/>
        <v>83.673469387755105</v>
      </c>
      <c r="AN91" s="8">
        <f t="shared" si="23"/>
        <v>82.653061224489804</v>
      </c>
      <c r="AO91" s="13">
        <f t="shared" si="24"/>
        <v>98</v>
      </c>
      <c r="AP91" t="s">
        <v>67</v>
      </c>
    </row>
    <row r="92" spans="1:43" ht="17" x14ac:dyDescent="0.2">
      <c r="A92" t="s">
        <v>107</v>
      </c>
      <c r="B92">
        <v>6</v>
      </c>
      <c r="C92" s="17">
        <v>27.14687</v>
      </c>
      <c r="D92" s="17">
        <v>-82.479370000000003</v>
      </c>
      <c r="E92" s="9">
        <v>44788</v>
      </c>
      <c r="F92" t="s">
        <v>6</v>
      </c>
      <c r="G92" t="s">
        <v>7</v>
      </c>
      <c r="H92">
        <v>0</v>
      </c>
      <c r="I92" s="10" t="s">
        <v>16</v>
      </c>
      <c r="J92" s="10">
        <v>0</v>
      </c>
      <c r="K92" s="10"/>
      <c r="L92" s="10" t="s">
        <v>16</v>
      </c>
      <c r="M92" s="8">
        <v>5.18</v>
      </c>
      <c r="N92" s="8" t="s">
        <v>16</v>
      </c>
      <c r="O92" s="11" t="s">
        <v>16</v>
      </c>
      <c r="P92" s="12" t="s">
        <v>16</v>
      </c>
      <c r="R92" s="13">
        <v>38</v>
      </c>
      <c r="S92" s="13">
        <v>49</v>
      </c>
      <c r="T92" s="13">
        <f t="shared" si="19"/>
        <v>11</v>
      </c>
      <c r="U92" s="13">
        <v>21</v>
      </c>
      <c r="V92" s="13">
        <v>114</v>
      </c>
      <c r="W92" s="13">
        <v>3</v>
      </c>
      <c r="X92" s="8">
        <v>0</v>
      </c>
      <c r="Y92" s="13">
        <v>0</v>
      </c>
      <c r="Z92" s="13">
        <v>0</v>
      </c>
      <c r="AA92" s="13">
        <v>0</v>
      </c>
      <c r="AB92" s="13">
        <f t="shared" si="17"/>
        <v>0</v>
      </c>
      <c r="AC92" s="13">
        <v>0</v>
      </c>
      <c r="AD92" s="13">
        <v>0</v>
      </c>
      <c r="AE92" s="13">
        <v>0</v>
      </c>
      <c r="AF92" s="13">
        <f t="shared" si="20"/>
        <v>0</v>
      </c>
      <c r="AG92" s="13">
        <v>0</v>
      </c>
      <c r="AH92" s="13"/>
      <c r="AI92" s="13">
        <v>0</v>
      </c>
      <c r="AJ92" s="13">
        <v>0</v>
      </c>
      <c r="AK92" s="13">
        <v>0</v>
      </c>
      <c r="AL92" s="14">
        <f t="shared" si="21"/>
        <v>0</v>
      </c>
      <c r="AM92" s="8">
        <f t="shared" si="22"/>
        <v>97.435897435897431</v>
      </c>
      <c r="AN92" s="8">
        <f t="shared" si="23"/>
        <v>97.435897435897431</v>
      </c>
      <c r="AO92" s="13">
        <f t="shared" si="24"/>
        <v>117</v>
      </c>
    </row>
    <row r="93" spans="1:43" ht="17" x14ac:dyDescent="0.2">
      <c r="A93" t="s">
        <v>124</v>
      </c>
      <c r="B93">
        <v>8</v>
      </c>
      <c r="C93" s="8">
        <v>27.12988</v>
      </c>
      <c r="D93" s="8">
        <v>-82.472949999999997</v>
      </c>
      <c r="E93" s="9">
        <v>44790</v>
      </c>
      <c r="F93" t="s">
        <v>6</v>
      </c>
      <c r="G93" t="s">
        <v>125</v>
      </c>
      <c r="H93">
        <v>0</v>
      </c>
      <c r="I93" s="10" t="s">
        <v>16</v>
      </c>
      <c r="J93" s="10">
        <v>0</v>
      </c>
      <c r="K93" s="10"/>
      <c r="L93" s="10" t="s">
        <v>16</v>
      </c>
      <c r="M93" s="8">
        <v>16.149999999999999</v>
      </c>
      <c r="N93" s="8">
        <v>2.13</v>
      </c>
      <c r="O93" s="11">
        <f t="shared" si="25"/>
        <v>18.279999999999998</v>
      </c>
      <c r="P93" s="12">
        <f t="shared" si="26"/>
        <v>0.11652078774617058</v>
      </c>
      <c r="Q93" t="str">
        <f t="shared" si="27"/>
        <v>L</v>
      </c>
      <c r="R93" s="13">
        <v>31</v>
      </c>
      <c r="S93" s="13">
        <v>40</v>
      </c>
      <c r="T93" s="13">
        <f t="shared" si="19"/>
        <v>9</v>
      </c>
      <c r="U93" s="13">
        <v>24</v>
      </c>
      <c r="V93" s="13">
        <v>81</v>
      </c>
      <c r="W93" s="13">
        <v>3</v>
      </c>
      <c r="X93" s="8">
        <v>0</v>
      </c>
      <c r="Y93" s="13">
        <v>0</v>
      </c>
      <c r="Z93" s="13">
        <v>1</v>
      </c>
      <c r="AA93" s="13">
        <v>0</v>
      </c>
      <c r="AB93" s="13">
        <f t="shared" si="17"/>
        <v>0</v>
      </c>
      <c r="AC93" s="13">
        <v>0</v>
      </c>
      <c r="AD93" s="13">
        <v>0</v>
      </c>
      <c r="AE93" s="13">
        <v>0</v>
      </c>
      <c r="AF93" s="13">
        <f t="shared" si="20"/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4">
        <f t="shared" si="21"/>
        <v>0</v>
      </c>
      <c r="AM93" s="8">
        <f t="shared" si="22"/>
        <v>95.294117647058812</v>
      </c>
      <c r="AN93" s="8">
        <f t="shared" si="23"/>
        <v>95.294117647058812</v>
      </c>
      <c r="AO93" s="13">
        <f t="shared" si="24"/>
        <v>85</v>
      </c>
      <c r="AQ93" s="13"/>
    </row>
    <row r="94" spans="1:43" ht="17" x14ac:dyDescent="0.2">
      <c r="A94" t="s">
        <v>226</v>
      </c>
      <c r="B94">
        <v>8</v>
      </c>
      <c r="C94" s="8">
        <v>27.126899999999999</v>
      </c>
      <c r="D94" s="8">
        <v>-82.472210000000004</v>
      </c>
      <c r="E94" s="9">
        <v>44790</v>
      </c>
      <c r="F94" t="s">
        <v>6</v>
      </c>
      <c r="G94" t="s">
        <v>7</v>
      </c>
      <c r="H94">
        <v>0</v>
      </c>
      <c r="I94" s="10" t="s">
        <v>16</v>
      </c>
      <c r="J94" s="10">
        <v>0</v>
      </c>
      <c r="K94" s="10"/>
      <c r="L94" s="10" t="s">
        <v>16</v>
      </c>
      <c r="M94" s="8">
        <v>15.24</v>
      </c>
      <c r="N94" s="8" t="s">
        <v>16</v>
      </c>
      <c r="O94" s="11" t="s">
        <v>16</v>
      </c>
      <c r="P94" s="12" t="s">
        <v>16</v>
      </c>
      <c r="R94" s="13">
        <v>39</v>
      </c>
      <c r="S94" s="13">
        <v>49</v>
      </c>
      <c r="T94" s="13">
        <f t="shared" si="19"/>
        <v>10</v>
      </c>
      <c r="U94" s="13">
        <v>30</v>
      </c>
      <c r="V94" s="13">
        <v>41</v>
      </c>
      <c r="W94" s="13">
        <v>52</v>
      </c>
      <c r="X94" s="8">
        <v>0</v>
      </c>
      <c r="Y94" s="13">
        <v>0</v>
      </c>
      <c r="Z94" s="13">
        <v>2</v>
      </c>
      <c r="AA94" s="13">
        <v>0</v>
      </c>
      <c r="AB94" s="13">
        <f t="shared" si="17"/>
        <v>0</v>
      </c>
      <c r="AC94" s="13">
        <v>0</v>
      </c>
      <c r="AD94" s="13">
        <v>0</v>
      </c>
      <c r="AE94" s="13">
        <v>0</v>
      </c>
      <c r="AF94" s="13">
        <f t="shared" si="20"/>
        <v>0</v>
      </c>
      <c r="AG94" s="13">
        <v>0</v>
      </c>
      <c r="AH94" s="13">
        <v>0</v>
      </c>
      <c r="AI94" s="13">
        <v>1</v>
      </c>
      <c r="AJ94" s="13">
        <v>0</v>
      </c>
      <c r="AK94" s="13">
        <v>0</v>
      </c>
      <c r="AL94" s="14">
        <f t="shared" si="21"/>
        <v>0</v>
      </c>
      <c r="AM94" s="8">
        <f t="shared" si="22"/>
        <v>43.15789473684211</v>
      </c>
      <c r="AN94" s="8">
        <f t="shared" si="23"/>
        <v>42.105263157894733</v>
      </c>
      <c r="AO94" s="13">
        <f t="shared" si="24"/>
        <v>95</v>
      </c>
      <c r="AQ94" s="13"/>
    </row>
    <row r="95" spans="1:43" x14ac:dyDescent="0.2">
      <c r="V95" s="13"/>
      <c r="W95" s="13"/>
      <c r="X95" s="8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O95" s="13"/>
      <c r="AP95" s="13"/>
      <c r="AQ95" s="13"/>
    </row>
    <row r="96" spans="1:43" x14ac:dyDescent="0.2">
      <c r="V96" s="13"/>
      <c r="W96" s="13"/>
      <c r="X96" s="8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O96" s="13"/>
      <c r="AP96" s="13"/>
      <c r="AQ96" s="13"/>
    </row>
    <row r="97" spans="22:34" x14ac:dyDescent="0.2">
      <c r="V97" s="13"/>
      <c r="W97" s="13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22:34" x14ac:dyDescent="0.2">
      <c r="V98" s="13"/>
      <c r="W98" s="13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22:34" x14ac:dyDescent="0.2">
      <c r="V99" s="13"/>
      <c r="W99" s="13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22:34" x14ac:dyDescent="0.2">
      <c r="V100" s="13"/>
      <c r="W100" s="13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22:34" x14ac:dyDescent="0.2">
      <c r="V101" s="13"/>
      <c r="W101" s="13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22:34" x14ac:dyDescent="0.2">
      <c r="V102" s="13"/>
      <c r="W102" s="13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22:34" x14ac:dyDescent="0.2">
      <c r="V103" s="13"/>
      <c r="W103" s="13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22:34" x14ac:dyDescent="0.2">
      <c r="V104" s="13"/>
      <c r="W104" s="13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22:34" x14ac:dyDescent="0.2">
      <c r="V105" s="13"/>
      <c r="W105" s="13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22:34" x14ac:dyDescent="0.2">
      <c r="V106" s="13"/>
      <c r="W106" s="13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22:34" x14ac:dyDescent="0.2">
      <c r="V107" s="13"/>
      <c r="W107" s="13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22:34" x14ac:dyDescent="0.2">
      <c r="V108" s="13"/>
      <c r="W108" s="13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22:34" x14ac:dyDescent="0.2">
      <c r="V109" s="13"/>
      <c r="W109" s="13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22:34" x14ac:dyDescent="0.2">
      <c r="V110" s="13"/>
      <c r="W110" s="13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22:34" x14ac:dyDescent="0.2">
      <c r="V111" s="13"/>
      <c r="W111" s="13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22:34" x14ac:dyDescent="0.2">
      <c r="V112" s="13"/>
      <c r="W112" s="13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22:34" x14ac:dyDescent="0.2">
      <c r="V113" s="13"/>
      <c r="W113" s="13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22:34" x14ac:dyDescent="0.2">
      <c r="V114" s="13"/>
      <c r="W114" s="13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22:34" x14ac:dyDescent="0.2">
      <c r="V115" s="13"/>
      <c r="W115" s="13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22:34" x14ac:dyDescent="0.2">
      <c r="V116" s="13"/>
      <c r="W116" s="13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22:34" x14ac:dyDescent="0.2">
      <c r="V117" s="13"/>
      <c r="W117" s="13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22:34" x14ac:dyDescent="0.2">
      <c r="V118" s="13"/>
      <c r="W118" s="13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22:34" x14ac:dyDescent="0.2">
      <c r="V119" s="13"/>
      <c r="W119" s="13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22:34" x14ac:dyDescent="0.2">
      <c r="V120" s="13"/>
      <c r="W120" s="13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22:34" x14ac:dyDescent="0.2">
      <c r="V121" s="13"/>
      <c r="W121" s="13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22:34" x14ac:dyDescent="0.2">
      <c r="V122" s="13"/>
      <c r="W122" s="13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22:34" x14ac:dyDescent="0.2">
      <c r="V123" s="13"/>
      <c r="W123" s="13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22:34" x14ac:dyDescent="0.2">
      <c r="V124" s="13"/>
      <c r="W124" s="13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22:34" x14ac:dyDescent="0.2"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22:34" x14ac:dyDescent="0.2"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22:34" x14ac:dyDescent="0.2"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22:34" x14ac:dyDescent="0.2"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22:34" x14ac:dyDescent="0.2"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22:34" x14ac:dyDescent="0.2"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22:34" x14ac:dyDescent="0.2"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22:34" x14ac:dyDescent="0.2"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22:34" x14ac:dyDescent="0.2"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22:34" x14ac:dyDescent="0.2"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22:34" x14ac:dyDescent="0.2"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22:34" x14ac:dyDescent="0.2"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22:34" x14ac:dyDescent="0.2"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22:34" x14ac:dyDescent="0.2"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22:34" x14ac:dyDescent="0.2"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22:34" x14ac:dyDescent="0.2"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22:34" x14ac:dyDescent="0.2"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22:34" x14ac:dyDescent="0.2"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22:34" x14ac:dyDescent="0.2"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22:34" x14ac:dyDescent="0.2"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22:34" x14ac:dyDescent="0.2"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22:34" x14ac:dyDescent="0.2"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22:34" x14ac:dyDescent="0.2"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22:34" x14ac:dyDescent="0.2"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22:34" x14ac:dyDescent="0.2"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22:34" x14ac:dyDescent="0.2"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22:34" x14ac:dyDescent="0.2"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22:34" x14ac:dyDescent="0.2"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22:34" x14ac:dyDescent="0.2"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22:34" x14ac:dyDescent="0.2"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22:34" x14ac:dyDescent="0.2"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22:34" x14ac:dyDescent="0.2"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22:34" x14ac:dyDescent="0.2"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22:34" x14ac:dyDescent="0.2"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22:34" x14ac:dyDescent="0.2"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22:34" x14ac:dyDescent="0.2"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22:34" x14ac:dyDescent="0.2"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22:34" x14ac:dyDescent="0.2"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22:34" x14ac:dyDescent="0.2"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22:34" x14ac:dyDescent="0.2"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22:34" x14ac:dyDescent="0.2"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22:34" x14ac:dyDescent="0.2"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22:34" x14ac:dyDescent="0.2"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22:34" x14ac:dyDescent="0.2"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22:34" x14ac:dyDescent="0.2"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22:34" x14ac:dyDescent="0.2"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22:34" x14ac:dyDescent="0.2"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22:34" x14ac:dyDescent="0.2"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22:34" x14ac:dyDescent="0.2"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22:34" x14ac:dyDescent="0.2"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22:34" x14ac:dyDescent="0.2"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22:34" x14ac:dyDescent="0.2"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22:34" x14ac:dyDescent="0.2"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22:34" x14ac:dyDescent="0.2"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22:34" x14ac:dyDescent="0.2"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22:34" x14ac:dyDescent="0.2"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22:34" x14ac:dyDescent="0.2"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22:34" x14ac:dyDescent="0.2"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22:34" x14ac:dyDescent="0.2"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22:34" x14ac:dyDescent="0.2"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22:34" x14ac:dyDescent="0.2"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22:34" x14ac:dyDescent="0.2"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22:34" x14ac:dyDescent="0.2"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22:34" x14ac:dyDescent="0.2"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22:34" x14ac:dyDescent="0.2"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22:34" x14ac:dyDescent="0.2"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22:34" x14ac:dyDescent="0.2"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22:34" x14ac:dyDescent="0.2"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22:34" x14ac:dyDescent="0.2"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22:34" x14ac:dyDescent="0.2"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22:34" x14ac:dyDescent="0.2"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22:34" x14ac:dyDescent="0.2"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22:34" x14ac:dyDescent="0.2"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22:34" x14ac:dyDescent="0.2"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22:34" x14ac:dyDescent="0.2"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22:34" x14ac:dyDescent="0.2"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22:34" x14ac:dyDescent="0.2"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22:34" x14ac:dyDescent="0.2"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22:34" x14ac:dyDescent="0.2"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22:34" x14ac:dyDescent="0.2"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22:34" x14ac:dyDescent="0.2"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22:34" x14ac:dyDescent="0.2"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22:34" x14ac:dyDescent="0.2"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22:34" x14ac:dyDescent="0.2"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22:34" x14ac:dyDescent="0.2"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22:34" x14ac:dyDescent="0.2"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22:34" x14ac:dyDescent="0.2"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22:34" x14ac:dyDescent="0.2"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22:34" x14ac:dyDescent="0.2"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22:34" x14ac:dyDescent="0.2"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22:34" x14ac:dyDescent="0.2"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22:34" x14ac:dyDescent="0.2"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22:34" x14ac:dyDescent="0.2"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22:34" x14ac:dyDescent="0.2"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22:34" x14ac:dyDescent="0.2"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22:34" x14ac:dyDescent="0.2"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22:34" x14ac:dyDescent="0.2"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22:34" x14ac:dyDescent="0.2"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22:34" x14ac:dyDescent="0.2"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22:34" x14ac:dyDescent="0.2"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22:34" x14ac:dyDescent="0.2"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22:34" x14ac:dyDescent="0.2"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22:34" x14ac:dyDescent="0.2"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22:34" x14ac:dyDescent="0.2"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22:34" x14ac:dyDescent="0.2"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22:34" x14ac:dyDescent="0.2"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22:34" x14ac:dyDescent="0.2"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22:34" x14ac:dyDescent="0.2"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22:34" x14ac:dyDescent="0.2"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22:34" x14ac:dyDescent="0.2"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22:34" x14ac:dyDescent="0.2"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22:34" x14ac:dyDescent="0.2"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22:34" x14ac:dyDescent="0.2"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22:34" x14ac:dyDescent="0.2"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22:34" x14ac:dyDescent="0.2"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22:34" x14ac:dyDescent="0.2"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22:34" x14ac:dyDescent="0.2"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22:34" x14ac:dyDescent="0.2"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22:34" x14ac:dyDescent="0.2"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22:34" x14ac:dyDescent="0.2"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22:34" x14ac:dyDescent="0.2"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22:34" x14ac:dyDescent="0.2"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22:34" x14ac:dyDescent="0.2"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22:34" x14ac:dyDescent="0.2"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22:34" x14ac:dyDescent="0.2"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22:34" x14ac:dyDescent="0.2"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22:34" x14ac:dyDescent="0.2"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22:34" x14ac:dyDescent="0.2"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22:34" x14ac:dyDescent="0.2"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22:34" x14ac:dyDescent="0.2"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22:34" x14ac:dyDescent="0.2"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22:34" x14ac:dyDescent="0.2"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22:34" x14ac:dyDescent="0.2"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22:34" x14ac:dyDescent="0.2"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22:34" x14ac:dyDescent="0.2"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22:34" x14ac:dyDescent="0.2"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22:34" x14ac:dyDescent="0.2"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22:34" x14ac:dyDescent="0.2"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22:34" x14ac:dyDescent="0.2"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22:34" x14ac:dyDescent="0.2"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22:34" x14ac:dyDescent="0.2"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22:34" x14ac:dyDescent="0.2"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22:34" x14ac:dyDescent="0.2"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22:34" x14ac:dyDescent="0.2"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22:34" x14ac:dyDescent="0.2"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22:34" x14ac:dyDescent="0.2"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22:34" x14ac:dyDescent="0.2"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22:34" x14ac:dyDescent="0.2"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22:34" x14ac:dyDescent="0.2"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22:34" x14ac:dyDescent="0.2"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22:34" x14ac:dyDescent="0.2"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22:34" x14ac:dyDescent="0.2"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22:34" x14ac:dyDescent="0.2"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22:34" x14ac:dyDescent="0.2"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22:34" x14ac:dyDescent="0.2"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</sheetData>
  <sortState xmlns:xlrd2="http://schemas.microsoft.com/office/spreadsheetml/2017/richdata2" ref="A2:AP94">
    <sortCondition ref="B2:B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Redding_et-al_CaseyKey_Excavati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Olivia Redding</cp:lastModifiedBy>
  <dcterms:created xsi:type="dcterms:W3CDTF">2022-09-09T17:48:56Z</dcterms:created>
  <dcterms:modified xsi:type="dcterms:W3CDTF">2024-03-24T17:33:03Z</dcterms:modified>
</cp:coreProperties>
</file>