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tercol585-my.sharepoint.com/personal/cesar_cuartas_tercol_com_co/Documents/Escritorio/"/>
    </mc:Choice>
  </mc:AlternateContent>
  <xr:revisionPtr revIDLastSave="7" documentId="8_{50FA97B7-ADCA-4009-BAAC-37D1C13385EF}" xr6:coauthVersionLast="47" xr6:coauthVersionMax="47" xr10:uidLastSave="{59446667-5D08-4923-811E-DFEA6FF04B9B}"/>
  <bookViews>
    <workbookView xWindow="-108" yWindow="-108" windowWidth="23256" windowHeight="13896" tabRatio="950" activeTab="5" xr2:uid="{00000000-000D-0000-FFFF-FFFF00000000}"/>
  </bookViews>
  <sheets>
    <sheet name="Ene" sheetId="60" r:id="rId1"/>
    <sheet name="Feb" sheetId="72" r:id="rId2"/>
    <sheet name="Mar" sheetId="73" r:id="rId3"/>
    <sheet name="Abr" sheetId="80" r:id="rId4"/>
    <sheet name="A abril 30" sheetId="77" r:id="rId5"/>
    <sheet name="Macro" sheetId="76" r:id="rId6"/>
    <sheet name="Detalle utilidad bruta" sheetId="79" r:id="rId7"/>
    <sheet name="IA utilidad bruta" sheetId="78" state="hidden" r:id="rId8"/>
    <sheet name="sin varillas" sheetId="74" state="hidden" r:id="rId9"/>
  </sheets>
  <externalReferences>
    <externalReference r:id="rId10"/>
  </externalReferences>
  <definedNames>
    <definedName name="BuiltIn_Print_Area">#REF!</definedName>
    <definedName name="BuiltIn_Print_Area___0">#REF!</definedName>
    <definedName name="BuiltIn_Print_Area___0___0">#REF!</definedName>
    <definedName name="M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2" i="76" l="1"/>
  <c r="I90" i="76"/>
  <c r="F90" i="76"/>
  <c r="C90" i="76"/>
  <c r="I89" i="76"/>
  <c r="F89" i="76"/>
  <c r="C89" i="76"/>
  <c r="I88" i="76"/>
  <c r="F88" i="76"/>
  <c r="C88" i="76"/>
  <c r="I87" i="76"/>
  <c r="F87" i="76"/>
  <c r="C87" i="76"/>
  <c r="I86" i="76"/>
  <c r="F86" i="76"/>
  <c r="C86" i="76"/>
  <c r="I85" i="76"/>
  <c r="F85" i="76"/>
  <c r="C85" i="76"/>
  <c r="I84" i="76"/>
  <c r="F84" i="76"/>
  <c r="C84" i="76"/>
  <c r="I83" i="76"/>
  <c r="F83" i="76"/>
  <c r="C83" i="76"/>
  <c r="I82" i="76"/>
  <c r="I80" i="76" s="1"/>
  <c r="F82" i="76"/>
  <c r="C82" i="76"/>
  <c r="I81" i="76"/>
  <c r="F81" i="76"/>
  <c r="C81" i="76"/>
  <c r="C80" i="76" s="1"/>
  <c r="F80" i="76"/>
  <c r="I78" i="76"/>
  <c r="F78" i="76"/>
  <c r="C78" i="76"/>
  <c r="I77" i="76"/>
  <c r="F77" i="76"/>
  <c r="C77" i="76"/>
  <c r="I76" i="76"/>
  <c r="F76" i="76"/>
  <c r="C76" i="76"/>
  <c r="I75" i="76"/>
  <c r="F75" i="76"/>
  <c r="C75" i="76"/>
  <c r="I74" i="76"/>
  <c r="I71" i="76" s="1"/>
  <c r="F74" i="76"/>
  <c r="F71" i="76" s="1"/>
  <c r="C74" i="76"/>
  <c r="I73" i="76"/>
  <c r="F73" i="76"/>
  <c r="C73" i="76"/>
  <c r="I72" i="76"/>
  <c r="F72" i="76"/>
  <c r="C72" i="76"/>
  <c r="C71" i="76" s="1"/>
  <c r="I70" i="76"/>
  <c r="F70" i="76"/>
  <c r="C70" i="76"/>
  <c r="I69" i="76"/>
  <c r="F69" i="76"/>
  <c r="C69" i="76"/>
  <c r="I68" i="76"/>
  <c r="F68" i="76"/>
  <c r="C68" i="76"/>
  <c r="I67" i="76"/>
  <c r="I64" i="76" s="1"/>
  <c r="F67" i="76"/>
  <c r="C67" i="76"/>
  <c r="I66" i="76"/>
  <c r="F66" i="76"/>
  <c r="C66" i="76"/>
  <c r="I65" i="76"/>
  <c r="F65" i="76"/>
  <c r="F64" i="76" s="1"/>
  <c r="C65" i="76"/>
  <c r="C64" i="76" s="1"/>
  <c r="I62" i="76"/>
  <c r="F62" i="76"/>
  <c r="C62" i="76"/>
  <c r="D62" i="76" s="1"/>
  <c r="I61" i="76"/>
  <c r="F61" i="76"/>
  <c r="E61" i="76" s="1"/>
  <c r="C61" i="76"/>
  <c r="D61" i="76" s="1"/>
  <c r="I60" i="76"/>
  <c r="F60" i="76"/>
  <c r="C60" i="76"/>
  <c r="D60" i="76" s="1"/>
  <c r="I59" i="76"/>
  <c r="F59" i="76"/>
  <c r="H59" i="76" s="1"/>
  <c r="C59" i="76"/>
  <c r="E59" i="76" s="1"/>
  <c r="I58" i="76"/>
  <c r="I57" i="76" s="1"/>
  <c r="F58" i="76"/>
  <c r="E58" i="76" s="1"/>
  <c r="C58" i="76"/>
  <c r="D58" i="76" s="1"/>
  <c r="C57" i="76"/>
  <c r="I55" i="76"/>
  <c r="F55" i="76"/>
  <c r="C55" i="76"/>
  <c r="I54" i="76"/>
  <c r="F54" i="76"/>
  <c r="C54" i="76"/>
  <c r="I53" i="76"/>
  <c r="J53" i="76" s="1"/>
  <c r="F53" i="76"/>
  <c r="G53" i="76" s="1"/>
  <c r="C53" i="76"/>
  <c r="I52" i="76"/>
  <c r="F52" i="76"/>
  <c r="C52" i="76"/>
  <c r="I51" i="76"/>
  <c r="F51" i="76"/>
  <c r="C51" i="76"/>
  <c r="I50" i="76"/>
  <c r="F50" i="76"/>
  <c r="C50" i="76"/>
  <c r="I49" i="76"/>
  <c r="J49" i="76" s="1"/>
  <c r="F49" i="76"/>
  <c r="G49" i="76" s="1"/>
  <c r="C49" i="76"/>
  <c r="I48" i="76"/>
  <c r="I56" i="76" s="1"/>
  <c r="F48" i="76"/>
  <c r="C48" i="76"/>
  <c r="C56" i="76" s="1"/>
  <c r="I47" i="76"/>
  <c r="F47" i="76"/>
  <c r="E47" i="76" s="1"/>
  <c r="C47" i="76"/>
  <c r="I46" i="76"/>
  <c r="I45" i="76" s="1"/>
  <c r="F46" i="76"/>
  <c r="F45" i="76" s="1"/>
  <c r="C46" i="76"/>
  <c r="C45" i="76" s="1"/>
  <c r="F44" i="76"/>
  <c r="I43" i="76"/>
  <c r="F43" i="76"/>
  <c r="C43" i="76"/>
  <c r="I42" i="76"/>
  <c r="F42" i="76"/>
  <c r="C42" i="76"/>
  <c r="I41" i="76"/>
  <c r="F41" i="76"/>
  <c r="C41" i="76"/>
  <c r="I40" i="76"/>
  <c r="F40" i="76"/>
  <c r="C40" i="76"/>
  <c r="I39" i="76"/>
  <c r="F39" i="76"/>
  <c r="C39" i="76"/>
  <c r="I38" i="76"/>
  <c r="I44" i="76" s="1"/>
  <c r="F38" i="76"/>
  <c r="C38" i="76"/>
  <c r="I37" i="76"/>
  <c r="F37" i="76"/>
  <c r="C37" i="76"/>
  <c r="I35" i="76"/>
  <c r="F35" i="76"/>
  <c r="C35" i="76"/>
  <c r="C36" i="76" s="1"/>
  <c r="I34" i="76"/>
  <c r="I36" i="76" s="1"/>
  <c r="F34" i="76"/>
  <c r="F36" i="76" s="1"/>
  <c r="C34" i="76"/>
  <c r="I30" i="76"/>
  <c r="J30" i="76" s="1"/>
  <c r="F30" i="76"/>
  <c r="G30" i="76" s="1"/>
  <c r="C30" i="76"/>
  <c r="I29" i="76"/>
  <c r="J29" i="76" s="1"/>
  <c r="F29" i="76"/>
  <c r="G29" i="76" s="1"/>
  <c r="C29" i="76"/>
  <c r="D29" i="76" s="1"/>
  <c r="I28" i="76"/>
  <c r="J28" i="76" s="1"/>
  <c r="F28" i="76"/>
  <c r="G28" i="76" s="1"/>
  <c r="D28" i="76"/>
  <c r="C28" i="76"/>
  <c r="C27" i="76"/>
  <c r="I26" i="76"/>
  <c r="I24" i="76" s="1"/>
  <c r="F26" i="76"/>
  <c r="F24" i="76" s="1"/>
  <c r="C26" i="76"/>
  <c r="C24" i="76" s="1"/>
  <c r="I25" i="76"/>
  <c r="F25" i="76"/>
  <c r="C25" i="76"/>
  <c r="I23" i="76"/>
  <c r="H23" i="76" s="1"/>
  <c r="F23" i="76"/>
  <c r="C23" i="76"/>
  <c r="E23" i="76" s="1"/>
  <c r="I22" i="76"/>
  <c r="I19" i="76" s="1"/>
  <c r="F22" i="76"/>
  <c r="C22" i="76"/>
  <c r="I21" i="76"/>
  <c r="F21" i="76"/>
  <c r="C21" i="76"/>
  <c r="E21" i="76" s="1"/>
  <c r="I20" i="76"/>
  <c r="H20" i="76" s="1"/>
  <c r="F20" i="76"/>
  <c r="C20" i="76"/>
  <c r="E20" i="76" s="1"/>
  <c r="F19" i="76"/>
  <c r="I18" i="76"/>
  <c r="F18" i="76"/>
  <c r="C18" i="76"/>
  <c r="I17" i="76"/>
  <c r="F17" i="76"/>
  <c r="C17" i="76"/>
  <c r="I16" i="76"/>
  <c r="F16" i="76"/>
  <c r="C16" i="76"/>
  <c r="I14" i="76"/>
  <c r="F14" i="76"/>
  <c r="C14" i="76"/>
  <c r="E14" i="76" s="1"/>
  <c r="I13" i="76"/>
  <c r="F13" i="76"/>
  <c r="H13" i="76" s="1"/>
  <c r="E13" i="76"/>
  <c r="C13" i="76"/>
  <c r="I12" i="76"/>
  <c r="F12" i="76"/>
  <c r="H12" i="76" s="1"/>
  <c r="C12" i="76"/>
  <c r="C9" i="76" s="1"/>
  <c r="I11" i="76"/>
  <c r="H11" i="76"/>
  <c r="F11" i="76"/>
  <c r="C11" i="76"/>
  <c r="E11" i="76" s="1"/>
  <c r="I10" i="76"/>
  <c r="I9" i="76" s="1"/>
  <c r="F10" i="76"/>
  <c r="H10" i="76" s="1"/>
  <c r="E10" i="76"/>
  <c r="C10" i="76"/>
  <c r="I8" i="76"/>
  <c r="H8" i="76"/>
  <c r="F8" i="76"/>
  <c r="C8" i="76"/>
  <c r="E8" i="76" s="1"/>
  <c r="I7" i="76"/>
  <c r="I6" i="76" s="1"/>
  <c r="F7" i="76"/>
  <c r="H7" i="76" s="1"/>
  <c r="E7" i="76"/>
  <c r="C7" i="76"/>
  <c r="C6" i="76"/>
  <c r="U3" i="79"/>
  <c r="U4" i="79"/>
  <c r="U5" i="79"/>
  <c r="U6" i="79"/>
  <c r="U7" i="79"/>
  <c r="U8" i="79"/>
  <c r="U9" i="79"/>
  <c r="U10" i="79"/>
  <c r="U11" i="79"/>
  <c r="T3" i="79"/>
  <c r="T4" i="79"/>
  <c r="T5" i="79"/>
  <c r="T6" i="79"/>
  <c r="T7" i="79"/>
  <c r="T8" i="79"/>
  <c r="T9" i="79"/>
  <c r="T10" i="79"/>
  <c r="T11" i="79"/>
  <c r="S3" i="79"/>
  <c r="S4" i="79"/>
  <c r="S5" i="79"/>
  <c r="S6" i="79"/>
  <c r="S7" i="79"/>
  <c r="S8" i="79"/>
  <c r="S9" i="79"/>
  <c r="S10" i="79"/>
  <c r="S11" i="79"/>
  <c r="R13" i="79"/>
  <c r="R12" i="79"/>
  <c r="Q7" i="79"/>
  <c r="R7" i="79" s="1"/>
  <c r="Q9" i="79"/>
  <c r="P11" i="79"/>
  <c r="P10" i="79"/>
  <c r="P8" i="79"/>
  <c r="P7" i="79"/>
  <c r="P6" i="79"/>
  <c r="O11" i="79"/>
  <c r="Q11" i="79" s="1"/>
  <c r="R11" i="79" s="1"/>
  <c r="O10" i="79"/>
  <c r="Q10" i="79" s="1"/>
  <c r="R10" i="79" s="1"/>
  <c r="O8" i="79"/>
  <c r="Q8" i="79" s="1"/>
  <c r="R8" i="79" s="1"/>
  <c r="O7" i="79"/>
  <c r="O6" i="79"/>
  <c r="Q6" i="79" s="1"/>
  <c r="R6" i="79" s="1"/>
  <c r="O5" i="79"/>
  <c r="Q5" i="79" s="1"/>
  <c r="R5" i="79" s="1"/>
  <c r="O4" i="79"/>
  <c r="Q4" i="79" s="1"/>
  <c r="R4" i="79" s="1"/>
  <c r="P3" i="79"/>
  <c r="P13" i="79" s="1"/>
  <c r="P2" i="79"/>
  <c r="T2" i="79" s="1"/>
  <c r="O3" i="79"/>
  <c r="O13" i="79" s="1"/>
  <c r="O2" i="79"/>
  <c r="O12" i="79" s="1"/>
  <c r="D95" i="77"/>
  <c r="E95" i="77"/>
  <c r="C95" i="77"/>
  <c r="E94" i="77"/>
  <c r="D94" i="77"/>
  <c r="C94" i="77"/>
  <c r="H14" i="76" l="1"/>
  <c r="G54" i="76"/>
  <c r="G41" i="76"/>
  <c r="D47" i="76"/>
  <c r="J60" i="76"/>
  <c r="H9" i="76"/>
  <c r="G43" i="76"/>
  <c r="J43" i="76"/>
  <c r="E71" i="76"/>
  <c r="H71" i="76"/>
  <c r="J40" i="76"/>
  <c r="G50" i="76"/>
  <c r="E80" i="76"/>
  <c r="G51" i="76"/>
  <c r="C33" i="76"/>
  <c r="D36" i="76"/>
  <c r="J59" i="76"/>
  <c r="H57" i="76"/>
  <c r="E64" i="76"/>
  <c r="H6" i="76"/>
  <c r="I5" i="76"/>
  <c r="J6" i="76"/>
  <c r="D37" i="76"/>
  <c r="D50" i="76"/>
  <c r="E45" i="76"/>
  <c r="D41" i="76"/>
  <c r="J50" i="76"/>
  <c r="G60" i="76"/>
  <c r="J21" i="76"/>
  <c r="G55" i="76"/>
  <c r="H24" i="76"/>
  <c r="J47" i="76"/>
  <c r="J55" i="76"/>
  <c r="H44" i="76"/>
  <c r="J44" i="76"/>
  <c r="D52" i="76"/>
  <c r="H64" i="76"/>
  <c r="C5" i="76"/>
  <c r="D12" i="76" s="1"/>
  <c r="H19" i="76"/>
  <c r="D39" i="76"/>
  <c r="H80" i="76"/>
  <c r="J39" i="76"/>
  <c r="J62" i="76"/>
  <c r="D40" i="76"/>
  <c r="D55" i="76"/>
  <c r="D49" i="76"/>
  <c r="D53" i="76"/>
  <c r="D51" i="76"/>
  <c r="D54" i="76"/>
  <c r="J37" i="76"/>
  <c r="J45" i="76"/>
  <c r="H45" i="76"/>
  <c r="J54" i="76"/>
  <c r="D38" i="76"/>
  <c r="E24" i="76"/>
  <c r="J41" i="76"/>
  <c r="D42" i="76"/>
  <c r="J51" i="76"/>
  <c r="E22" i="76"/>
  <c r="H22" i="76"/>
  <c r="D56" i="76"/>
  <c r="J61" i="76"/>
  <c r="E36" i="76"/>
  <c r="F33" i="76"/>
  <c r="G36" i="76" s="1"/>
  <c r="J42" i="76"/>
  <c r="G48" i="76"/>
  <c r="G52" i="76"/>
  <c r="J13" i="76"/>
  <c r="H36" i="76"/>
  <c r="I33" i="76"/>
  <c r="J36" i="76"/>
  <c r="G39" i="76"/>
  <c r="D43" i="76"/>
  <c r="J56" i="76"/>
  <c r="J52" i="76"/>
  <c r="G62" i="76"/>
  <c r="G58" i="76"/>
  <c r="D6" i="76"/>
  <c r="F57" i="76"/>
  <c r="F6" i="76"/>
  <c r="F9" i="76"/>
  <c r="H21" i="76"/>
  <c r="F27" i="76"/>
  <c r="H37" i="76"/>
  <c r="H46" i="76"/>
  <c r="D48" i="76"/>
  <c r="D59" i="76"/>
  <c r="H60" i="76"/>
  <c r="E62" i="76"/>
  <c r="E17" i="76"/>
  <c r="J38" i="76"/>
  <c r="D46" i="76"/>
  <c r="H58" i="76"/>
  <c r="E37" i="76"/>
  <c r="E60" i="76"/>
  <c r="G46" i="76"/>
  <c r="F56" i="76"/>
  <c r="C19" i="76"/>
  <c r="I27" i="76"/>
  <c r="C44" i="76"/>
  <c r="D44" i="76" s="1"/>
  <c r="G59" i="76"/>
  <c r="H62" i="76"/>
  <c r="G61" i="76"/>
  <c r="H47" i="76"/>
  <c r="E46" i="76"/>
  <c r="J58" i="76"/>
  <c r="J46" i="76"/>
  <c r="J48" i="76"/>
  <c r="G47" i="76"/>
  <c r="H17" i="76"/>
  <c r="Q2" i="79"/>
  <c r="Q12" i="79" s="1"/>
  <c r="Q3" i="79"/>
  <c r="Q13" i="79" s="1"/>
  <c r="P12" i="79"/>
  <c r="S2" i="79"/>
  <c r="R3" i="79"/>
  <c r="I90" i="77"/>
  <c r="I82" i="77"/>
  <c r="I83" i="77"/>
  <c r="I84" i="77"/>
  <c r="I85" i="77"/>
  <c r="I86" i="77"/>
  <c r="I87" i="77"/>
  <c r="I88" i="77"/>
  <c r="I89" i="77"/>
  <c r="I81" i="77"/>
  <c r="I73" i="77"/>
  <c r="I74" i="77"/>
  <c r="I75" i="77"/>
  <c r="I76" i="77"/>
  <c r="I77" i="77"/>
  <c r="I78" i="77"/>
  <c r="I72" i="77"/>
  <c r="I66" i="77"/>
  <c r="I67" i="77"/>
  <c r="I68" i="77"/>
  <c r="I69" i="77"/>
  <c r="I70" i="77"/>
  <c r="I65" i="77"/>
  <c r="I59" i="77"/>
  <c r="I60" i="77"/>
  <c r="I61" i="77"/>
  <c r="I62" i="77"/>
  <c r="I58" i="77"/>
  <c r="I47" i="77"/>
  <c r="I48" i="77"/>
  <c r="I49" i="77"/>
  <c r="I50" i="77"/>
  <c r="I51" i="77"/>
  <c r="I52" i="77"/>
  <c r="I53" i="77"/>
  <c r="I54" i="77"/>
  <c r="I55" i="77"/>
  <c r="I46" i="77"/>
  <c r="I38" i="77"/>
  <c r="I39" i="77"/>
  <c r="I40" i="77"/>
  <c r="I41" i="77"/>
  <c r="I42" i="77"/>
  <c r="I43" i="77"/>
  <c r="I37" i="77"/>
  <c r="I35" i="77"/>
  <c r="I34" i="77"/>
  <c r="I29" i="77"/>
  <c r="I30" i="77"/>
  <c r="I28" i="77"/>
  <c r="I26" i="77"/>
  <c r="I21" i="77"/>
  <c r="I23" i="77"/>
  <c r="I20" i="77"/>
  <c r="I18" i="77"/>
  <c r="I17" i="77"/>
  <c r="I13" i="77"/>
  <c r="I14" i="77"/>
  <c r="I11" i="77"/>
  <c r="I12" i="77"/>
  <c r="I10" i="77"/>
  <c r="I8" i="77"/>
  <c r="F92" i="77"/>
  <c r="F82" i="77"/>
  <c r="F83" i="77"/>
  <c r="F84" i="77"/>
  <c r="F85" i="77"/>
  <c r="F86" i="77"/>
  <c r="F87" i="77"/>
  <c r="F88" i="77"/>
  <c r="F89" i="77"/>
  <c r="F90" i="77"/>
  <c r="F81" i="77"/>
  <c r="F73" i="77"/>
  <c r="F74" i="77"/>
  <c r="F75" i="77"/>
  <c r="F76" i="77"/>
  <c r="F77" i="77"/>
  <c r="F78" i="77"/>
  <c r="F72" i="77"/>
  <c r="F66" i="77"/>
  <c r="F67" i="77"/>
  <c r="F68" i="77"/>
  <c r="F69" i="77"/>
  <c r="F70" i="77"/>
  <c r="F65" i="77"/>
  <c r="F59" i="77"/>
  <c r="F60" i="77"/>
  <c r="F61" i="77"/>
  <c r="F62" i="77"/>
  <c r="F58" i="77"/>
  <c r="F47" i="77"/>
  <c r="F48" i="77"/>
  <c r="F49" i="77"/>
  <c r="F50" i="77"/>
  <c r="F51" i="77"/>
  <c r="F52" i="77"/>
  <c r="F53" i="77"/>
  <c r="F54" i="77"/>
  <c r="F55" i="77"/>
  <c r="F46" i="77"/>
  <c r="F38" i="77"/>
  <c r="F39" i="77"/>
  <c r="F40" i="77"/>
  <c r="F41" i="77"/>
  <c r="F42" i="77"/>
  <c r="F43" i="77"/>
  <c r="F37" i="77"/>
  <c r="F35" i="77"/>
  <c r="F34" i="77"/>
  <c r="F29" i="77"/>
  <c r="F30" i="77"/>
  <c r="F28" i="77"/>
  <c r="F26" i="77"/>
  <c r="F21" i="77"/>
  <c r="F23" i="77"/>
  <c r="F20" i="77"/>
  <c r="F18" i="77"/>
  <c r="F17" i="77"/>
  <c r="F11" i="77"/>
  <c r="F12" i="77"/>
  <c r="F13" i="77"/>
  <c r="F14" i="77"/>
  <c r="F10" i="77"/>
  <c r="F8" i="77"/>
  <c r="C82" i="77"/>
  <c r="C83" i="77"/>
  <c r="C84" i="77"/>
  <c r="C85" i="77"/>
  <c r="C86" i="77"/>
  <c r="C87" i="77"/>
  <c r="C88" i="77"/>
  <c r="C89" i="77"/>
  <c r="C90" i="77"/>
  <c r="C81" i="77"/>
  <c r="C73" i="77"/>
  <c r="C74" i="77"/>
  <c r="C75" i="77"/>
  <c r="C76" i="77"/>
  <c r="C77" i="77"/>
  <c r="C78" i="77"/>
  <c r="C72" i="77"/>
  <c r="C66" i="77"/>
  <c r="C67" i="77"/>
  <c r="C68" i="77"/>
  <c r="C69" i="77"/>
  <c r="C70" i="77"/>
  <c r="C65" i="77"/>
  <c r="C59" i="77"/>
  <c r="C60" i="77"/>
  <c r="C61" i="77"/>
  <c r="C62" i="77"/>
  <c r="C58" i="77"/>
  <c r="C47" i="77"/>
  <c r="C48" i="77"/>
  <c r="C49" i="77"/>
  <c r="C50" i="77"/>
  <c r="C51" i="77"/>
  <c r="C52" i="77"/>
  <c r="C53" i="77"/>
  <c r="C54" i="77"/>
  <c r="C55" i="77"/>
  <c r="C38" i="77"/>
  <c r="C41" i="77"/>
  <c r="C43" i="77"/>
  <c r="C35" i="77"/>
  <c r="C29" i="77"/>
  <c r="C30" i="77"/>
  <c r="C28" i="77"/>
  <c r="C26" i="77"/>
  <c r="C21" i="77"/>
  <c r="C23" i="77"/>
  <c r="C20" i="77"/>
  <c r="C18" i="77"/>
  <c r="C17" i="77"/>
  <c r="C13" i="77"/>
  <c r="C14" i="77"/>
  <c r="C11" i="77"/>
  <c r="C12" i="77"/>
  <c r="C10" i="77"/>
  <c r="C8" i="77"/>
  <c r="I78" i="80"/>
  <c r="I77" i="80"/>
  <c r="F22" i="80"/>
  <c r="F21" i="80"/>
  <c r="F20" i="80"/>
  <c r="J23" i="76" l="1"/>
  <c r="J20" i="76"/>
  <c r="H27" i="76"/>
  <c r="J27" i="76"/>
  <c r="G44" i="76"/>
  <c r="E56" i="76"/>
  <c r="G56" i="76"/>
  <c r="J10" i="76"/>
  <c r="H56" i="76"/>
  <c r="D27" i="76"/>
  <c r="D21" i="76"/>
  <c r="D23" i="76"/>
  <c r="J64" i="76"/>
  <c r="D22" i="76"/>
  <c r="D20" i="76"/>
  <c r="E33" i="76"/>
  <c r="D19" i="76"/>
  <c r="C15" i="76"/>
  <c r="D15" i="76" s="1"/>
  <c r="D45" i="76"/>
  <c r="D11" i="76"/>
  <c r="G9" i="76"/>
  <c r="E9" i="76"/>
  <c r="J80" i="76"/>
  <c r="D8" i="76"/>
  <c r="J7" i="76"/>
  <c r="D57" i="76"/>
  <c r="J57" i="76"/>
  <c r="J71" i="76"/>
  <c r="E6" i="76"/>
  <c r="F5" i="76"/>
  <c r="J19" i="76"/>
  <c r="J11" i="76"/>
  <c r="E57" i="76"/>
  <c r="E44" i="76"/>
  <c r="J24" i="76"/>
  <c r="J14" i="76"/>
  <c r="D13" i="76"/>
  <c r="D14" i="76"/>
  <c r="D10" i="76"/>
  <c r="D7" i="76"/>
  <c r="G27" i="76"/>
  <c r="E27" i="76"/>
  <c r="J12" i="76"/>
  <c r="J8" i="76"/>
  <c r="D80" i="76"/>
  <c r="J9" i="76"/>
  <c r="D71" i="76"/>
  <c r="F15" i="76"/>
  <c r="D9" i="76"/>
  <c r="E19" i="76"/>
  <c r="G37" i="76"/>
  <c r="C31" i="76"/>
  <c r="H33" i="76"/>
  <c r="J33" i="76"/>
  <c r="D24" i="76"/>
  <c r="J22" i="76"/>
  <c r="D64" i="76"/>
  <c r="I15" i="76"/>
  <c r="D33" i="76"/>
  <c r="G42" i="76"/>
  <c r="G38" i="76"/>
  <c r="G40" i="76"/>
  <c r="R2" i="79"/>
  <c r="D28" i="80"/>
  <c r="C22" i="80"/>
  <c r="C19" i="80" s="1"/>
  <c r="C25" i="80" s="1"/>
  <c r="G11" i="76" l="1"/>
  <c r="G8" i="76"/>
  <c r="E5" i="76"/>
  <c r="F32" i="76"/>
  <c r="G80" i="76"/>
  <c r="G12" i="76"/>
  <c r="G7" i="76"/>
  <c r="G21" i="76"/>
  <c r="G71" i="76"/>
  <c r="G22" i="76"/>
  <c r="G45" i="76"/>
  <c r="G20" i="76"/>
  <c r="G13" i="76"/>
  <c r="G64" i="76"/>
  <c r="G19" i="76"/>
  <c r="G23" i="76"/>
  <c r="G14" i="76"/>
  <c r="G24" i="76"/>
  <c r="G10" i="76"/>
  <c r="G6" i="76"/>
  <c r="G33" i="76"/>
  <c r="C32" i="76"/>
  <c r="E15" i="76"/>
  <c r="G15" i="76"/>
  <c r="F31" i="76"/>
  <c r="H15" i="76"/>
  <c r="J15" i="76"/>
  <c r="I31" i="76"/>
  <c r="G57" i="76"/>
  <c r="I32" i="76"/>
  <c r="H5" i="76"/>
  <c r="I80" i="80"/>
  <c r="F80" i="80"/>
  <c r="C80" i="80"/>
  <c r="I71" i="80"/>
  <c r="F71" i="80"/>
  <c r="C71" i="80"/>
  <c r="I64" i="80"/>
  <c r="F64" i="80"/>
  <c r="C64" i="80"/>
  <c r="I57" i="80"/>
  <c r="J62" i="80" s="1"/>
  <c r="F57" i="80"/>
  <c r="G59" i="80" s="1"/>
  <c r="C57" i="80"/>
  <c r="D59" i="80" s="1"/>
  <c r="F56" i="80"/>
  <c r="C56" i="80"/>
  <c r="I45" i="80"/>
  <c r="H47" i="80"/>
  <c r="E47" i="80"/>
  <c r="H46" i="80"/>
  <c r="E46" i="80"/>
  <c r="F45" i="80"/>
  <c r="G49" i="80" s="1"/>
  <c r="C45" i="80"/>
  <c r="D54" i="80" s="1"/>
  <c r="I44" i="80"/>
  <c r="F44" i="80"/>
  <c r="C44" i="80"/>
  <c r="I36" i="80"/>
  <c r="I33" i="80" s="1"/>
  <c r="F36" i="80"/>
  <c r="F33" i="80" s="1"/>
  <c r="C36" i="80"/>
  <c r="C33" i="80"/>
  <c r="J42" i="80" s="1"/>
  <c r="G30" i="80"/>
  <c r="J29" i="80"/>
  <c r="G29" i="80"/>
  <c r="D29" i="80"/>
  <c r="J28" i="80"/>
  <c r="G28" i="80"/>
  <c r="I27" i="80"/>
  <c r="F27" i="80"/>
  <c r="C27" i="80"/>
  <c r="I24" i="80"/>
  <c r="F24" i="80"/>
  <c r="C24" i="80"/>
  <c r="C15" i="80" s="1"/>
  <c r="F23" i="80"/>
  <c r="H23" i="80" s="1"/>
  <c r="H21" i="80"/>
  <c r="E21" i="80"/>
  <c r="H20" i="80"/>
  <c r="E20" i="80"/>
  <c r="H17" i="80"/>
  <c r="E17" i="80"/>
  <c r="H14" i="80"/>
  <c r="E14" i="80"/>
  <c r="H13" i="80"/>
  <c r="E13" i="80"/>
  <c r="H12" i="80"/>
  <c r="H11" i="80"/>
  <c r="E11" i="80"/>
  <c r="H10" i="80"/>
  <c r="E10" i="80"/>
  <c r="I9" i="80"/>
  <c r="F9" i="80"/>
  <c r="C9" i="80"/>
  <c r="H8" i="80"/>
  <c r="E8" i="80"/>
  <c r="C6" i="80"/>
  <c r="L3" i="80"/>
  <c r="V7" i="79"/>
  <c r="M13" i="79"/>
  <c r="L13" i="79"/>
  <c r="K13" i="79"/>
  <c r="M12" i="79"/>
  <c r="L12" i="79"/>
  <c r="K12" i="79"/>
  <c r="I13" i="79"/>
  <c r="H13" i="79"/>
  <c r="G13" i="79"/>
  <c r="I12" i="79"/>
  <c r="H12" i="79"/>
  <c r="G12" i="79"/>
  <c r="D12" i="79"/>
  <c r="E12" i="79"/>
  <c r="D13" i="79"/>
  <c r="E13" i="79"/>
  <c r="C13" i="79"/>
  <c r="C12" i="79"/>
  <c r="N11" i="79"/>
  <c r="J11" i="79"/>
  <c r="F11" i="79"/>
  <c r="N10" i="79"/>
  <c r="J10" i="79"/>
  <c r="F10" i="79"/>
  <c r="J9" i="79"/>
  <c r="N8" i="79"/>
  <c r="J8" i="79"/>
  <c r="F8" i="79"/>
  <c r="N7" i="79"/>
  <c r="J7" i="79"/>
  <c r="F7" i="79"/>
  <c r="N6" i="79"/>
  <c r="J6" i="79"/>
  <c r="F6" i="79"/>
  <c r="N5" i="79"/>
  <c r="J5" i="79"/>
  <c r="F5" i="79"/>
  <c r="N4" i="79"/>
  <c r="J4" i="79"/>
  <c r="F4" i="79"/>
  <c r="N3" i="79"/>
  <c r="J3" i="79"/>
  <c r="F3" i="79"/>
  <c r="N2" i="79"/>
  <c r="J2" i="79"/>
  <c r="F2" i="79"/>
  <c r="M24" i="76"/>
  <c r="D32" i="76" l="1"/>
  <c r="C63" i="76"/>
  <c r="J32" i="76"/>
  <c r="I63" i="76"/>
  <c r="H32" i="76"/>
  <c r="G32" i="76"/>
  <c r="F63" i="76"/>
  <c r="E32" i="76"/>
  <c r="H57" i="80"/>
  <c r="J58" i="80"/>
  <c r="J59" i="80"/>
  <c r="J60" i="80"/>
  <c r="H71" i="80"/>
  <c r="J44" i="80"/>
  <c r="E80" i="80"/>
  <c r="H64" i="80"/>
  <c r="G56" i="80"/>
  <c r="E36" i="80"/>
  <c r="H9" i="80"/>
  <c r="H7" i="80"/>
  <c r="E64" i="80"/>
  <c r="D48" i="80"/>
  <c r="E45" i="80"/>
  <c r="G40" i="80"/>
  <c r="E27" i="80"/>
  <c r="E24" i="80"/>
  <c r="C5" i="80"/>
  <c r="D64" i="80" s="1"/>
  <c r="E9" i="80"/>
  <c r="E7" i="80"/>
  <c r="G37" i="80"/>
  <c r="E33" i="80"/>
  <c r="J37" i="80"/>
  <c r="H33" i="80"/>
  <c r="D27" i="80"/>
  <c r="D36" i="80"/>
  <c r="G39" i="80"/>
  <c r="D56" i="80"/>
  <c r="E71" i="80"/>
  <c r="H36" i="80"/>
  <c r="D43" i="80"/>
  <c r="G50" i="80"/>
  <c r="I19" i="80"/>
  <c r="D44" i="80"/>
  <c r="G46" i="80"/>
  <c r="D52" i="80"/>
  <c r="F6" i="80"/>
  <c r="E6" i="80" s="1"/>
  <c r="J36" i="80"/>
  <c r="G44" i="80"/>
  <c r="I6" i="80"/>
  <c r="G54" i="80"/>
  <c r="G36" i="80"/>
  <c r="G41" i="80"/>
  <c r="J38" i="80"/>
  <c r="G47" i="80"/>
  <c r="G55" i="80"/>
  <c r="J51" i="80"/>
  <c r="J53" i="80"/>
  <c r="H45" i="80"/>
  <c r="J48" i="80"/>
  <c r="J46" i="80"/>
  <c r="J52" i="80"/>
  <c r="J55" i="80"/>
  <c r="J50" i="80"/>
  <c r="J47" i="80"/>
  <c r="J54" i="80"/>
  <c r="D71" i="80"/>
  <c r="D33" i="80"/>
  <c r="D13" i="80"/>
  <c r="D21" i="80"/>
  <c r="D11" i="80"/>
  <c r="D23" i="80"/>
  <c r="D9" i="80"/>
  <c r="D80" i="80"/>
  <c r="D10" i="80"/>
  <c r="D20" i="80"/>
  <c r="D7" i="80"/>
  <c r="H24" i="80"/>
  <c r="D19" i="80"/>
  <c r="H27" i="80"/>
  <c r="D38" i="80"/>
  <c r="J40" i="80"/>
  <c r="G43" i="80"/>
  <c r="D46" i="80"/>
  <c r="J49" i="80"/>
  <c r="G52" i="80"/>
  <c r="I56" i="80"/>
  <c r="J56" i="80" s="1"/>
  <c r="D60" i="80"/>
  <c r="D15" i="80"/>
  <c r="G38" i="80"/>
  <c r="D41" i="80"/>
  <c r="J43" i="80"/>
  <c r="D45" i="80"/>
  <c r="D50" i="80"/>
  <c r="D55" i="80"/>
  <c r="G60" i="80"/>
  <c r="D58" i="80"/>
  <c r="E23" i="80"/>
  <c r="D39" i="80"/>
  <c r="J41" i="80"/>
  <c r="G48" i="80"/>
  <c r="D53" i="80"/>
  <c r="G58" i="80"/>
  <c r="J61" i="80"/>
  <c r="H80" i="80"/>
  <c r="D42" i="80"/>
  <c r="D51" i="80"/>
  <c r="G53" i="80"/>
  <c r="E57" i="80"/>
  <c r="D37" i="80"/>
  <c r="J39" i="80"/>
  <c r="G42" i="80"/>
  <c r="D47" i="80"/>
  <c r="D49" i="80"/>
  <c r="G51" i="80"/>
  <c r="D40" i="80"/>
  <c r="V9" i="79"/>
  <c r="V4" i="79"/>
  <c r="V8" i="79"/>
  <c r="V10" i="79"/>
  <c r="U2" i="79"/>
  <c r="V2" i="79" s="1"/>
  <c r="V6" i="79"/>
  <c r="V5" i="79"/>
  <c r="V11" i="79"/>
  <c r="V3" i="79"/>
  <c r="T13" i="79"/>
  <c r="T12" i="79"/>
  <c r="S12" i="79"/>
  <c r="F12" i="79"/>
  <c r="S13" i="79"/>
  <c r="J13" i="79"/>
  <c r="F13" i="79"/>
  <c r="N12" i="79"/>
  <c r="J12" i="79"/>
  <c r="N13" i="79"/>
  <c r="H12" i="77"/>
  <c r="G30" i="77"/>
  <c r="G63" i="76" l="1"/>
  <c r="E63" i="76"/>
  <c r="F79" i="76"/>
  <c r="J63" i="76"/>
  <c r="I79" i="76"/>
  <c r="H63" i="76"/>
  <c r="C79" i="76"/>
  <c r="D63" i="76"/>
  <c r="I15" i="80"/>
  <c r="D57" i="80"/>
  <c r="D8" i="80"/>
  <c r="D12" i="80"/>
  <c r="D24" i="80"/>
  <c r="C27" i="77"/>
  <c r="F5" i="80"/>
  <c r="G23" i="80" s="1"/>
  <c r="D6" i="80"/>
  <c r="D22" i="80"/>
  <c r="D14" i="80"/>
  <c r="G24" i="80"/>
  <c r="G9" i="80"/>
  <c r="H6" i="80"/>
  <c r="I5" i="80"/>
  <c r="C32" i="80"/>
  <c r="E22" i="80"/>
  <c r="F19" i="80"/>
  <c r="H19" i="80" s="1"/>
  <c r="H22" i="80"/>
  <c r="G27" i="80"/>
  <c r="G21" i="80"/>
  <c r="G7" i="80"/>
  <c r="G13" i="80"/>
  <c r="G11" i="80"/>
  <c r="I27" i="77"/>
  <c r="U12" i="79"/>
  <c r="V12" i="79" s="1"/>
  <c r="U13" i="79"/>
  <c r="V13" i="79" s="1"/>
  <c r="C9" i="77"/>
  <c r="I9" i="77"/>
  <c r="G29" i="77"/>
  <c r="J30" i="77"/>
  <c r="F27" i="77"/>
  <c r="D29" i="77"/>
  <c r="D28" i="77"/>
  <c r="J28" i="77"/>
  <c r="Q28" i="76"/>
  <c r="G28" i="77"/>
  <c r="E10" i="77"/>
  <c r="H11" i="77"/>
  <c r="J29" i="77"/>
  <c r="E11" i="77"/>
  <c r="F9" i="77"/>
  <c r="H10" i="77"/>
  <c r="F16" i="77"/>
  <c r="C16" i="77"/>
  <c r="D79" i="76" l="1"/>
  <c r="C91" i="76"/>
  <c r="H79" i="76"/>
  <c r="I91" i="76"/>
  <c r="J79" i="76"/>
  <c r="F91" i="76"/>
  <c r="G79" i="76"/>
  <c r="E79" i="76"/>
  <c r="H5" i="80"/>
  <c r="J9" i="80"/>
  <c r="J15" i="80"/>
  <c r="G80" i="80"/>
  <c r="G8" i="80"/>
  <c r="G10" i="80"/>
  <c r="G45" i="80"/>
  <c r="G22" i="80"/>
  <c r="E27" i="77"/>
  <c r="J6" i="80"/>
  <c r="G12" i="80"/>
  <c r="G20" i="80"/>
  <c r="E5" i="80"/>
  <c r="G33" i="80"/>
  <c r="G64" i="80"/>
  <c r="G14" i="80"/>
  <c r="G6" i="80"/>
  <c r="G71" i="80"/>
  <c r="G57" i="80"/>
  <c r="J13" i="80"/>
  <c r="J8" i="80"/>
  <c r="J14" i="80"/>
  <c r="J22" i="80"/>
  <c r="J71" i="80"/>
  <c r="J45" i="80"/>
  <c r="J23" i="80"/>
  <c r="J21" i="80"/>
  <c r="J7" i="80"/>
  <c r="J12" i="80"/>
  <c r="J27" i="80"/>
  <c r="J57" i="80"/>
  <c r="J80" i="80"/>
  <c r="I32" i="80"/>
  <c r="J10" i="80"/>
  <c r="J20" i="80"/>
  <c r="J19" i="80"/>
  <c r="J11" i="80"/>
  <c r="J64" i="80"/>
  <c r="J24" i="80"/>
  <c r="J33" i="80"/>
  <c r="D32" i="80"/>
  <c r="C63" i="80"/>
  <c r="F15" i="80"/>
  <c r="G15" i="80" s="1"/>
  <c r="G19" i="80"/>
  <c r="E19" i="80"/>
  <c r="H27" i="77"/>
  <c r="H9" i="77"/>
  <c r="P28" i="76"/>
  <c r="P27" i="76"/>
  <c r="Q27" i="76"/>
  <c r="E9" i="77"/>
  <c r="F22" i="73"/>
  <c r="F23" i="73"/>
  <c r="E91" i="76" l="1"/>
  <c r="G91" i="76"/>
  <c r="I92" i="76"/>
  <c r="J91" i="76"/>
  <c r="H91" i="76"/>
  <c r="C92" i="76"/>
  <c r="D91" i="76"/>
  <c r="J32" i="80"/>
  <c r="I63" i="80"/>
  <c r="C79" i="80"/>
  <c r="D63" i="80"/>
  <c r="E15" i="80"/>
  <c r="F32" i="80"/>
  <c r="H15" i="80"/>
  <c r="F22" i="72"/>
  <c r="F23" i="72"/>
  <c r="F22" i="60"/>
  <c r="F23" i="60"/>
  <c r="F22" i="77" l="1"/>
  <c r="J63" i="80"/>
  <c r="I79" i="80"/>
  <c r="G32" i="80"/>
  <c r="E32" i="80"/>
  <c r="F63" i="80"/>
  <c r="H32" i="80"/>
  <c r="C91" i="80"/>
  <c r="D79" i="80"/>
  <c r="F19" i="60"/>
  <c r="F7" i="74"/>
  <c r="D91" i="80" l="1"/>
  <c r="C92" i="80"/>
  <c r="I91" i="80"/>
  <c r="J79" i="80"/>
  <c r="F79" i="80"/>
  <c r="G63" i="80"/>
  <c r="E63" i="80"/>
  <c r="H63" i="80"/>
  <c r="L45" i="74"/>
  <c r="L37" i="74"/>
  <c r="C80" i="77"/>
  <c r="F71" i="77"/>
  <c r="H62" i="77"/>
  <c r="I36" i="77"/>
  <c r="F36" i="77"/>
  <c r="K26" i="77"/>
  <c r="E23" i="77"/>
  <c r="E21" i="77"/>
  <c r="E20" i="77"/>
  <c r="I16" i="77"/>
  <c r="H13" i="77"/>
  <c r="F23" i="74"/>
  <c r="J91" i="80" l="1"/>
  <c r="I92" i="80"/>
  <c r="G79" i="80"/>
  <c r="F91" i="80"/>
  <c r="E79" i="80"/>
  <c r="H79" i="80"/>
  <c r="E8" i="77"/>
  <c r="H17" i="77"/>
  <c r="H37" i="77"/>
  <c r="C57" i="77"/>
  <c r="D59" i="77" s="1"/>
  <c r="K14" i="77"/>
  <c r="F57" i="77"/>
  <c r="G62" i="77" s="1"/>
  <c r="I44" i="77"/>
  <c r="F19" i="77"/>
  <c r="I45" i="77"/>
  <c r="J52" i="77" s="1"/>
  <c r="I80" i="77"/>
  <c r="K8" i="77"/>
  <c r="E17" i="77"/>
  <c r="E59" i="77"/>
  <c r="E61" i="77"/>
  <c r="F64" i="77"/>
  <c r="C64" i="77"/>
  <c r="I64" i="77"/>
  <c r="F80" i="77"/>
  <c r="E80" i="77" s="1"/>
  <c r="H14" i="77"/>
  <c r="H20" i="77"/>
  <c r="K20" i="77"/>
  <c r="H21" i="77"/>
  <c r="K21" i="77"/>
  <c r="I71" i="77"/>
  <c r="H71" i="77" s="1"/>
  <c r="E58" i="77"/>
  <c r="E60" i="77"/>
  <c r="E62" i="77"/>
  <c r="C71" i="77"/>
  <c r="E71" i="77" s="1"/>
  <c r="E47" i="77"/>
  <c r="H23" i="77"/>
  <c r="K23" i="77"/>
  <c r="H36" i="77"/>
  <c r="I33" i="77"/>
  <c r="J36" i="77" s="1"/>
  <c r="F33" i="77"/>
  <c r="G36" i="77" s="1"/>
  <c r="E13" i="77"/>
  <c r="E14" i="77"/>
  <c r="F44" i="77"/>
  <c r="F45" i="77"/>
  <c r="G49" i="77" s="1"/>
  <c r="F56" i="77"/>
  <c r="H46" i="77"/>
  <c r="H47" i="77"/>
  <c r="H58" i="77"/>
  <c r="H59" i="77"/>
  <c r="H60" i="77"/>
  <c r="I56" i="77"/>
  <c r="I57" i="77"/>
  <c r="H8" i="77"/>
  <c r="C56" i="77"/>
  <c r="F93" i="80" l="1"/>
  <c r="G91" i="80"/>
  <c r="E91" i="80"/>
  <c r="H91" i="80"/>
  <c r="G60" i="77"/>
  <c r="G58" i="77"/>
  <c r="J49" i="77"/>
  <c r="H64" i="77"/>
  <c r="H44" i="77"/>
  <c r="J46" i="77"/>
  <c r="H80" i="77"/>
  <c r="J48" i="77"/>
  <c r="J53" i="77"/>
  <c r="J54" i="77"/>
  <c r="J51" i="77"/>
  <c r="D62" i="77"/>
  <c r="D58" i="77"/>
  <c r="D60" i="77"/>
  <c r="D61" i="77"/>
  <c r="E57" i="77"/>
  <c r="G61" i="77"/>
  <c r="G59" i="77"/>
  <c r="J55" i="77"/>
  <c r="J47" i="77"/>
  <c r="J50" i="77"/>
  <c r="E64" i="77"/>
  <c r="K27" i="77"/>
  <c r="J44" i="77"/>
  <c r="H45" i="77"/>
  <c r="G56" i="77"/>
  <c r="E56" i="77"/>
  <c r="J61" i="77"/>
  <c r="J62" i="77"/>
  <c r="H57" i="77"/>
  <c r="J59" i="77"/>
  <c r="J56" i="77"/>
  <c r="H56" i="77"/>
  <c r="J58" i="77"/>
  <c r="G47" i="77"/>
  <c r="G46" i="77"/>
  <c r="G52" i="77"/>
  <c r="G48" i="77"/>
  <c r="J37" i="77"/>
  <c r="H33" i="77"/>
  <c r="G55" i="77"/>
  <c r="G54" i="77"/>
  <c r="G44" i="77"/>
  <c r="G50" i="77"/>
  <c r="G51" i="77"/>
  <c r="G37" i="77"/>
  <c r="G53" i="77"/>
  <c r="J60" i="77"/>
  <c r="I56" i="73" l="1"/>
  <c r="I44" i="73"/>
  <c r="I56" i="72"/>
  <c r="I44" i="72"/>
  <c r="I56" i="60"/>
  <c r="I44" i="60"/>
  <c r="C89" i="74" l="1"/>
  <c r="C90" i="74"/>
  <c r="C81" i="74"/>
  <c r="C82" i="74"/>
  <c r="C83" i="74"/>
  <c r="C84" i="74"/>
  <c r="C85" i="74"/>
  <c r="C86" i="74"/>
  <c r="C87" i="74"/>
  <c r="C88" i="74"/>
  <c r="C80" i="74" l="1"/>
  <c r="D95" i="74"/>
  <c r="E95" i="74"/>
  <c r="C95" i="74"/>
  <c r="D94" i="74"/>
  <c r="E94" i="74"/>
  <c r="C94" i="74"/>
  <c r="C7" i="74" l="1"/>
  <c r="C16" i="74" l="1"/>
  <c r="J29" i="74"/>
  <c r="G29" i="74" l="1"/>
  <c r="D29" i="74"/>
  <c r="E11" i="74"/>
  <c r="H11" i="74"/>
  <c r="E11" i="73" l="1"/>
  <c r="H11" i="73"/>
  <c r="D29" i="73"/>
  <c r="G29" i="73"/>
  <c r="J29" i="73"/>
  <c r="I90" i="74" l="1"/>
  <c r="F90" i="74"/>
  <c r="I89" i="74"/>
  <c r="F89" i="74"/>
  <c r="I88" i="74"/>
  <c r="F88" i="74"/>
  <c r="I87" i="74"/>
  <c r="F87" i="74"/>
  <c r="I86" i="74"/>
  <c r="F86" i="74"/>
  <c r="I85" i="74"/>
  <c r="F85" i="74"/>
  <c r="I84" i="74"/>
  <c r="F84" i="74"/>
  <c r="I83" i="74"/>
  <c r="F83" i="74"/>
  <c r="I82" i="74"/>
  <c r="F82" i="74"/>
  <c r="I81" i="74"/>
  <c r="F81" i="74"/>
  <c r="I78" i="74"/>
  <c r="F78" i="74"/>
  <c r="C78" i="74"/>
  <c r="I77" i="74"/>
  <c r="F77" i="74"/>
  <c r="C77" i="74"/>
  <c r="I76" i="74"/>
  <c r="F76" i="74"/>
  <c r="C76" i="74"/>
  <c r="I75" i="74"/>
  <c r="F75" i="74"/>
  <c r="C75" i="74"/>
  <c r="I74" i="74"/>
  <c r="F74" i="74"/>
  <c r="C74" i="74"/>
  <c r="I73" i="74"/>
  <c r="F73" i="74"/>
  <c r="C73" i="74"/>
  <c r="I72" i="74"/>
  <c r="F72" i="74"/>
  <c r="C72" i="74"/>
  <c r="I70" i="74"/>
  <c r="F70" i="74"/>
  <c r="C70" i="74"/>
  <c r="I69" i="74"/>
  <c r="F69" i="74"/>
  <c r="C69" i="74"/>
  <c r="I68" i="74"/>
  <c r="F68" i="74"/>
  <c r="C68" i="74"/>
  <c r="I67" i="74"/>
  <c r="F67" i="74"/>
  <c r="C67" i="74"/>
  <c r="I66" i="74"/>
  <c r="F66" i="74"/>
  <c r="C66" i="74"/>
  <c r="I65" i="74"/>
  <c r="F65" i="74"/>
  <c r="C65" i="74"/>
  <c r="I62" i="74"/>
  <c r="F62" i="74"/>
  <c r="C62" i="74"/>
  <c r="I61" i="74"/>
  <c r="F61" i="74"/>
  <c r="C61" i="74"/>
  <c r="I60" i="74"/>
  <c r="F60" i="74"/>
  <c r="C60" i="74"/>
  <c r="I59" i="74"/>
  <c r="F59" i="74"/>
  <c r="C59" i="74"/>
  <c r="I58" i="74"/>
  <c r="F58" i="74"/>
  <c r="C58" i="74"/>
  <c r="I55" i="74"/>
  <c r="F55" i="74"/>
  <c r="C55" i="74"/>
  <c r="I54" i="74"/>
  <c r="F54" i="74"/>
  <c r="C54" i="74"/>
  <c r="I53" i="74"/>
  <c r="F53" i="74"/>
  <c r="C53" i="74"/>
  <c r="I52" i="74"/>
  <c r="F52" i="74"/>
  <c r="C52" i="74"/>
  <c r="I51" i="74"/>
  <c r="F51" i="74"/>
  <c r="C51" i="74"/>
  <c r="I50" i="74"/>
  <c r="F50" i="74"/>
  <c r="C50" i="74"/>
  <c r="I49" i="74"/>
  <c r="F49" i="74"/>
  <c r="C49" i="74"/>
  <c r="I48" i="74"/>
  <c r="F48" i="74"/>
  <c r="C48" i="74"/>
  <c r="I47" i="74"/>
  <c r="F47" i="74"/>
  <c r="C47" i="74"/>
  <c r="I46" i="74"/>
  <c r="F46" i="74"/>
  <c r="C46" i="74"/>
  <c r="I43" i="74"/>
  <c r="F43" i="74"/>
  <c r="C43" i="74"/>
  <c r="I42" i="74"/>
  <c r="F42" i="74"/>
  <c r="C42" i="74"/>
  <c r="I41" i="74"/>
  <c r="F41" i="74"/>
  <c r="C41" i="74"/>
  <c r="I40" i="74"/>
  <c r="F40" i="74"/>
  <c r="C40" i="74"/>
  <c r="I39" i="74"/>
  <c r="F39" i="74"/>
  <c r="C39" i="74"/>
  <c r="I38" i="74"/>
  <c r="F38" i="74"/>
  <c r="C38" i="74"/>
  <c r="I37" i="74"/>
  <c r="F37" i="74"/>
  <c r="C37" i="74"/>
  <c r="I35" i="74"/>
  <c r="F35" i="74"/>
  <c r="C35" i="74"/>
  <c r="I34" i="74"/>
  <c r="F34" i="74"/>
  <c r="C34" i="74"/>
  <c r="I30" i="74"/>
  <c r="F30" i="74"/>
  <c r="C30" i="74"/>
  <c r="I28" i="74"/>
  <c r="F28" i="74"/>
  <c r="C28" i="74"/>
  <c r="I26" i="74"/>
  <c r="F26" i="74"/>
  <c r="C26" i="74"/>
  <c r="I25" i="74"/>
  <c r="F25" i="74"/>
  <c r="C25" i="74"/>
  <c r="I23" i="74"/>
  <c r="C23" i="74"/>
  <c r="I22" i="74"/>
  <c r="F22" i="74"/>
  <c r="C22" i="74"/>
  <c r="I21" i="74"/>
  <c r="F21" i="74"/>
  <c r="C21" i="74"/>
  <c r="I20" i="74"/>
  <c r="F20" i="74"/>
  <c r="C20" i="74"/>
  <c r="I18" i="74"/>
  <c r="F18" i="74"/>
  <c r="C18" i="74"/>
  <c r="I17" i="74"/>
  <c r="F17" i="74"/>
  <c r="C17" i="74"/>
  <c r="I16" i="74"/>
  <c r="F16" i="74"/>
  <c r="I14" i="74"/>
  <c r="F14" i="74"/>
  <c r="C14" i="74"/>
  <c r="I13" i="74"/>
  <c r="F13" i="74"/>
  <c r="C13" i="74"/>
  <c r="I12" i="74"/>
  <c r="F12" i="74"/>
  <c r="C12" i="74"/>
  <c r="I10" i="74"/>
  <c r="F10" i="74"/>
  <c r="C10" i="74"/>
  <c r="I8" i="74"/>
  <c r="F8" i="74"/>
  <c r="C8" i="74"/>
  <c r="I7" i="74"/>
  <c r="I80" i="73"/>
  <c r="F80" i="73"/>
  <c r="C80" i="73"/>
  <c r="I73" i="73"/>
  <c r="I71" i="73"/>
  <c r="F71" i="73"/>
  <c r="C71" i="73"/>
  <c r="I64" i="73"/>
  <c r="F64" i="73"/>
  <c r="C64" i="73"/>
  <c r="I57" i="73"/>
  <c r="J58" i="73" s="1"/>
  <c r="F57" i="73"/>
  <c r="G58" i="73" s="1"/>
  <c r="C57" i="73"/>
  <c r="D58" i="73" s="1"/>
  <c r="F56" i="73"/>
  <c r="C56" i="73"/>
  <c r="I52" i="73"/>
  <c r="I49" i="73"/>
  <c r="H47" i="73"/>
  <c r="E47" i="73"/>
  <c r="H46" i="73"/>
  <c r="E46" i="73"/>
  <c r="F45" i="73"/>
  <c r="G51" i="73" s="1"/>
  <c r="C45" i="73"/>
  <c r="D47" i="73" s="1"/>
  <c r="F44" i="73"/>
  <c r="C44" i="73"/>
  <c r="I36" i="73"/>
  <c r="I33" i="73" s="1"/>
  <c r="F36" i="73"/>
  <c r="F33" i="73" s="1"/>
  <c r="C36" i="73"/>
  <c r="C33" i="73" s="1"/>
  <c r="G30" i="73"/>
  <c r="J28" i="73"/>
  <c r="G28" i="73"/>
  <c r="D28" i="73"/>
  <c r="I27" i="73"/>
  <c r="F27" i="73"/>
  <c r="C27" i="73"/>
  <c r="I25" i="73"/>
  <c r="I24" i="73" s="1"/>
  <c r="F25" i="73"/>
  <c r="F24" i="73" s="1"/>
  <c r="C25" i="73"/>
  <c r="C24" i="73" s="1"/>
  <c r="H23" i="73"/>
  <c r="E23" i="73"/>
  <c r="I22" i="73"/>
  <c r="I19" i="73" s="1"/>
  <c r="C22" i="73"/>
  <c r="C19" i="73" s="1"/>
  <c r="H21" i="73"/>
  <c r="E21" i="73"/>
  <c r="I20" i="73"/>
  <c r="H20" i="73"/>
  <c r="E20" i="73"/>
  <c r="F19" i="73"/>
  <c r="I17" i="73"/>
  <c r="H17" i="73" s="1"/>
  <c r="E17" i="73"/>
  <c r="I16" i="73"/>
  <c r="F16" i="73"/>
  <c r="C16" i="73"/>
  <c r="H14" i="73"/>
  <c r="F14" i="73"/>
  <c r="E14" i="73" s="1"/>
  <c r="H13" i="73"/>
  <c r="E13" i="73"/>
  <c r="H12" i="73"/>
  <c r="H10" i="73"/>
  <c r="E10" i="73"/>
  <c r="I9" i="73"/>
  <c r="F9" i="73"/>
  <c r="C9" i="73"/>
  <c r="H8" i="73"/>
  <c r="E8" i="73"/>
  <c r="I7" i="73"/>
  <c r="I6" i="73" s="1"/>
  <c r="F7" i="73"/>
  <c r="F6" i="73" s="1"/>
  <c r="C7" i="73"/>
  <c r="C6" i="73" s="1"/>
  <c r="C90" i="72"/>
  <c r="C80" i="72" s="1"/>
  <c r="I80" i="72"/>
  <c r="F80" i="72"/>
  <c r="I78" i="72"/>
  <c r="C77" i="72"/>
  <c r="C71" i="72" s="1"/>
  <c r="I71" i="72"/>
  <c r="F71" i="72"/>
  <c r="F65" i="72"/>
  <c r="I64" i="72"/>
  <c r="F64" i="72"/>
  <c r="C64" i="72"/>
  <c r="I62" i="72"/>
  <c r="I59" i="72"/>
  <c r="I57" i="72"/>
  <c r="J62" i="72" s="1"/>
  <c r="F57" i="72"/>
  <c r="G59" i="72" s="1"/>
  <c r="C57" i="72"/>
  <c r="D58" i="72" s="1"/>
  <c r="F56" i="72"/>
  <c r="C56" i="72"/>
  <c r="H47" i="72"/>
  <c r="E47" i="72"/>
  <c r="H46" i="72"/>
  <c r="E46" i="72"/>
  <c r="I45" i="72"/>
  <c r="J47" i="72" s="1"/>
  <c r="F45" i="72"/>
  <c r="G52" i="72" s="1"/>
  <c r="C45" i="72"/>
  <c r="D53" i="72" s="1"/>
  <c r="F44" i="72"/>
  <c r="C44" i="72"/>
  <c r="I36" i="72"/>
  <c r="I33" i="72" s="1"/>
  <c r="F36" i="72"/>
  <c r="F33" i="72" s="1"/>
  <c r="G37" i="72" s="1"/>
  <c r="C36" i="72"/>
  <c r="C33" i="72" s="1"/>
  <c r="D41" i="72" s="1"/>
  <c r="H34" i="72"/>
  <c r="J30" i="72"/>
  <c r="G30" i="72"/>
  <c r="J29" i="72"/>
  <c r="G29" i="72"/>
  <c r="D29" i="72"/>
  <c r="J28" i="72"/>
  <c r="G28" i="72"/>
  <c r="D28" i="72"/>
  <c r="I27" i="72"/>
  <c r="F27" i="72"/>
  <c r="C27" i="72"/>
  <c r="I25" i="72"/>
  <c r="F25" i="72"/>
  <c r="C25" i="72"/>
  <c r="H23" i="72"/>
  <c r="E23" i="72"/>
  <c r="I22" i="72"/>
  <c r="I19" i="72" s="1"/>
  <c r="C22" i="72"/>
  <c r="H21" i="72"/>
  <c r="E21" i="72"/>
  <c r="H20" i="72"/>
  <c r="E20" i="72"/>
  <c r="H17" i="72"/>
  <c r="E17" i="72"/>
  <c r="I16" i="72"/>
  <c r="F16" i="72"/>
  <c r="C16" i="72"/>
  <c r="H14" i="72"/>
  <c r="E14" i="72"/>
  <c r="H13" i="72"/>
  <c r="E13" i="72"/>
  <c r="H12" i="72"/>
  <c r="H11" i="72"/>
  <c r="E11" i="72"/>
  <c r="H10" i="72"/>
  <c r="E10" i="72"/>
  <c r="I9" i="72"/>
  <c r="F9" i="72"/>
  <c r="C9" i="72"/>
  <c r="H8" i="72"/>
  <c r="E8" i="72"/>
  <c r="I7" i="72"/>
  <c r="F7" i="72"/>
  <c r="C7" i="72"/>
  <c r="C90" i="60"/>
  <c r="C80" i="60" s="1"/>
  <c r="I80" i="60"/>
  <c r="F80" i="60"/>
  <c r="C78" i="60"/>
  <c r="C77" i="60"/>
  <c r="C71" i="60" s="1"/>
  <c r="I71" i="60"/>
  <c r="F71" i="60"/>
  <c r="C70" i="60"/>
  <c r="I64" i="60"/>
  <c r="F64" i="60"/>
  <c r="C64" i="60"/>
  <c r="I62" i="60"/>
  <c r="F62" i="60"/>
  <c r="F57" i="60" s="1"/>
  <c r="C62" i="60"/>
  <c r="C59" i="60"/>
  <c r="C57" i="60" s="1"/>
  <c r="I57" i="60"/>
  <c r="J59" i="60" s="1"/>
  <c r="F56" i="60"/>
  <c r="C55" i="60"/>
  <c r="C54" i="60"/>
  <c r="C52" i="60"/>
  <c r="H47" i="60"/>
  <c r="E47" i="60"/>
  <c r="H46" i="60"/>
  <c r="C46" i="60"/>
  <c r="I45" i="60"/>
  <c r="J46" i="60" s="1"/>
  <c r="F45" i="60"/>
  <c r="G49" i="60" s="1"/>
  <c r="F44" i="60"/>
  <c r="C42" i="60"/>
  <c r="C40" i="60"/>
  <c r="C39" i="60"/>
  <c r="C37" i="60"/>
  <c r="I36" i="60"/>
  <c r="I33" i="60" s="1"/>
  <c r="F36" i="60"/>
  <c r="F33" i="60" s="1"/>
  <c r="C34" i="60"/>
  <c r="G30" i="60"/>
  <c r="J29" i="60"/>
  <c r="G29" i="60"/>
  <c r="D29" i="60"/>
  <c r="J28" i="60"/>
  <c r="G28" i="60"/>
  <c r="D28" i="60"/>
  <c r="I27" i="60"/>
  <c r="F27" i="60"/>
  <c r="C27" i="60"/>
  <c r="I25" i="60"/>
  <c r="F25" i="60"/>
  <c r="C24" i="60"/>
  <c r="H23" i="60"/>
  <c r="E23" i="60"/>
  <c r="I22" i="60"/>
  <c r="C22" i="60"/>
  <c r="H21" i="60"/>
  <c r="E21" i="60"/>
  <c r="H20" i="60"/>
  <c r="E20" i="60"/>
  <c r="F17" i="60"/>
  <c r="E17" i="60"/>
  <c r="H14" i="60"/>
  <c r="E14" i="60"/>
  <c r="H13" i="60"/>
  <c r="E13" i="60"/>
  <c r="H12" i="60"/>
  <c r="H11" i="60"/>
  <c r="E11" i="60"/>
  <c r="H10" i="60"/>
  <c r="E10" i="60"/>
  <c r="I9" i="60"/>
  <c r="F9" i="60"/>
  <c r="C9" i="60"/>
  <c r="H8" i="60"/>
  <c r="E8" i="60"/>
  <c r="I7" i="60"/>
  <c r="F7" i="60"/>
  <c r="C7" i="60"/>
  <c r="F15" i="73" l="1"/>
  <c r="C25" i="77"/>
  <c r="C39" i="77"/>
  <c r="I7" i="77"/>
  <c r="I6" i="77" s="1"/>
  <c r="C46" i="77"/>
  <c r="F25" i="77"/>
  <c r="F24" i="77" s="1"/>
  <c r="F15" i="77" s="1"/>
  <c r="C42" i="77"/>
  <c r="I25" i="77"/>
  <c r="C7" i="77"/>
  <c r="C6" i="77" s="1"/>
  <c r="F7" i="77"/>
  <c r="C22" i="77"/>
  <c r="C19" i="77" s="1"/>
  <c r="C40" i="77"/>
  <c r="I22" i="77"/>
  <c r="C34" i="77"/>
  <c r="C36" i="77" s="1"/>
  <c r="C37" i="77"/>
  <c r="E37" i="77" s="1"/>
  <c r="I15" i="73"/>
  <c r="F24" i="60"/>
  <c r="E24" i="60" s="1"/>
  <c r="I24" i="60"/>
  <c r="H24" i="60" s="1"/>
  <c r="C6" i="60"/>
  <c r="C5" i="60" s="1"/>
  <c r="D23" i="60" s="1"/>
  <c r="I19" i="60"/>
  <c r="I15" i="60" s="1"/>
  <c r="I31" i="60" s="1"/>
  <c r="I6" i="60"/>
  <c r="I5" i="60" s="1"/>
  <c r="J45" i="60" s="1"/>
  <c r="C36" i="60"/>
  <c r="C45" i="60"/>
  <c r="D55" i="60" s="1"/>
  <c r="H22" i="72"/>
  <c r="C24" i="72"/>
  <c r="C24" i="77"/>
  <c r="F24" i="72"/>
  <c r="F6" i="72"/>
  <c r="F5" i="72" s="1"/>
  <c r="G24" i="72" s="1"/>
  <c r="I24" i="72"/>
  <c r="H24" i="72" s="1"/>
  <c r="H71" i="73"/>
  <c r="H27" i="73"/>
  <c r="E45" i="73"/>
  <c r="E47" i="74"/>
  <c r="H37" i="74"/>
  <c r="E60" i="74"/>
  <c r="H58" i="74"/>
  <c r="H62" i="74"/>
  <c r="H60" i="74"/>
  <c r="H21" i="74"/>
  <c r="E46" i="74"/>
  <c r="H59" i="74"/>
  <c r="E59" i="74"/>
  <c r="J30" i="74"/>
  <c r="E37" i="74"/>
  <c r="C57" i="74"/>
  <c r="D59" i="74" s="1"/>
  <c r="E58" i="74"/>
  <c r="I44" i="74"/>
  <c r="I56" i="74"/>
  <c r="E61" i="74"/>
  <c r="E62" i="74"/>
  <c r="E6" i="73"/>
  <c r="E19" i="73"/>
  <c r="G47" i="73"/>
  <c r="G48" i="73"/>
  <c r="D59" i="73"/>
  <c r="G56" i="73"/>
  <c r="H64" i="73"/>
  <c r="D48" i="73"/>
  <c r="E71" i="73"/>
  <c r="E24" i="73"/>
  <c r="G52" i="73"/>
  <c r="H22" i="73"/>
  <c r="E64" i="73"/>
  <c r="E64" i="72"/>
  <c r="E22" i="72"/>
  <c r="H64" i="72"/>
  <c r="E27" i="72"/>
  <c r="J53" i="72"/>
  <c r="D59" i="72"/>
  <c r="E45" i="72"/>
  <c r="D60" i="72"/>
  <c r="E57" i="72"/>
  <c r="E22" i="60"/>
  <c r="F19" i="72"/>
  <c r="H19" i="72" s="1"/>
  <c r="G44" i="72"/>
  <c r="C6" i="72"/>
  <c r="C5" i="72" s="1"/>
  <c r="D64" i="72" s="1"/>
  <c r="H27" i="72"/>
  <c r="H7" i="72"/>
  <c r="G53" i="72"/>
  <c r="E9" i="72"/>
  <c r="J55" i="60"/>
  <c r="G56" i="60"/>
  <c r="E9" i="60"/>
  <c r="E27" i="60"/>
  <c r="G55" i="60"/>
  <c r="F36" i="74"/>
  <c r="F33" i="74" s="1"/>
  <c r="G36" i="74" s="1"/>
  <c r="H8" i="74"/>
  <c r="H80" i="72"/>
  <c r="H80" i="60"/>
  <c r="H80" i="73"/>
  <c r="H10" i="74"/>
  <c r="H13" i="74"/>
  <c r="H23" i="74"/>
  <c r="E10" i="74"/>
  <c r="G30" i="74"/>
  <c r="I24" i="74"/>
  <c r="E21" i="74"/>
  <c r="C36" i="74"/>
  <c r="C33" i="74" s="1"/>
  <c r="F19" i="74"/>
  <c r="F44" i="74"/>
  <c r="I57" i="74"/>
  <c r="J62" i="74" s="1"/>
  <c r="C44" i="74"/>
  <c r="C71" i="74"/>
  <c r="F57" i="74"/>
  <c r="G58" i="74" s="1"/>
  <c r="I36" i="74"/>
  <c r="I33" i="74" s="1"/>
  <c r="J37" i="74" s="1"/>
  <c r="F71" i="74"/>
  <c r="F64" i="74"/>
  <c r="I6" i="74"/>
  <c r="C24" i="74"/>
  <c r="E8" i="74"/>
  <c r="I19" i="74"/>
  <c r="F24" i="74"/>
  <c r="C64" i="74"/>
  <c r="I71" i="74"/>
  <c r="E17" i="74"/>
  <c r="C27" i="74"/>
  <c r="F80" i="74"/>
  <c r="F27" i="74"/>
  <c r="F45" i="74"/>
  <c r="I80" i="74"/>
  <c r="E23" i="74"/>
  <c r="G28" i="74"/>
  <c r="H17" i="74"/>
  <c r="F9" i="74"/>
  <c r="C45" i="74"/>
  <c r="D46" i="74" s="1"/>
  <c r="C19" i="74"/>
  <c r="I27" i="74"/>
  <c r="I64" i="74"/>
  <c r="C6" i="74"/>
  <c r="H46" i="74"/>
  <c r="F6" i="74"/>
  <c r="D40" i="73"/>
  <c r="D43" i="73"/>
  <c r="D42" i="73"/>
  <c r="J41" i="73"/>
  <c r="J38" i="73"/>
  <c r="G41" i="73"/>
  <c r="D41" i="73"/>
  <c r="J40" i="73"/>
  <c r="G40" i="73"/>
  <c r="G59" i="73"/>
  <c r="E27" i="73"/>
  <c r="J59" i="73"/>
  <c r="H36" i="73"/>
  <c r="J61" i="73"/>
  <c r="I5" i="73"/>
  <c r="J22" i="73" s="1"/>
  <c r="D52" i="73"/>
  <c r="H57" i="73"/>
  <c r="D44" i="73"/>
  <c r="D56" i="73"/>
  <c r="E36" i="73"/>
  <c r="D52" i="72"/>
  <c r="D54" i="72"/>
  <c r="D46" i="72"/>
  <c r="D55" i="72"/>
  <c r="D36" i="72"/>
  <c r="D56" i="72"/>
  <c r="C19" i="72"/>
  <c r="G36" i="72"/>
  <c r="H36" i="72"/>
  <c r="D47" i="72"/>
  <c r="J56" i="72"/>
  <c r="E71" i="72"/>
  <c r="G41" i="72"/>
  <c r="D48" i="72"/>
  <c r="D44" i="72"/>
  <c r="J48" i="72"/>
  <c r="J41" i="72"/>
  <c r="D49" i="72"/>
  <c r="D50" i="72"/>
  <c r="G48" i="72"/>
  <c r="I6" i="72"/>
  <c r="I5" i="72" s="1"/>
  <c r="J33" i="72" s="1"/>
  <c r="D51" i="72"/>
  <c r="J59" i="72"/>
  <c r="C19" i="60"/>
  <c r="C15" i="60" s="1"/>
  <c r="H64" i="60"/>
  <c r="G47" i="60"/>
  <c r="H22" i="60"/>
  <c r="E7" i="60"/>
  <c r="J47" i="60"/>
  <c r="J56" i="60"/>
  <c r="J49" i="60"/>
  <c r="G50" i="60"/>
  <c r="C44" i="60"/>
  <c r="J50" i="60"/>
  <c r="G51" i="60"/>
  <c r="J51" i="60"/>
  <c r="H9" i="60"/>
  <c r="G52" i="60"/>
  <c r="J52" i="60"/>
  <c r="G46" i="60"/>
  <c r="G54" i="60"/>
  <c r="J54" i="60"/>
  <c r="E71" i="60"/>
  <c r="C9" i="74"/>
  <c r="H20" i="74"/>
  <c r="H22" i="74"/>
  <c r="E13" i="74"/>
  <c r="D28" i="74"/>
  <c r="E7" i="74"/>
  <c r="H7" i="74"/>
  <c r="J28" i="74"/>
  <c r="I9" i="74"/>
  <c r="H47" i="74"/>
  <c r="I45" i="74"/>
  <c r="J49" i="74" s="1"/>
  <c r="E14" i="74"/>
  <c r="C56" i="74"/>
  <c r="F56" i="74"/>
  <c r="H12" i="74"/>
  <c r="H14" i="74"/>
  <c r="E20" i="74"/>
  <c r="E22" i="74"/>
  <c r="H24" i="73"/>
  <c r="E33" i="73"/>
  <c r="G37" i="73"/>
  <c r="H33" i="73"/>
  <c r="J44" i="73"/>
  <c r="J37" i="73"/>
  <c r="C5" i="73"/>
  <c r="D22" i="73" s="1"/>
  <c r="G44" i="73"/>
  <c r="H6" i="73"/>
  <c r="G36" i="73"/>
  <c r="E80" i="73"/>
  <c r="E9" i="73"/>
  <c r="G53" i="73"/>
  <c r="F31" i="73"/>
  <c r="F16" i="80" s="1"/>
  <c r="F31" i="80" s="1"/>
  <c r="H19" i="73"/>
  <c r="E22" i="73"/>
  <c r="D37" i="73"/>
  <c r="G42" i="73"/>
  <c r="D49" i="73"/>
  <c r="E7" i="73"/>
  <c r="H9" i="73"/>
  <c r="J42" i="73"/>
  <c r="I45" i="73"/>
  <c r="J49" i="73" s="1"/>
  <c r="G49" i="73"/>
  <c r="D54" i="73"/>
  <c r="G60" i="73"/>
  <c r="C15" i="73"/>
  <c r="D53" i="73"/>
  <c r="G54" i="73"/>
  <c r="J36" i="73"/>
  <c r="D60" i="73"/>
  <c r="D38" i="73"/>
  <c r="G43" i="73"/>
  <c r="D46" i="73"/>
  <c r="J60" i="73"/>
  <c r="E57" i="73"/>
  <c r="F5" i="73"/>
  <c r="H7" i="73"/>
  <c r="G38" i="73"/>
  <c r="J43" i="73"/>
  <c r="D50" i="73"/>
  <c r="D55" i="73"/>
  <c r="G46" i="73"/>
  <c r="G50" i="73"/>
  <c r="G55" i="73"/>
  <c r="D39" i="73"/>
  <c r="G39" i="73"/>
  <c r="D51" i="73"/>
  <c r="J39" i="73"/>
  <c r="J62" i="73"/>
  <c r="D36" i="73"/>
  <c r="H33" i="72"/>
  <c r="J37" i="72"/>
  <c r="J44" i="72"/>
  <c r="E80" i="72"/>
  <c r="D42" i="72"/>
  <c r="H71" i="72"/>
  <c r="D37" i="72"/>
  <c r="G42" i="72"/>
  <c r="H45" i="72"/>
  <c r="G54" i="72"/>
  <c r="H57" i="72"/>
  <c r="G60" i="72"/>
  <c r="J54" i="72"/>
  <c r="J36" i="72"/>
  <c r="E7" i="72"/>
  <c r="H9" i="72"/>
  <c r="D43" i="72"/>
  <c r="J49" i="72"/>
  <c r="J60" i="72"/>
  <c r="I15" i="72"/>
  <c r="D38" i="72"/>
  <c r="G43" i="72"/>
  <c r="G55" i="72"/>
  <c r="G38" i="72"/>
  <c r="J43" i="72"/>
  <c r="G50" i="72"/>
  <c r="J55" i="72"/>
  <c r="J61" i="72"/>
  <c r="J38" i="72"/>
  <c r="G46" i="72"/>
  <c r="J50" i="72"/>
  <c r="G58" i="72"/>
  <c r="D39" i="72"/>
  <c r="E33" i="72"/>
  <c r="G39" i="72"/>
  <c r="J46" i="72"/>
  <c r="G51" i="72"/>
  <c r="J58" i="72"/>
  <c r="J39" i="72"/>
  <c r="J51" i="72"/>
  <c r="G56" i="72"/>
  <c r="G49" i="72"/>
  <c r="D40" i="72"/>
  <c r="E36" i="72"/>
  <c r="G40" i="72"/>
  <c r="G47" i="72"/>
  <c r="J40" i="72"/>
  <c r="J52" i="72"/>
  <c r="J42" i="72"/>
  <c r="E57" i="60"/>
  <c r="G59" i="60"/>
  <c r="H57" i="60"/>
  <c r="G60" i="60"/>
  <c r="G58" i="60"/>
  <c r="G37" i="60"/>
  <c r="D60" i="60"/>
  <c r="D58" i="60"/>
  <c r="D54" i="60"/>
  <c r="D49" i="60"/>
  <c r="D50" i="60"/>
  <c r="D53" i="60"/>
  <c r="D48" i="60"/>
  <c r="D51" i="60"/>
  <c r="D52" i="60"/>
  <c r="D47" i="60"/>
  <c r="J44" i="60"/>
  <c r="C33" i="60"/>
  <c r="D42" i="60" s="1"/>
  <c r="E36" i="60"/>
  <c r="H33" i="60"/>
  <c r="J37" i="60"/>
  <c r="J36" i="60"/>
  <c r="G44" i="60"/>
  <c r="E80" i="60"/>
  <c r="D46" i="60"/>
  <c r="H71" i="60"/>
  <c r="H27" i="60"/>
  <c r="H36" i="60"/>
  <c r="C56" i="60"/>
  <c r="D56" i="60" s="1"/>
  <c r="E64" i="60"/>
  <c r="H17" i="60"/>
  <c r="J58" i="60"/>
  <c r="J60" i="60"/>
  <c r="J61" i="60"/>
  <c r="E45" i="60"/>
  <c r="D59" i="60"/>
  <c r="H7" i="60"/>
  <c r="E46" i="60"/>
  <c r="G36" i="60"/>
  <c r="F6" i="60"/>
  <c r="J62" i="60"/>
  <c r="G48" i="60"/>
  <c r="G53" i="60"/>
  <c r="F15" i="60"/>
  <c r="H45" i="60"/>
  <c r="J48" i="60"/>
  <c r="J53" i="60"/>
  <c r="E24" i="72" l="1"/>
  <c r="T9" i="76"/>
  <c r="H19" i="60"/>
  <c r="D60" i="74"/>
  <c r="C15" i="77"/>
  <c r="E19" i="60"/>
  <c r="D12" i="60"/>
  <c r="C44" i="77"/>
  <c r="E44" i="77" s="1"/>
  <c r="E22" i="77"/>
  <c r="D24" i="60"/>
  <c r="J7" i="72"/>
  <c r="F31" i="60"/>
  <c r="D15" i="60"/>
  <c r="D64" i="60"/>
  <c r="D6" i="60"/>
  <c r="D10" i="60"/>
  <c r="D8" i="60"/>
  <c r="D14" i="60"/>
  <c r="H7" i="77"/>
  <c r="R28" i="76"/>
  <c r="R27" i="76"/>
  <c r="D71" i="60"/>
  <c r="E46" i="77"/>
  <c r="C45" i="77"/>
  <c r="D46" i="77" s="1"/>
  <c r="E36" i="77"/>
  <c r="C33" i="77"/>
  <c r="D36" i="77" s="1"/>
  <c r="J24" i="72"/>
  <c r="E24" i="77"/>
  <c r="J19" i="72"/>
  <c r="H6" i="72"/>
  <c r="E19" i="77"/>
  <c r="J13" i="72"/>
  <c r="J64" i="72"/>
  <c r="I24" i="77"/>
  <c r="K25" i="77"/>
  <c r="C5" i="77"/>
  <c r="J45" i="72"/>
  <c r="J9" i="72"/>
  <c r="J10" i="72"/>
  <c r="I5" i="77"/>
  <c r="J6" i="72"/>
  <c r="J14" i="72"/>
  <c r="F15" i="72"/>
  <c r="H15" i="72" s="1"/>
  <c r="F6" i="77"/>
  <c r="H6" i="77" s="1"/>
  <c r="E7" i="77"/>
  <c r="I19" i="77"/>
  <c r="K22" i="77"/>
  <c r="H22" i="77"/>
  <c r="K7" i="77"/>
  <c r="J21" i="72"/>
  <c r="J8" i="72"/>
  <c r="J57" i="72"/>
  <c r="J11" i="72"/>
  <c r="J20" i="72"/>
  <c r="J80" i="60"/>
  <c r="J33" i="60"/>
  <c r="K6" i="74"/>
  <c r="K9" i="74"/>
  <c r="H44" i="74"/>
  <c r="G62" i="74"/>
  <c r="D62" i="74"/>
  <c r="G61" i="74"/>
  <c r="D58" i="74"/>
  <c r="D61" i="74"/>
  <c r="E44" i="74"/>
  <c r="H56" i="74"/>
  <c r="E56" i="74"/>
  <c r="E24" i="74"/>
  <c r="E45" i="74"/>
  <c r="H19" i="74"/>
  <c r="J80" i="72"/>
  <c r="E19" i="72"/>
  <c r="D9" i="60"/>
  <c r="D22" i="60"/>
  <c r="J27" i="60"/>
  <c r="D7" i="60"/>
  <c r="D21" i="60"/>
  <c r="D19" i="60"/>
  <c r="D11" i="60"/>
  <c r="D20" i="60"/>
  <c r="D80" i="60"/>
  <c r="D45" i="60"/>
  <c r="D27" i="60"/>
  <c r="J71" i="60"/>
  <c r="D57" i="60"/>
  <c r="J9" i="60"/>
  <c r="J57" i="60"/>
  <c r="D13" i="60"/>
  <c r="E6" i="72"/>
  <c r="C15" i="72"/>
  <c r="D15" i="72" s="1"/>
  <c r="J23" i="72"/>
  <c r="J27" i="72"/>
  <c r="D39" i="60"/>
  <c r="D36" i="60"/>
  <c r="G59" i="74"/>
  <c r="E27" i="74"/>
  <c r="J60" i="74"/>
  <c r="E57" i="74"/>
  <c r="J61" i="74"/>
  <c r="D50" i="74"/>
  <c r="H36" i="74"/>
  <c r="H64" i="74"/>
  <c r="G37" i="74"/>
  <c r="J59" i="74"/>
  <c r="E36" i="74"/>
  <c r="H71" i="74"/>
  <c r="J38" i="74"/>
  <c r="J42" i="74"/>
  <c r="D40" i="74"/>
  <c r="J40" i="74"/>
  <c r="D44" i="74"/>
  <c r="E9" i="74"/>
  <c r="C5" i="74"/>
  <c r="D45" i="74" s="1"/>
  <c r="H24" i="74"/>
  <c r="I15" i="74"/>
  <c r="I31" i="74" s="1"/>
  <c r="E80" i="74"/>
  <c r="E71" i="74"/>
  <c r="J58" i="74"/>
  <c r="E19" i="74"/>
  <c r="H6" i="74"/>
  <c r="D7" i="73"/>
  <c r="D24" i="73"/>
  <c r="D33" i="73"/>
  <c r="D15" i="73"/>
  <c r="G45" i="73"/>
  <c r="G11" i="73"/>
  <c r="J27" i="73"/>
  <c r="J11" i="73"/>
  <c r="D45" i="73"/>
  <c r="D11" i="73"/>
  <c r="F15" i="74"/>
  <c r="F31" i="74" s="1"/>
  <c r="E64" i="74"/>
  <c r="D54" i="74"/>
  <c r="G40" i="74"/>
  <c r="I5" i="74"/>
  <c r="J27" i="74" s="1"/>
  <c r="D51" i="74"/>
  <c r="G54" i="74"/>
  <c r="H57" i="74"/>
  <c r="G60" i="74"/>
  <c r="F5" i="74"/>
  <c r="D39" i="74"/>
  <c r="D41" i="74"/>
  <c r="E6" i="74"/>
  <c r="G44" i="74"/>
  <c r="G6" i="73"/>
  <c r="G57" i="73"/>
  <c r="G7" i="73"/>
  <c r="G33" i="73"/>
  <c r="G24" i="73"/>
  <c r="G19" i="73"/>
  <c r="G80" i="73"/>
  <c r="D9" i="73"/>
  <c r="D27" i="73"/>
  <c r="D57" i="73"/>
  <c r="D80" i="73"/>
  <c r="D19" i="73"/>
  <c r="G53" i="74"/>
  <c r="D47" i="74"/>
  <c r="G52" i="74"/>
  <c r="D52" i="74"/>
  <c r="H27" i="74"/>
  <c r="G38" i="74"/>
  <c r="G48" i="74"/>
  <c r="D49" i="74"/>
  <c r="C15" i="74"/>
  <c r="C31" i="74" s="1"/>
  <c r="D53" i="74"/>
  <c r="G47" i="74"/>
  <c r="D55" i="74"/>
  <c r="G46" i="74"/>
  <c r="H80" i="74"/>
  <c r="G56" i="74"/>
  <c r="D48" i="74"/>
  <c r="D56" i="74"/>
  <c r="D38" i="74"/>
  <c r="G41" i="74"/>
  <c r="G49" i="74"/>
  <c r="G55" i="74"/>
  <c r="G50" i="74"/>
  <c r="G51" i="74"/>
  <c r="D36" i="74"/>
  <c r="D43" i="74"/>
  <c r="G43" i="74"/>
  <c r="D37" i="74"/>
  <c r="J43" i="74"/>
  <c r="J41" i="74"/>
  <c r="J80" i="73"/>
  <c r="J13" i="73"/>
  <c r="J20" i="73"/>
  <c r="J6" i="73"/>
  <c r="J10" i="73"/>
  <c r="I32" i="73"/>
  <c r="J32" i="73" s="1"/>
  <c r="J7" i="73"/>
  <c r="J8" i="73"/>
  <c r="J24" i="73"/>
  <c r="J23" i="73"/>
  <c r="J33" i="73"/>
  <c r="J14" i="73"/>
  <c r="H5" i="73"/>
  <c r="J19" i="73"/>
  <c r="J9" i="73"/>
  <c r="J71" i="73"/>
  <c r="J12" i="73"/>
  <c r="D6" i="73"/>
  <c r="J21" i="73"/>
  <c r="J64" i="73"/>
  <c r="J57" i="73"/>
  <c r="D24" i="72"/>
  <c r="D9" i="72"/>
  <c r="D19" i="72"/>
  <c r="J22" i="72"/>
  <c r="D45" i="72"/>
  <c r="D7" i="72"/>
  <c r="J71" i="72"/>
  <c r="D80" i="72"/>
  <c r="I32" i="72"/>
  <c r="I63" i="72" s="1"/>
  <c r="J12" i="72"/>
  <c r="D40" i="60"/>
  <c r="J19" i="60"/>
  <c r="E33" i="60"/>
  <c r="J7" i="60"/>
  <c r="J22" i="60"/>
  <c r="J52" i="74"/>
  <c r="H9" i="74"/>
  <c r="J56" i="74"/>
  <c r="J46" i="74"/>
  <c r="J53" i="74"/>
  <c r="J51" i="74"/>
  <c r="H45" i="74"/>
  <c r="J54" i="74"/>
  <c r="J50" i="74"/>
  <c r="E33" i="74"/>
  <c r="J55" i="74"/>
  <c r="D42" i="74"/>
  <c r="G42" i="74"/>
  <c r="J39" i="74"/>
  <c r="G39" i="74"/>
  <c r="J48" i="74"/>
  <c r="J36" i="74"/>
  <c r="H33" i="74"/>
  <c r="J44" i="74"/>
  <c r="J47" i="74"/>
  <c r="C31" i="73"/>
  <c r="C16" i="80" s="1"/>
  <c r="C31" i="80" s="1"/>
  <c r="E15" i="73"/>
  <c r="G15" i="73"/>
  <c r="G8" i="73"/>
  <c r="G23" i="73"/>
  <c r="G10" i="73"/>
  <c r="G64" i="73"/>
  <c r="G20" i="73"/>
  <c r="G13" i="73"/>
  <c r="G27" i="73"/>
  <c r="E5" i="73"/>
  <c r="G12" i="73"/>
  <c r="G71" i="73"/>
  <c r="G22" i="73"/>
  <c r="G14" i="73"/>
  <c r="F32" i="73"/>
  <c r="G21" i="73"/>
  <c r="J15" i="73"/>
  <c r="H15" i="73"/>
  <c r="J51" i="73"/>
  <c r="J52" i="73"/>
  <c r="J46" i="73"/>
  <c r="J55" i="73"/>
  <c r="J50" i="73"/>
  <c r="J54" i="73"/>
  <c r="J45" i="73"/>
  <c r="J48" i="73"/>
  <c r="J53" i="73"/>
  <c r="H45" i="73"/>
  <c r="J47" i="73"/>
  <c r="I31" i="73"/>
  <c r="I16" i="80" s="1"/>
  <c r="I31" i="80" s="1"/>
  <c r="G9" i="73"/>
  <c r="D21" i="73"/>
  <c r="C32" i="73"/>
  <c r="D14" i="73"/>
  <c r="D8" i="73"/>
  <c r="D23" i="73"/>
  <c r="D10" i="73"/>
  <c r="D20" i="73"/>
  <c r="D64" i="73"/>
  <c r="D13" i="73"/>
  <c r="D12" i="73"/>
  <c r="D71" i="73"/>
  <c r="J56" i="73"/>
  <c r="G9" i="72"/>
  <c r="G33" i="72"/>
  <c r="G6" i="72"/>
  <c r="G80" i="72"/>
  <c r="G22" i="72"/>
  <c r="G45" i="72"/>
  <c r="J15" i="72"/>
  <c r="D57" i="72"/>
  <c r="D11" i="72"/>
  <c r="D12" i="72"/>
  <c r="D14" i="72"/>
  <c r="D8" i="72"/>
  <c r="D22" i="72"/>
  <c r="D21" i="72"/>
  <c r="D27" i="72"/>
  <c r="D10" i="72"/>
  <c r="D23" i="72"/>
  <c r="D13" i="72"/>
  <c r="D20" i="72"/>
  <c r="G57" i="72"/>
  <c r="H5" i="72"/>
  <c r="D71" i="72"/>
  <c r="D6" i="72"/>
  <c r="G11" i="72"/>
  <c r="G14" i="72"/>
  <c r="G8" i="72"/>
  <c r="G21" i="72"/>
  <c r="G12" i="72"/>
  <c r="G27" i="72"/>
  <c r="G10" i="72"/>
  <c r="G23" i="72"/>
  <c r="G64" i="72"/>
  <c r="G13" i="72"/>
  <c r="G20" i="72"/>
  <c r="E5" i="72"/>
  <c r="G71" i="72"/>
  <c r="G7" i="72"/>
  <c r="G19" i="72"/>
  <c r="D33" i="72"/>
  <c r="I31" i="72"/>
  <c r="C32" i="60"/>
  <c r="D37" i="60"/>
  <c r="F5" i="60"/>
  <c r="E6" i="60"/>
  <c r="H6" i="60"/>
  <c r="J12" i="60"/>
  <c r="J11" i="60"/>
  <c r="J10" i="60"/>
  <c r="J64" i="60"/>
  <c r="J8" i="60"/>
  <c r="J21" i="60"/>
  <c r="J14" i="60"/>
  <c r="J13" i="60"/>
  <c r="I32" i="60"/>
  <c r="J20" i="60"/>
  <c r="J23" i="60"/>
  <c r="J24" i="60"/>
  <c r="E15" i="60"/>
  <c r="J6" i="60"/>
  <c r="H15" i="60"/>
  <c r="J15" i="60"/>
  <c r="D43" i="60"/>
  <c r="J38" i="60"/>
  <c r="G41" i="60"/>
  <c r="J42" i="60"/>
  <c r="G38" i="60"/>
  <c r="G43" i="60"/>
  <c r="G42" i="60"/>
  <c r="D38" i="60"/>
  <c r="J43" i="60"/>
  <c r="D41" i="60"/>
  <c r="J41" i="60"/>
  <c r="D33" i="60"/>
  <c r="G39" i="60"/>
  <c r="J40" i="60"/>
  <c r="G40" i="60"/>
  <c r="J39" i="60"/>
  <c r="D44" i="60"/>
  <c r="C31" i="60"/>
  <c r="F32" i="72" l="1"/>
  <c r="I15" i="77"/>
  <c r="I32" i="77" s="1"/>
  <c r="K6" i="77"/>
  <c r="L6" i="77" s="1"/>
  <c r="E15" i="72"/>
  <c r="M20" i="76"/>
  <c r="T11" i="76"/>
  <c r="T10" i="76"/>
  <c r="M21" i="76"/>
  <c r="M19" i="76"/>
  <c r="J22" i="77"/>
  <c r="J10" i="77"/>
  <c r="J12" i="77"/>
  <c r="J11" i="77"/>
  <c r="J9" i="77"/>
  <c r="J27" i="77"/>
  <c r="D24" i="77"/>
  <c r="D12" i="77"/>
  <c r="D11" i="77"/>
  <c r="D10" i="77"/>
  <c r="D9" i="77"/>
  <c r="D27" i="77"/>
  <c r="D6" i="77"/>
  <c r="D19" i="77"/>
  <c r="J41" i="77"/>
  <c r="D43" i="77"/>
  <c r="E33" i="77"/>
  <c r="G38" i="77"/>
  <c r="J39" i="77"/>
  <c r="J43" i="77"/>
  <c r="J42" i="77"/>
  <c r="G39" i="77"/>
  <c r="G42" i="77"/>
  <c r="G40" i="77"/>
  <c r="G41" i="77"/>
  <c r="G43" i="77"/>
  <c r="J40" i="77"/>
  <c r="D41" i="77"/>
  <c r="J38" i="77"/>
  <c r="D38" i="77"/>
  <c r="D39" i="77"/>
  <c r="D40" i="77"/>
  <c r="D42" i="77"/>
  <c r="D37" i="77"/>
  <c r="D53" i="77"/>
  <c r="D50" i="77"/>
  <c r="D49" i="77"/>
  <c r="D47" i="77"/>
  <c r="D54" i="77"/>
  <c r="D55" i="77"/>
  <c r="E45" i="77"/>
  <c r="D51" i="77"/>
  <c r="D48" i="77"/>
  <c r="D56" i="77"/>
  <c r="D52" i="77"/>
  <c r="D44" i="77"/>
  <c r="I31" i="77"/>
  <c r="K19" i="77"/>
  <c r="H19" i="77"/>
  <c r="J19" i="77"/>
  <c r="G15" i="72"/>
  <c r="H24" i="77"/>
  <c r="K24" i="77"/>
  <c r="J24" i="77"/>
  <c r="K33" i="77"/>
  <c r="E6" i="77"/>
  <c r="F5" i="77"/>
  <c r="K5" i="77" s="1"/>
  <c r="F31" i="72"/>
  <c r="D80" i="77"/>
  <c r="D14" i="77"/>
  <c r="D71" i="77"/>
  <c r="D8" i="77"/>
  <c r="D64" i="77"/>
  <c r="D21" i="77"/>
  <c r="D13" i="77"/>
  <c r="D20" i="77"/>
  <c r="D57" i="77"/>
  <c r="D45" i="77"/>
  <c r="D23" i="77"/>
  <c r="D33" i="77"/>
  <c r="D7" i="77"/>
  <c r="D22" i="77"/>
  <c r="C31" i="72"/>
  <c r="J6" i="77"/>
  <c r="J71" i="77"/>
  <c r="J57" i="77"/>
  <c r="J13" i="77"/>
  <c r="J33" i="77"/>
  <c r="J80" i="77"/>
  <c r="J23" i="77"/>
  <c r="J64" i="77"/>
  <c r="J21" i="77"/>
  <c r="J14" i="77"/>
  <c r="J8" i="77"/>
  <c r="J20" i="77"/>
  <c r="J45" i="77"/>
  <c r="J7" i="77"/>
  <c r="G11" i="74"/>
  <c r="K5" i="74"/>
  <c r="C32" i="72"/>
  <c r="C63" i="72" s="1"/>
  <c r="J7" i="74"/>
  <c r="J11" i="74"/>
  <c r="D23" i="74"/>
  <c r="D11" i="74"/>
  <c r="J33" i="74"/>
  <c r="J19" i="74"/>
  <c r="J64" i="74"/>
  <c r="J71" i="74"/>
  <c r="J9" i="74"/>
  <c r="G15" i="74"/>
  <c r="D14" i="74"/>
  <c r="C32" i="74"/>
  <c r="C63" i="74" s="1"/>
  <c r="D57" i="74"/>
  <c r="D13" i="74"/>
  <c r="D71" i="74"/>
  <c r="J15" i="74"/>
  <c r="G45" i="74"/>
  <c r="D7" i="74"/>
  <c r="J12" i="74"/>
  <c r="J13" i="74"/>
  <c r="D8" i="74"/>
  <c r="J45" i="74"/>
  <c r="J80" i="74"/>
  <c r="G22" i="74"/>
  <c r="D12" i="74"/>
  <c r="D6" i="74"/>
  <c r="H5" i="74"/>
  <c r="D19" i="74"/>
  <c r="J14" i="74"/>
  <c r="D24" i="74"/>
  <c r="D27" i="74"/>
  <c r="I32" i="74"/>
  <c r="J32" i="74" s="1"/>
  <c r="D9" i="74"/>
  <c r="D21" i="74"/>
  <c r="J23" i="74"/>
  <c r="D20" i="74"/>
  <c r="D33" i="74"/>
  <c r="G7" i="74"/>
  <c r="J20" i="74"/>
  <c r="D22" i="74"/>
  <c r="D80" i="74"/>
  <c r="D64" i="74"/>
  <c r="D10" i="74"/>
  <c r="H15" i="74"/>
  <c r="J22" i="74"/>
  <c r="F32" i="74"/>
  <c r="G12" i="74"/>
  <c r="G23" i="74"/>
  <c r="G21" i="74"/>
  <c r="G8" i="74"/>
  <c r="G20" i="74"/>
  <c r="J24" i="74"/>
  <c r="J21" i="74"/>
  <c r="J8" i="74"/>
  <c r="E5" i="74"/>
  <c r="G80" i="74"/>
  <c r="G24" i="74"/>
  <c r="G57" i="74"/>
  <c r="G33" i="74"/>
  <c r="J57" i="74"/>
  <c r="G19" i="74"/>
  <c r="G6" i="74"/>
  <c r="J6" i="74"/>
  <c r="J10" i="74"/>
  <c r="G71" i="74"/>
  <c r="G27" i="74"/>
  <c r="G9" i="74"/>
  <c r="G13" i="74"/>
  <c r="G10" i="74"/>
  <c r="G14" i="74"/>
  <c r="G64" i="74"/>
  <c r="I63" i="73"/>
  <c r="I79" i="73" s="1"/>
  <c r="D15" i="74"/>
  <c r="E15" i="74"/>
  <c r="J32" i="72"/>
  <c r="C63" i="73"/>
  <c r="D32" i="73"/>
  <c r="E32" i="73"/>
  <c r="F63" i="73"/>
  <c r="G32" i="73"/>
  <c r="H32" i="73"/>
  <c r="F63" i="72"/>
  <c r="H63" i="72" s="1"/>
  <c r="G32" i="72"/>
  <c r="I79" i="72"/>
  <c r="J63" i="72"/>
  <c r="H32" i="72"/>
  <c r="I63" i="60"/>
  <c r="J32" i="60"/>
  <c r="G20" i="60"/>
  <c r="G22" i="60"/>
  <c r="G9" i="60"/>
  <c r="G80" i="60"/>
  <c r="G12" i="60"/>
  <c r="G11" i="60"/>
  <c r="G10" i="60"/>
  <c r="G13" i="60"/>
  <c r="G64" i="60"/>
  <c r="G14" i="60"/>
  <c r="G8" i="60"/>
  <c r="G21" i="60"/>
  <c r="F32" i="60"/>
  <c r="E5" i="60"/>
  <c r="G23" i="60"/>
  <c r="G57" i="60"/>
  <c r="G19" i="60"/>
  <c r="G45" i="60"/>
  <c r="G7" i="60"/>
  <c r="G27" i="60"/>
  <c r="G33" i="60"/>
  <c r="G71" i="60"/>
  <c r="G24" i="60"/>
  <c r="G15" i="60"/>
  <c r="G6" i="60"/>
  <c r="H5" i="60"/>
  <c r="C63" i="60"/>
  <c r="D32" i="60"/>
  <c r="J15" i="77" l="1"/>
  <c r="L24" i="77"/>
  <c r="U9" i="76"/>
  <c r="N19" i="76"/>
  <c r="U11" i="76"/>
  <c r="N21" i="76"/>
  <c r="N20" i="76"/>
  <c r="U10" i="76"/>
  <c r="G6" i="77"/>
  <c r="G12" i="77"/>
  <c r="G11" i="77"/>
  <c r="G10" i="77"/>
  <c r="G27" i="77"/>
  <c r="G9" i="77"/>
  <c r="G15" i="77"/>
  <c r="L15" i="77" s="1"/>
  <c r="F31" i="77"/>
  <c r="E15" i="77"/>
  <c r="K15" i="77"/>
  <c r="H15" i="77"/>
  <c r="M24" i="77"/>
  <c r="D32" i="72"/>
  <c r="J32" i="77"/>
  <c r="I63" i="77"/>
  <c r="D15" i="77"/>
  <c r="C31" i="77"/>
  <c r="G14" i="77"/>
  <c r="G23" i="77"/>
  <c r="E5" i="77"/>
  <c r="G33" i="77"/>
  <c r="G21" i="77"/>
  <c r="G80" i="77"/>
  <c r="G13" i="77"/>
  <c r="G19" i="77"/>
  <c r="G45" i="77"/>
  <c r="G8" i="77"/>
  <c r="G20" i="77"/>
  <c r="F32" i="77"/>
  <c r="K32" i="77" s="1"/>
  <c r="G57" i="77"/>
  <c r="G22" i="77"/>
  <c r="G71" i="77"/>
  <c r="G64" i="77"/>
  <c r="G24" i="77"/>
  <c r="G7" i="77"/>
  <c r="E32" i="72"/>
  <c r="H5" i="77"/>
  <c r="C32" i="77"/>
  <c r="G32" i="74"/>
  <c r="K32" i="74"/>
  <c r="J63" i="73"/>
  <c r="D32" i="74"/>
  <c r="E32" i="74"/>
  <c r="I63" i="74"/>
  <c r="I79" i="74" s="1"/>
  <c r="F63" i="74"/>
  <c r="F79" i="74" s="1"/>
  <c r="H32" i="74"/>
  <c r="D63" i="74"/>
  <c r="C79" i="74"/>
  <c r="C91" i="74" s="1"/>
  <c r="G63" i="73"/>
  <c r="F79" i="73"/>
  <c r="H79" i="73" s="1"/>
  <c r="E63" i="73"/>
  <c r="C79" i="73"/>
  <c r="D63" i="73"/>
  <c r="H63" i="73"/>
  <c r="J79" i="73"/>
  <c r="I91" i="73"/>
  <c r="D63" i="72"/>
  <c r="C79" i="72"/>
  <c r="I91" i="72"/>
  <c r="J79" i="72"/>
  <c r="E63" i="72"/>
  <c r="G63" i="72"/>
  <c r="F79" i="72"/>
  <c r="F63" i="60"/>
  <c r="H63" i="60" s="1"/>
  <c r="G32" i="60"/>
  <c r="E32" i="60"/>
  <c r="D63" i="60"/>
  <c r="C79" i="60"/>
  <c r="I79" i="60"/>
  <c r="J63" i="60"/>
  <c r="H32" i="60"/>
  <c r="G32" i="77" l="1"/>
  <c r="F63" i="77"/>
  <c r="H63" i="77" s="1"/>
  <c r="E32" i="77"/>
  <c r="H32" i="77"/>
  <c r="I79" i="77"/>
  <c r="J63" i="77"/>
  <c r="C63" i="77"/>
  <c r="D32" i="77"/>
  <c r="J63" i="74"/>
  <c r="H63" i="74"/>
  <c r="G63" i="74"/>
  <c r="E63" i="74"/>
  <c r="G79" i="74"/>
  <c r="E79" i="74"/>
  <c r="F91" i="74"/>
  <c r="D79" i="74"/>
  <c r="D91" i="74"/>
  <c r="H79" i="74"/>
  <c r="I91" i="74"/>
  <c r="J79" i="74"/>
  <c r="J91" i="73"/>
  <c r="D79" i="73"/>
  <c r="C91" i="73"/>
  <c r="D91" i="73" s="1"/>
  <c r="G79" i="73"/>
  <c r="F91" i="73"/>
  <c r="F93" i="73" s="1"/>
  <c r="E79" i="73"/>
  <c r="F91" i="72"/>
  <c r="G79" i="72"/>
  <c r="E79" i="72"/>
  <c r="H79" i="72"/>
  <c r="J91" i="72"/>
  <c r="C91" i="72"/>
  <c r="D91" i="72" s="1"/>
  <c r="D79" i="72"/>
  <c r="I91" i="60"/>
  <c r="J79" i="60"/>
  <c r="C91" i="60"/>
  <c r="D91" i="60" s="1"/>
  <c r="D79" i="60"/>
  <c r="E63" i="60"/>
  <c r="F79" i="60"/>
  <c r="G63" i="60"/>
  <c r="H91" i="72" l="1"/>
  <c r="F93" i="72"/>
  <c r="F79" i="77"/>
  <c r="H79" i="77" s="1"/>
  <c r="G63" i="77"/>
  <c r="I91" i="77"/>
  <c r="I92" i="77" s="1"/>
  <c r="J79" i="77"/>
  <c r="E63" i="77"/>
  <c r="D63" i="77"/>
  <c r="C79" i="77"/>
  <c r="J91" i="74"/>
  <c r="H91" i="74"/>
  <c r="G91" i="74"/>
  <c r="E91" i="74"/>
  <c r="G91" i="73"/>
  <c r="E91" i="73"/>
  <c r="H91" i="73"/>
  <c r="G91" i="72"/>
  <c r="E91" i="72"/>
  <c r="F91" i="60"/>
  <c r="G79" i="60"/>
  <c r="E79" i="60"/>
  <c r="H79" i="60"/>
  <c r="J91" i="60"/>
  <c r="F91" i="77" l="1"/>
  <c r="H91" i="77" s="1"/>
  <c r="G79" i="77"/>
  <c r="E79" i="77"/>
  <c r="J91" i="77"/>
  <c r="D79" i="77"/>
  <c r="C91" i="77"/>
  <c r="H91" i="60"/>
  <c r="F93" i="60"/>
  <c r="G91" i="60"/>
  <c r="E91" i="60"/>
  <c r="D91" i="77" l="1"/>
  <c r="C92" i="77"/>
  <c r="G91" i="77"/>
  <c r="E91" i="77"/>
  <c r="L3" i="73"/>
  <c r="L3" i="72"/>
  <c r="L3" i="6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Contador</author>
    <author>Adriana Bernal</author>
  </authors>
  <commentList>
    <comment ref="C16" authorId="0" shapeId="0" xr:uid="{0BD12E48-4BD6-4525-89E6-09211905EA13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31/2023</t>
        </r>
      </text>
    </comment>
    <comment ref="F16" authorId="0" shapeId="0" xr:uid="{21F2B814-C8AE-4C93-9467-044611F702E8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31/2024 $10.155.797 se decide no realizar ajuste y dejar como viene en el PYG</t>
        </r>
      </text>
    </comment>
    <comment ref="I16" authorId="0" shapeId="0" xr:uid="{56316623-3597-4BFE-80F6-14615AC06682}">
      <text>
        <r>
          <rPr>
            <b/>
            <sz val="8"/>
            <color indexed="81"/>
            <rFont val="Tahoma"/>
            <family val="2"/>
          </rPr>
          <t>usuario:</t>
        </r>
        <r>
          <rPr>
            <sz val="8"/>
            <color indexed="81"/>
            <rFont val="Tahoma"/>
            <family val="2"/>
          </rPr>
          <t xml:space="preserve">
inventario fisico dic 31/2025 se realiza ajuste aumenta el CMV en $423.600, $35.300 cada mes en 2025</t>
        </r>
      </text>
    </comment>
    <comment ref="I35" authorId="1" shapeId="0" xr:uid="{92832897-8CED-445E-8F8B-2E186D97FBF6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Sagrilaft $4.271</t>
        </r>
      </text>
    </comment>
    <comment ref="F42" authorId="1" shapeId="0" xr:uid="{121C7903-CFE2-49D4-897A-0C53117A3798}">
      <text>
        <r>
          <rPr>
            <b/>
            <sz val="9"/>
            <color indexed="81"/>
            <rFont val="Tahoma"/>
            <family val="2"/>
          </rPr>
          <t xml:space="preserve">Contador:
</t>
        </r>
        <r>
          <rPr>
            <sz val="9"/>
            <color indexed="81"/>
            <rFont val="Tahoma"/>
            <family val="2"/>
          </rPr>
          <t>HGI renovación para soporte anual $4.840 y estación contable para Cesar $1.125</t>
        </r>
      </text>
    </comment>
    <comment ref="I42" authorId="1" shapeId="0" xr:uid="{026C7A04-33D8-4D24-A5AC-4722F57E3B8E}">
      <text>
        <r>
          <rPr>
            <b/>
            <sz val="9"/>
            <color indexed="81"/>
            <rFont val="Tahoma"/>
            <family val="2"/>
          </rPr>
          <t xml:space="preserve">Contador:
</t>
        </r>
        <r>
          <rPr>
            <sz val="9"/>
            <color indexed="81"/>
            <rFont val="Tahoma"/>
            <family val="2"/>
          </rPr>
          <t>HGI renovación para soporte anual $5.953 y estación contable para Marcela $3.075</t>
        </r>
      </text>
    </comment>
    <comment ref="F43" authorId="1" shapeId="0" xr:uid="{70A0B09E-064B-43D1-B3ED-4006E36FDF5C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Actividad de planeación estratégica con líderes $2.074 en Chuscalito</t>
        </r>
      </text>
    </comment>
    <comment ref="C52" authorId="1" shapeId="0" xr:uid="{3F2A10DA-68B1-4F6C-86D6-697973257AFE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estación HGI adtivo $2.609</t>
        </r>
      </text>
    </comment>
    <comment ref="F62" authorId="1" shapeId="0" xr:uid="{2054144B-60D6-4432-8450-21BA3419F868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computador $2.250</t>
        </r>
      </text>
    </comment>
    <comment ref="F65" authorId="1" shapeId="0" xr:uid="{DDDED541-C0F3-41E6-B97F-AF3E8A3A232A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Fiducia $22.960
Inversión virtual $36.420</t>
        </r>
      </text>
    </comment>
    <comment ref="I73" authorId="1" shapeId="0" xr:uid="{0749976A-5E32-4BEA-BDE4-89FCBDA1622B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fiducia renta sostenible</t>
        </r>
      </text>
    </comment>
    <comment ref="C77" authorId="2" shapeId="0" xr:uid="{5F6D50E5-AE5B-4B2E-AA4D-5D4FB7C3B8EF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Intereses leasing $5.520
Seguro $380
</t>
        </r>
      </text>
    </comment>
    <comment ref="F77" authorId="2" shapeId="0" xr:uid="{D97BAAF3-9603-46AC-B81E-2C8FAFCBC242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Gastos legales de escritura $118.765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F73" authorId="0" shapeId="0" xr:uid="{D034FD83-F2E3-427B-9B9A-628FA648A2B1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I73" authorId="1" shapeId="0" xr:uid="{88F5F973-668F-45B9-825A-1A146175953D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se logró rendimientos que cubrieron pérdida</t>
        </r>
      </text>
    </comment>
    <comment ref="C77" authorId="1" shapeId="0" xr:uid="{7D95957E-55C4-4315-8390-FABC431559AD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4DF784F3-A4BF-49E1-843A-DFC1FBE14D38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  <comment ref="I77" authorId="0" shapeId="0" xr:uid="{A03F66BF-9295-4D6B-BF08-7718DA2059CD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Guayabal $53,367 por predial 
Cartoplas $29,476 por predial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F73" authorId="0" shapeId="0" xr:uid="{32046171-7CF2-4329-96EC-7F7672CBA83A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C77" authorId="1" shapeId="0" xr:uid="{03C3DEF8-A9DB-4B5B-8BBC-EB43635579FC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E9FB4218-6DA5-4319-AB63-39DD0904EE5C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Contador</author>
    <author>Adriana Bernal</author>
  </authors>
  <commentList>
    <comment ref="I65" authorId="0" shapeId="0" xr:uid="{C194CC97-22E6-405E-AD84-FD7DFA6B170B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se devuelve ingreso negativo de renta sostenible</t>
        </r>
      </text>
    </comment>
    <comment ref="F73" authorId="0" shapeId="0" xr:uid="{45D102A6-F35B-400B-B7C9-1E7FBF3BC6D0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rendimientos negativos en la fiducia de renta sostenible</t>
        </r>
      </text>
    </comment>
    <comment ref="I73" authorId="0" shapeId="0" xr:uid="{1333CC8F-B895-45D0-8431-0E9BD7D7E4C0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por cierre de renta sostenible se disminuye valor de rendimientos negativos</t>
        </r>
      </text>
    </comment>
    <comment ref="C77" authorId="1" shapeId="0" xr:uid="{E19759A2-684E-4BB7-870A-119CB0D53002}">
      <text>
        <r>
          <rPr>
            <b/>
            <sz val="9"/>
            <color indexed="81"/>
            <rFont val="Tahoma"/>
            <family val="2"/>
          </rPr>
          <t>Adriana Bernal:</t>
        </r>
        <r>
          <rPr>
            <sz val="9"/>
            <color indexed="81"/>
            <rFont val="Tahoma"/>
            <family val="2"/>
          </rPr>
          <t xml:space="preserve">
Depreciación $6.254
Comisión B&amp;P $2.061
Seguro $380
Intereses $5.221</t>
        </r>
      </text>
    </comment>
    <comment ref="F77" authorId="0" shapeId="0" xr:uid="{64E89827-A621-4EAF-A293-30F0FFF7C4ED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depreciacion</t>
        </r>
      </text>
    </comment>
    <comment ref="I78" authorId="0" shapeId="0" xr:uid="{BBF62D7C-4B99-4CC5-8920-9C8BB95A4F66}">
      <text>
        <r>
          <rPr>
            <b/>
            <sz val="9"/>
            <color indexed="81"/>
            <rFont val="Tahoma"/>
            <family val="2"/>
          </rPr>
          <t>Contador:</t>
        </r>
        <r>
          <rPr>
            <sz val="9"/>
            <color indexed="81"/>
            <rFont val="Tahoma"/>
            <family val="2"/>
          </rPr>
          <t xml:space="preserve">
impuesto al patrimonio $148.392</t>
        </r>
      </text>
    </comment>
  </commentList>
</comments>
</file>

<file path=xl/sharedStrings.xml><?xml version="1.0" encoding="utf-8"?>
<sst xmlns="http://schemas.openxmlformats.org/spreadsheetml/2006/main" count="747" uniqueCount="127">
  <si>
    <t>Estado de resultados del mes</t>
  </si>
  <si>
    <t>MES</t>
  </si>
  <si>
    <t>ENERO</t>
  </si>
  <si>
    <t>DETALLE</t>
  </si>
  <si>
    <t>% OCUP.</t>
  </si>
  <si>
    <t>% VAR.</t>
  </si>
  <si>
    <t>%OCUP.</t>
  </si>
  <si>
    <t>Ingresos por ventas</t>
  </si>
  <si>
    <t>Menos Descuentos</t>
  </si>
  <si>
    <t>Costo de la Mercancia Vendida</t>
  </si>
  <si>
    <t>Inventario inicial</t>
  </si>
  <si>
    <t>Compras</t>
  </si>
  <si>
    <t>Costos de producción</t>
  </si>
  <si>
    <t>Descuento de proveedores</t>
  </si>
  <si>
    <t>Inventario final</t>
  </si>
  <si>
    <t>UTILIDAD BRUTA</t>
  </si>
  <si>
    <t>GASTOS DE ADMINISTRACIÓN</t>
  </si>
  <si>
    <t>De personal</t>
  </si>
  <si>
    <t>Honorarios</t>
  </si>
  <si>
    <t>De personal y honorarios</t>
  </si>
  <si>
    <t>Depreciaciones</t>
  </si>
  <si>
    <t xml:space="preserve">Impuestos </t>
  </si>
  <si>
    <t xml:space="preserve">Seguros </t>
  </si>
  <si>
    <t xml:space="preserve">Servicios </t>
  </si>
  <si>
    <t>Gastos legales</t>
  </si>
  <si>
    <t>Mantenimiento equipo de oficina y computo</t>
  </si>
  <si>
    <t>Diversos</t>
  </si>
  <si>
    <t>Diversos admón</t>
  </si>
  <si>
    <t>GASTOS DE COMERCIAL</t>
  </si>
  <si>
    <t>Impuesto ICA</t>
  </si>
  <si>
    <t>Publicidad y propaganda</t>
  </si>
  <si>
    <t>Gastos de exportación</t>
  </si>
  <si>
    <t>Gastos de mantenimiento eq.computo</t>
  </si>
  <si>
    <t>Gastos de viaje</t>
  </si>
  <si>
    <t>Diversos comercial</t>
  </si>
  <si>
    <t>Gastos del camión</t>
  </si>
  <si>
    <t>Transportes y fletes</t>
  </si>
  <si>
    <t>Gastos de envío exportación</t>
  </si>
  <si>
    <t>UTILIDAD OPERACIONAL</t>
  </si>
  <si>
    <t>INGRESOS NO OPERACIONALES</t>
  </si>
  <si>
    <t>Financieros</t>
  </si>
  <si>
    <t>Diferencia en cambio</t>
  </si>
  <si>
    <t>Indemnización</t>
  </si>
  <si>
    <t>GASTOS NO OPERACIONALES</t>
  </si>
  <si>
    <t>Bancarios</t>
  </si>
  <si>
    <t>Retiro de activo fijo vendido</t>
  </si>
  <si>
    <t>Impuesto 4x1000</t>
  </si>
  <si>
    <t>Extraordinarios</t>
  </si>
  <si>
    <t>UTILIDAD CONTABLE DE TERCOL</t>
  </si>
  <si>
    <t>FAMILIA</t>
  </si>
  <si>
    <t>Impuestos de vehículos</t>
  </si>
  <si>
    <t>Club Country Club</t>
  </si>
  <si>
    <t>Pólizas de la familia</t>
  </si>
  <si>
    <t>Amortización pólizas vehículos</t>
  </si>
  <si>
    <t>Celulares</t>
  </si>
  <si>
    <t>Reparaciones locativas</t>
  </si>
  <si>
    <t>Depreciación vehículos</t>
  </si>
  <si>
    <t>Otros servicios (transporte)</t>
  </si>
  <si>
    <t>Gastos de bodega</t>
  </si>
  <si>
    <t>GASTOS DE LOGÍSTICA - SALIDA</t>
  </si>
  <si>
    <t>Cifras en miles de pesos</t>
  </si>
  <si>
    <t>Arrendamientos</t>
  </si>
  <si>
    <t>FEBRERO</t>
  </si>
  <si>
    <t>Gastos de bodegas</t>
  </si>
  <si>
    <t>Ventas productos fabricados</t>
  </si>
  <si>
    <t>Ventas productos comercializados</t>
  </si>
  <si>
    <t>Costo productos comercializados</t>
  </si>
  <si>
    <t>Metalmecánica</t>
  </si>
  <si>
    <t>Plástico</t>
  </si>
  <si>
    <t>Breakers</t>
  </si>
  <si>
    <t>Varillas</t>
  </si>
  <si>
    <t>Seti</t>
  </si>
  <si>
    <t>MARZO</t>
  </si>
  <si>
    <t>A MARZO 31</t>
  </si>
  <si>
    <t>Ventas de excedentes</t>
  </si>
  <si>
    <t>Mano de obra directa</t>
  </si>
  <si>
    <t>Mano de obra indirecta</t>
  </si>
  <si>
    <t>Costos indifectos de fabricación</t>
  </si>
  <si>
    <t>MP en productos fabricados</t>
  </si>
  <si>
    <t>Gastos legales y seguros</t>
  </si>
  <si>
    <t xml:space="preserve">Arrendamiento de bodega </t>
  </si>
  <si>
    <t>Ingreso venta de activo fijo e inversiones</t>
  </si>
  <si>
    <t xml:space="preserve">Intereses </t>
  </si>
  <si>
    <t>Mantenimiento de vehículos</t>
  </si>
  <si>
    <t>Pólizas vehículos</t>
  </si>
  <si>
    <t>UTILIDAD NETA/(-) PERDIDA NETA</t>
  </si>
  <si>
    <t>CE125 ventas</t>
  </si>
  <si>
    <t>CE125 costos</t>
  </si>
  <si>
    <t>sin el cambio de los arriendos en 2025</t>
  </si>
  <si>
    <t>con el cambio de arriendos en 2025</t>
  </si>
  <si>
    <t>sin varillas</t>
  </si>
  <si>
    <t>utilidad de las varillas en 2026</t>
  </si>
  <si>
    <t>Utilidad sin ajuste de arriendos</t>
  </si>
  <si>
    <t>Año</t>
  </si>
  <si>
    <t>Producto</t>
  </si>
  <si>
    <t>Fabricado MT</t>
  </si>
  <si>
    <t>Fabricado PL</t>
  </si>
  <si>
    <t>Ventas Ene</t>
  </si>
  <si>
    <t>Ventas Feb</t>
  </si>
  <si>
    <t>Ventas Mar</t>
  </si>
  <si>
    <t>Costo Ene</t>
  </si>
  <si>
    <t>Costo Feb</t>
  </si>
  <si>
    <t>Costo Mar</t>
  </si>
  <si>
    <t>Util bruta Ene</t>
  </si>
  <si>
    <t>Util bruta Feb</t>
  </si>
  <si>
    <t>Util bruta Mar</t>
  </si>
  <si>
    <t>% Margen Ene</t>
  </si>
  <si>
    <t>% Margen Feb</t>
  </si>
  <si>
    <t>% Margen Mar</t>
  </si>
  <si>
    <t>MT</t>
  </si>
  <si>
    <t>PL</t>
  </si>
  <si>
    <t>CO</t>
  </si>
  <si>
    <t>MOD</t>
  </si>
  <si>
    <t>MOI</t>
  </si>
  <si>
    <t>CIF</t>
  </si>
  <si>
    <t>Totales</t>
  </si>
  <si>
    <t>Total ventas</t>
  </si>
  <si>
    <t>Total Margen</t>
  </si>
  <si>
    <t>% Margen</t>
  </si>
  <si>
    <t>Total costo</t>
  </si>
  <si>
    <t>ABRIL</t>
  </si>
  <si>
    <t>A ABRIL 30</t>
  </si>
  <si>
    <t>|</t>
  </si>
  <si>
    <t>Ventas Abr</t>
  </si>
  <si>
    <t>Costo Abr</t>
  </si>
  <si>
    <t>Util bruta Abr</t>
  </si>
  <si>
    <t>% Margen 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</si>
</sst>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_-;\-* #,##0.00_-;_-* &quot;-&quot;??_-;_-@_-"/>
    <numFmt numFmtId="165" formatCode="#,##0_ ;[Red]\-#,##0\ "/>
  </numFmts>
  <fonts count="25" x14ac:knownFonts="1">
    <font>
      <sz val="10"/>
      <name val="Arial"/>
    </font>
    <font>
      <sz val="10"/>
      <name val="Arial"/>
      <family val="2"/>
    </font>
    <font>
      <b/>
      <sz val="9"/>
      <color indexed="8"/>
      <name val="Arial"/>
      <family val="2"/>
    </font>
    <font>
      <b/>
      <sz val="12"/>
      <color indexed="8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sz val="10"/>
      <color theme="0"/>
      <name val="Arial"/>
      <family val="2"/>
    </font>
    <font>
      <b/>
      <sz val="8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C00000"/>
      </left>
      <right/>
      <top/>
      <bottom style="medium">
        <color indexed="64"/>
      </bottom>
      <diagonal/>
    </border>
    <border>
      <left/>
      <right style="thick">
        <color rgb="FFC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116">
    <xf numFmtId="0" fontId="0" fillId="0" borderId="0" xfId="0"/>
    <xf numFmtId="3" fontId="4" fillId="0" borderId="1" xfId="0" applyNumberFormat="1" applyFont="1" applyBorder="1"/>
    <xf numFmtId="3" fontId="0" fillId="0" borderId="0" xfId="0" applyNumberFormat="1"/>
    <xf numFmtId="3" fontId="4" fillId="0" borderId="4" xfId="0" applyNumberFormat="1" applyFont="1" applyBorder="1"/>
    <xf numFmtId="3" fontId="4" fillId="0" borderId="3" xfId="0" applyNumberFormat="1" applyFont="1" applyBorder="1"/>
    <xf numFmtId="3" fontId="4" fillId="2" borderId="1" xfId="0" applyNumberFormat="1" applyFont="1" applyFill="1" applyBorder="1"/>
    <xf numFmtId="0" fontId="2" fillId="0" borderId="5" xfId="0" applyFont="1" applyBorder="1" applyAlignment="1">
      <alignment horizontal="center"/>
    </xf>
    <xf numFmtId="3" fontId="2" fillId="0" borderId="6" xfId="0" applyNumberFormat="1" applyFont="1" applyBorder="1" applyAlignment="1">
      <alignment horizontal="center"/>
    </xf>
    <xf numFmtId="10" fontId="0" fillId="0" borderId="0" xfId="0" applyNumberFormat="1"/>
    <xf numFmtId="9" fontId="0" fillId="0" borderId="0" xfId="1" applyFont="1"/>
    <xf numFmtId="10" fontId="2" fillId="0" borderId="3" xfId="0" applyNumberFormat="1" applyFont="1" applyBorder="1"/>
    <xf numFmtId="10" fontId="8" fillId="0" borderId="3" xfId="0" applyNumberFormat="1" applyFont="1" applyBorder="1"/>
    <xf numFmtId="10" fontId="0" fillId="0" borderId="0" xfId="1" applyNumberFormat="1" applyFont="1"/>
    <xf numFmtId="10" fontId="2" fillId="0" borderId="3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/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12" fillId="0" borderId="0" xfId="0" applyFont="1"/>
    <xf numFmtId="10" fontId="5" fillId="5" borderId="9" xfId="0" applyNumberFormat="1" applyFont="1" applyFill="1" applyBorder="1" applyAlignment="1">
      <alignment vertical="center"/>
    </xf>
    <xf numFmtId="10" fontId="4" fillId="0" borderId="3" xfId="0" applyNumberFormat="1" applyFont="1" applyBorder="1"/>
    <xf numFmtId="0" fontId="10" fillId="0" borderId="0" xfId="0" applyFont="1"/>
    <xf numFmtId="10" fontId="4" fillId="0" borderId="3" xfId="0" applyNumberFormat="1" applyFont="1" applyBorder="1" applyAlignment="1">
      <alignment horizontal="center"/>
    </xf>
    <xf numFmtId="0" fontId="2" fillId="3" borderId="3" xfId="0" applyFont="1" applyFill="1" applyBorder="1"/>
    <xf numFmtId="3" fontId="2" fillId="3" borderId="3" xfId="0" applyNumberFormat="1" applyFont="1" applyFill="1" applyBorder="1"/>
    <xf numFmtId="10" fontId="2" fillId="3" borderId="3" xfId="0" applyNumberFormat="1" applyFont="1" applyFill="1" applyBorder="1"/>
    <xf numFmtId="10" fontId="2" fillId="3" borderId="3" xfId="0" applyNumberFormat="1" applyFont="1" applyFill="1" applyBorder="1" applyAlignment="1">
      <alignment horizontal="center"/>
    </xf>
    <xf numFmtId="0" fontId="4" fillId="0" borderId="3" xfId="0" applyFont="1" applyBorder="1"/>
    <xf numFmtId="10" fontId="2" fillId="6" borderId="6" xfId="0" applyNumberFormat="1" applyFont="1" applyFill="1" applyBorder="1" applyAlignment="1">
      <alignment horizontal="center"/>
    </xf>
    <xf numFmtId="10" fontId="2" fillId="6" borderId="7" xfId="0" applyNumberFormat="1" applyFont="1" applyFill="1" applyBorder="1" applyAlignment="1">
      <alignment horizontal="center"/>
    </xf>
    <xf numFmtId="3" fontId="4" fillId="2" borderId="3" xfId="0" applyNumberFormat="1" applyFont="1" applyFill="1" applyBorder="1"/>
    <xf numFmtId="10" fontId="8" fillId="2" borderId="3" xfId="0" applyNumberFormat="1" applyFont="1" applyFill="1" applyBorder="1"/>
    <xf numFmtId="3" fontId="2" fillId="7" borderId="3" xfId="0" applyNumberFormat="1" applyFont="1" applyFill="1" applyBorder="1"/>
    <xf numFmtId="10" fontId="2" fillId="7" borderId="3" xfId="0" applyNumberFormat="1" applyFont="1" applyFill="1" applyBorder="1"/>
    <xf numFmtId="10" fontId="2" fillId="7" borderId="3" xfId="0" applyNumberFormat="1" applyFont="1" applyFill="1" applyBorder="1" applyAlignment="1">
      <alignment horizontal="center"/>
    </xf>
    <xf numFmtId="10" fontId="8" fillId="2" borderId="3" xfId="0" applyNumberFormat="1" applyFont="1" applyFill="1" applyBorder="1" applyAlignment="1">
      <alignment horizontal="center"/>
    </xf>
    <xf numFmtId="10" fontId="8" fillId="0" borderId="3" xfId="0" applyNumberFormat="1" applyFont="1" applyBorder="1" applyAlignment="1">
      <alignment horizontal="center"/>
    </xf>
    <xf numFmtId="3" fontId="2" fillId="0" borderId="3" xfId="0" applyNumberFormat="1" applyFont="1" applyBorder="1"/>
    <xf numFmtId="10" fontId="13" fillId="0" borderId="3" xfId="0" applyNumberFormat="1" applyFont="1" applyBorder="1"/>
    <xf numFmtId="3" fontId="2" fillId="4" borderId="3" xfId="0" applyNumberFormat="1" applyFont="1" applyFill="1" applyBorder="1"/>
    <xf numFmtId="10" fontId="2" fillId="4" borderId="3" xfId="0" applyNumberFormat="1" applyFont="1" applyFill="1" applyBorder="1"/>
    <xf numFmtId="10" fontId="2" fillId="4" borderId="3" xfId="0" applyNumberFormat="1" applyFont="1" applyFill="1" applyBorder="1" applyAlignment="1">
      <alignment horizontal="center"/>
    </xf>
    <xf numFmtId="10" fontId="2" fillId="2" borderId="3" xfId="0" applyNumberFormat="1" applyFont="1" applyFill="1" applyBorder="1" applyAlignment="1">
      <alignment horizontal="center"/>
    </xf>
    <xf numFmtId="3" fontId="9" fillId="4" borderId="3" xfId="0" applyNumberFormat="1" applyFont="1" applyFill="1" applyBorder="1"/>
    <xf numFmtId="3" fontId="4" fillId="0" borderId="2" xfId="0" applyNumberFormat="1" applyFont="1" applyBorder="1"/>
    <xf numFmtId="3" fontId="16" fillId="4" borderId="3" xfId="0" applyNumberFormat="1" applyFont="1" applyFill="1" applyBorder="1"/>
    <xf numFmtId="0" fontId="2" fillId="7" borderId="3" xfId="0" applyFont="1" applyFill="1" applyBorder="1"/>
    <xf numFmtId="0" fontId="4" fillId="2" borderId="3" xfId="0" applyFont="1" applyFill="1" applyBorder="1"/>
    <xf numFmtId="0" fontId="2" fillId="0" borderId="3" xfId="0" applyFont="1" applyBorder="1"/>
    <xf numFmtId="0" fontId="4" fillId="8" borderId="3" xfId="0" applyFont="1" applyFill="1" applyBorder="1"/>
    <xf numFmtId="3" fontId="4" fillId="8" borderId="3" xfId="0" applyNumberFormat="1" applyFont="1" applyFill="1" applyBorder="1"/>
    <xf numFmtId="10" fontId="2" fillId="8" borderId="3" xfId="0" applyNumberFormat="1" applyFont="1" applyFill="1" applyBorder="1"/>
    <xf numFmtId="10" fontId="2" fillId="8" borderId="3" xfId="0" applyNumberFormat="1" applyFont="1" applyFill="1" applyBorder="1" applyAlignment="1">
      <alignment horizontal="center"/>
    </xf>
    <xf numFmtId="10" fontId="13" fillId="8" borderId="3" xfId="0" applyNumberFormat="1" applyFont="1" applyFill="1" applyBorder="1"/>
    <xf numFmtId="10" fontId="8" fillId="8" borderId="3" xfId="0" applyNumberFormat="1" applyFont="1" applyFill="1" applyBorder="1"/>
    <xf numFmtId="0" fontId="2" fillId="4" borderId="3" xfId="0" applyFont="1" applyFill="1" applyBorder="1"/>
    <xf numFmtId="0" fontId="1" fillId="0" borderId="0" xfId="0" applyFont="1"/>
    <xf numFmtId="10" fontId="8" fillId="0" borderId="3" xfId="0" applyNumberFormat="1" applyFont="1" applyBorder="1" applyAlignment="1">
      <alignment horizontal="right"/>
    </xf>
    <xf numFmtId="164" fontId="0" fillId="0" borderId="0" xfId="2" applyFont="1"/>
    <xf numFmtId="3" fontId="10" fillId="0" borderId="0" xfId="0" applyNumberFormat="1" applyFont="1"/>
    <xf numFmtId="0" fontId="2" fillId="9" borderId="3" xfId="0" applyFont="1" applyFill="1" applyBorder="1"/>
    <xf numFmtId="3" fontId="9" fillId="9" borderId="3" xfId="0" applyNumberFormat="1" applyFont="1" applyFill="1" applyBorder="1"/>
    <xf numFmtId="10" fontId="2" fillId="9" borderId="3" xfId="0" applyNumberFormat="1" applyFont="1" applyFill="1" applyBorder="1"/>
    <xf numFmtId="10" fontId="2" fillId="9" borderId="3" xfId="0" applyNumberFormat="1" applyFont="1" applyFill="1" applyBorder="1" applyAlignment="1">
      <alignment horizontal="center"/>
    </xf>
    <xf numFmtId="3" fontId="16" fillId="9" borderId="3" xfId="0" applyNumberFormat="1" applyFont="1" applyFill="1" applyBorder="1"/>
    <xf numFmtId="3" fontId="12" fillId="0" borderId="0" xfId="0" applyNumberFormat="1" applyFont="1"/>
    <xf numFmtId="164" fontId="12" fillId="0" borderId="0" xfId="2" applyFont="1"/>
    <xf numFmtId="9" fontId="12" fillId="0" borderId="0" xfId="1" applyFont="1"/>
    <xf numFmtId="0" fontId="20" fillId="0" borderId="0" xfId="0" applyFont="1" applyAlignment="1">
      <alignment horizontal="center"/>
    </xf>
    <xf numFmtId="0" fontId="19" fillId="0" borderId="0" xfId="0" applyFont="1"/>
    <xf numFmtId="10" fontId="12" fillId="0" borderId="0" xfId="1" applyNumberFormat="1" applyFont="1"/>
    <xf numFmtId="3" fontId="21" fillId="0" borderId="0" xfId="0" applyNumberFormat="1" applyFont="1"/>
    <xf numFmtId="10" fontId="12" fillId="0" borderId="0" xfId="0" applyNumberFormat="1" applyFont="1"/>
    <xf numFmtId="165" fontId="12" fillId="0" borderId="0" xfId="0" applyNumberFormat="1" applyFont="1"/>
    <xf numFmtId="0" fontId="19" fillId="6" borderId="3" xfId="0" applyFont="1" applyFill="1" applyBorder="1"/>
    <xf numFmtId="0" fontId="0" fillId="10" borderId="3" xfId="0" applyFill="1" applyBorder="1"/>
    <xf numFmtId="3" fontId="0" fillId="10" borderId="3" xfId="0" applyNumberFormat="1" applyFill="1" applyBorder="1"/>
    <xf numFmtId="10" fontId="10" fillId="10" borderId="3" xfId="1" applyNumberFormat="1" applyFont="1" applyFill="1" applyBorder="1"/>
    <xf numFmtId="10" fontId="0" fillId="10" borderId="3" xfId="1" applyNumberFormat="1" applyFont="1" applyFill="1" applyBorder="1"/>
    <xf numFmtId="0" fontId="0" fillId="11" borderId="3" xfId="0" applyFill="1" applyBorder="1"/>
    <xf numFmtId="3" fontId="0" fillId="11" borderId="3" xfId="0" applyNumberFormat="1" applyFill="1" applyBorder="1"/>
    <xf numFmtId="10" fontId="10" fillId="11" borderId="3" xfId="1" applyNumberFormat="1" applyFont="1" applyFill="1" applyBorder="1"/>
    <xf numFmtId="10" fontId="0" fillId="11" borderId="3" xfId="1" applyNumberFormat="1" applyFont="1" applyFill="1" applyBorder="1"/>
    <xf numFmtId="0" fontId="0" fillId="12" borderId="3" xfId="0" applyFill="1" applyBorder="1"/>
    <xf numFmtId="3" fontId="0" fillId="12" borderId="3" xfId="0" applyNumberFormat="1" applyFill="1" applyBorder="1"/>
    <xf numFmtId="10" fontId="10" fillId="12" borderId="3" xfId="1" applyNumberFormat="1" applyFont="1" applyFill="1" applyBorder="1"/>
    <xf numFmtId="10" fontId="0" fillId="12" borderId="3" xfId="1" applyNumberFormat="1" applyFont="1" applyFill="1" applyBorder="1"/>
    <xf numFmtId="0" fontId="0" fillId="13" borderId="3" xfId="0" applyFill="1" applyBorder="1"/>
    <xf numFmtId="3" fontId="0" fillId="13" borderId="3" xfId="0" applyNumberFormat="1" applyFill="1" applyBorder="1"/>
    <xf numFmtId="10" fontId="10" fillId="13" borderId="3" xfId="1" applyNumberFormat="1" applyFont="1" applyFill="1" applyBorder="1"/>
    <xf numFmtId="10" fontId="0" fillId="13" borderId="3" xfId="1" applyNumberFormat="1" applyFont="1" applyFill="1" applyBorder="1"/>
    <xf numFmtId="0" fontId="0" fillId="14" borderId="3" xfId="0" applyFill="1" applyBorder="1"/>
    <xf numFmtId="3" fontId="0" fillId="14" borderId="3" xfId="0" applyNumberFormat="1" applyFill="1" applyBorder="1"/>
    <xf numFmtId="10" fontId="10" fillId="14" borderId="3" xfId="1" applyNumberFormat="1" applyFont="1" applyFill="1" applyBorder="1"/>
    <xf numFmtId="10" fontId="0" fillId="14" borderId="3" xfId="1" applyNumberFormat="1" applyFont="1" applyFill="1" applyBorder="1"/>
    <xf numFmtId="0" fontId="23" fillId="0" borderId="0" xfId="0" applyFont="1"/>
    <xf numFmtId="0" fontId="22" fillId="0" borderId="3" xfId="0" applyFont="1" applyBorder="1"/>
    <xf numFmtId="3" fontId="22" fillId="0" borderId="3" xfId="0" applyNumberFormat="1" applyFont="1" applyBorder="1"/>
    <xf numFmtId="10" fontId="22" fillId="0" borderId="3" xfId="1" applyNumberFormat="1" applyFont="1" applyFill="1" applyBorder="1"/>
    <xf numFmtId="0" fontId="10" fillId="10" borderId="3" xfId="0" applyFont="1" applyFill="1" applyBorder="1"/>
    <xf numFmtId="0" fontId="10" fillId="11" borderId="3" xfId="0" applyFont="1" applyFill="1" applyBorder="1"/>
    <xf numFmtId="0" fontId="10" fillId="12" borderId="3" xfId="0" applyFont="1" applyFill="1" applyBorder="1"/>
    <xf numFmtId="0" fontId="10" fillId="13" borderId="3" xfId="0" applyFont="1" applyFill="1" applyBorder="1"/>
    <xf numFmtId="0" fontId="10" fillId="14" borderId="3" xfId="0" applyFont="1" applyFill="1" applyBorder="1"/>
    <xf numFmtId="3" fontId="10" fillId="10" borderId="3" xfId="0" applyNumberFormat="1" applyFont="1" applyFill="1" applyBorder="1"/>
    <xf numFmtId="3" fontId="10" fillId="11" borderId="3" xfId="0" applyNumberFormat="1" applyFont="1" applyFill="1" applyBorder="1"/>
    <xf numFmtId="3" fontId="10" fillId="12" borderId="3" xfId="0" applyNumberFormat="1" applyFont="1" applyFill="1" applyBorder="1"/>
    <xf numFmtId="3" fontId="10" fillId="13" borderId="3" xfId="0" applyNumberFormat="1" applyFont="1" applyFill="1" applyBorder="1"/>
    <xf numFmtId="3" fontId="10" fillId="14" borderId="3" xfId="0" applyNumberFormat="1" applyFont="1" applyFill="1" applyBorder="1"/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</cellXfs>
  <cellStyles count="3">
    <cellStyle name="Millares" xfId="2" builtinId="3"/>
    <cellStyle name="Normal" xfId="0" builtinId="0"/>
    <cellStyle name="Porcentaje" xfId="1" builtinId="5"/>
  </cellStyles>
  <dxfs count="23">
    <dxf>
      <font>
        <b/>
        <family val="2"/>
      </font>
      <numFmt numFmtId="14" formatCode="0.00%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family val="2"/>
      </font>
      <numFmt numFmtId="3" formatCode="#,##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family val="2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9" defaultPivotStyle="PivotStyleLight16">
    <tableStyle name="Invisible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0C0C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472440</xdr:colOff>
      <xdr:row>0</xdr:row>
      <xdr:rowOff>156210</xdr:rowOff>
    </xdr:from>
    <xdr:to>
      <xdr:col>13</xdr:col>
      <xdr:colOff>426720</xdr:colOff>
      <xdr:row>3</xdr:row>
      <xdr:rowOff>118110</xdr:rowOff>
    </xdr:to>
    <xdr:sp macro="[0]!Estado_Resultados_Completo" textlink="">
      <xdr:nvSpPr>
        <xdr:cNvPr id="2" name="Rectángulo 1">
          <a:extLst>
            <a:ext uri="{FF2B5EF4-FFF2-40B4-BE49-F238E27FC236}">
              <a16:creationId xmlns:a16="http://schemas.microsoft.com/office/drawing/2014/main" id="{8159AB30-99DA-4666-2D46-2A14BAA16783}"/>
            </a:ext>
          </a:extLst>
        </xdr:cNvPr>
        <xdr:cNvSpPr/>
      </xdr:nvSpPr>
      <xdr:spPr>
        <a:xfrm>
          <a:off x="8549640" y="156210"/>
          <a:ext cx="1546860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Completo</a:t>
          </a:r>
          <a:endParaRPr lang="es-CO" sz="1200" b="1" i="1"/>
        </a:p>
      </xdr:txBody>
    </xdr:sp>
    <xdr:clientData/>
  </xdr:twoCellAnchor>
  <xdr:twoCellAnchor>
    <xdr:from>
      <xdr:col>13</xdr:col>
      <xdr:colOff>502920</xdr:colOff>
      <xdr:row>0</xdr:row>
      <xdr:rowOff>151448</xdr:rowOff>
    </xdr:from>
    <xdr:to>
      <xdr:col>15</xdr:col>
      <xdr:colOff>476250</xdr:colOff>
      <xdr:row>3</xdr:row>
      <xdr:rowOff>112395</xdr:rowOff>
    </xdr:to>
    <xdr:sp macro="[0]!Estado_Resultados_Sin_Varillas" textlink="">
      <xdr:nvSpPr>
        <xdr:cNvPr id="5" name="Rectángulo 4">
          <a:extLst>
            <a:ext uri="{FF2B5EF4-FFF2-40B4-BE49-F238E27FC236}">
              <a16:creationId xmlns:a16="http://schemas.microsoft.com/office/drawing/2014/main" id="{BF8FAF92-2105-4B82-BEFD-AA12E963E833}"/>
            </a:ext>
          </a:extLst>
        </xdr:cNvPr>
        <xdr:cNvSpPr/>
      </xdr:nvSpPr>
      <xdr:spPr>
        <a:xfrm>
          <a:off x="10172700" y="151448"/>
          <a:ext cx="1543050" cy="51720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Varillas</a:t>
          </a:r>
          <a:endParaRPr lang="es-CO" sz="1200" b="1" i="1"/>
        </a:p>
      </xdr:txBody>
    </xdr:sp>
    <xdr:clientData/>
  </xdr:twoCellAnchor>
  <xdr:twoCellAnchor>
    <xdr:from>
      <xdr:col>15</xdr:col>
      <xdr:colOff>539116</xdr:colOff>
      <xdr:row>0</xdr:row>
      <xdr:rowOff>151447</xdr:rowOff>
    </xdr:from>
    <xdr:to>
      <xdr:col>17</xdr:col>
      <xdr:colOff>500063</xdr:colOff>
      <xdr:row>3</xdr:row>
      <xdr:rowOff>113347</xdr:rowOff>
    </xdr:to>
    <xdr:sp macro="[0]!Estado_Resultados_SinVarillas_CE125" textlink="">
      <xdr:nvSpPr>
        <xdr:cNvPr id="6" name="Rectángulo 5">
          <a:extLst>
            <a:ext uri="{FF2B5EF4-FFF2-40B4-BE49-F238E27FC236}">
              <a16:creationId xmlns:a16="http://schemas.microsoft.com/office/drawing/2014/main" id="{4A5F79AD-5019-417C-8AAA-F9B025CFCA82}"/>
            </a:ext>
          </a:extLst>
        </xdr:cNvPr>
        <xdr:cNvSpPr/>
      </xdr:nvSpPr>
      <xdr:spPr>
        <a:xfrm>
          <a:off x="11778616" y="151447"/>
          <a:ext cx="1530667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Varillas - CE125</a:t>
          </a:r>
          <a:endParaRPr lang="es-CO" sz="1200" b="1" i="1"/>
        </a:p>
      </xdr:txBody>
    </xdr:sp>
    <xdr:clientData/>
  </xdr:twoCellAnchor>
  <xdr:twoCellAnchor>
    <xdr:from>
      <xdr:col>11</xdr:col>
      <xdr:colOff>482917</xdr:colOff>
      <xdr:row>4</xdr:row>
      <xdr:rowOff>44769</xdr:rowOff>
    </xdr:from>
    <xdr:to>
      <xdr:col>13</xdr:col>
      <xdr:colOff>437197</xdr:colOff>
      <xdr:row>7</xdr:row>
      <xdr:rowOff>60009</xdr:rowOff>
    </xdr:to>
    <xdr:sp macro="[0]!ER_Sin_Comercializados" textlink="">
      <xdr:nvSpPr>
        <xdr:cNvPr id="3" name="Rectángulo 2">
          <a:extLst>
            <a:ext uri="{FF2B5EF4-FFF2-40B4-BE49-F238E27FC236}">
              <a16:creationId xmlns:a16="http://schemas.microsoft.com/office/drawing/2014/main" id="{EC795DB7-6172-4D55-B29E-8A9B62479E35}"/>
            </a:ext>
          </a:extLst>
        </xdr:cNvPr>
        <xdr:cNvSpPr/>
      </xdr:nvSpPr>
      <xdr:spPr>
        <a:xfrm>
          <a:off x="8560117" y="768669"/>
          <a:ext cx="1546860" cy="518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Sin Comercializados</a:t>
          </a:r>
          <a:endParaRPr lang="es-CO" sz="1200" b="1" i="1"/>
        </a:p>
      </xdr:txBody>
    </xdr:sp>
    <xdr:clientData/>
  </xdr:twoCellAnchor>
  <xdr:twoCellAnchor>
    <xdr:from>
      <xdr:col>13</xdr:col>
      <xdr:colOff>502920</xdr:colOff>
      <xdr:row>4</xdr:row>
      <xdr:rowOff>44770</xdr:rowOff>
    </xdr:from>
    <xdr:to>
      <xdr:col>15</xdr:col>
      <xdr:colOff>480060</xdr:colOff>
      <xdr:row>7</xdr:row>
      <xdr:rowOff>60010</xdr:rowOff>
    </xdr:to>
    <xdr:sp macro="[0]!ER_Metalmecanica" textlink="">
      <xdr:nvSpPr>
        <xdr:cNvPr id="4" name="Rectángulo 3">
          <a:extLst>
            <a:ext uri="{FF2B5EF4-FFF2-40B4-BE49-F238E27FC236}">
              <a16:creationId xmlns:a16="http://schemas.microsoft.com/office/drawing/2014/main" id="{7C3C8746-1AA3-4E47-8078-B00F4E9FA20D}"/>
            </a:ext>
          </a:extLst>
        </xdr:cNvPr>
        <xdr:cNvSpPr/>
      </xdr:nvSpPr>
      <xdr:spPr>
        <a:xfrm>
          <a:off x="10170795" y="768670"/>
          <a:ext cx="1548765" cy="5153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Metalmecánica</a:t>
          </a:r>
          <a:endParaRPr lang="es-CO" sz="1200" b="1" i="1"/>
        </a:p>
      </xdr:txBody>
    </xdr:sp>
    <xdr:clientData/>
  </xdr:twoCellAnchor>
  <xdr:twoCellAnchor>
    <xdr:from>
      <xdr:col>15</xdr:col>
      <xdr:colOff>541019</xdr:colOff>
      <xdr:row>4</xdr:row>
      <xdr:rowOff>44771</xdr:rowOff>
    </xdr:from>
    <xdr:to>
      <xdr:col>17</xdr:col>
      <xdr:colOff>518159</xdr:colOff>
      <xdr:row>7</xdr:row>
      <xdr:rowOff>60011</xdr:rowOff>
    </xdr:to>
    <xdr:sp macro="[0]!ER_Plasticos" textlink="">
      <xdr:nvSpPr>
        <xdr:cNvPr id="7" name="Rectángulo 6">
          <a:extLst>
            <a:ext uri="{FF2B5EF4-FFF2-40B4-BE49-F238E27FC236}">
              <a16:creationId xmlns:a16="http://schemas.microsoft.com/office/drawing/2014/main" id="{10FE341E-EFCB-4CF6-8B86-B240EC3B41CC}"/>
            </a:ext>
          </a:extLst>
        </xdr:cNvPr>
        <xdr:cNvSpPr/>
      </xdr:nvSpPr>
      <xdr:spPr>
        <a:xfrm>
          <a:off x="11780519" y="768671"/>
          <a:ext cx="1548765" cy="51530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Estado</a:t>
          </a:r>
          <a:r>
            <a:rPr lang="es-CO" sz="1200" b="0" baseline="0"/>
            <a:t> de Resultados</a:t>
          </a:r>
        </a:p>
        <a:p>
          <a:pPr algn="ctr"/>
          <a:r>
            <a:rPr lang="es-CO" sz="1200" b="1" i="1" baseline="0"/>
            <a:t>Plásticos</a:t>
          </a:r>
          <a:endParaRPr lang="es-CO" sz="12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42160</xdr:rowOff>
    </xdr:from>
    <xdr:to>
      <xdr:col>9</xdr:col>
      <xdr:colOff>660399</xdr:colOff>
      <xdr:row>107</xdr:row>
      <xdr:rowOff>156031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697948-CBDE-11A9-65C3-5146DC18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160"/>
          <a:ext cx="7645399" cy="18232538"/>
        </a:xfrm>
        <a:prstGeom prst="rect">
          <a:avLst/>
        </a:prstGeom>
      </xdr:spPr>
    </xdr:pic>
    <xdr:clientData/>
  </xdr:twoCellAnchor>
  <xdr:twoCellAnchor editAs="oneCell">
    <xdr:from>
      <xdr:col>9</xdr:col>
      <xdr:colOff>702735</xdr:colOff>
      <xdr:row>0</xdr:row>
      <xdr:rowOff>0</xdr:rowOff>
    </xdr:from>
    <xdr:to>
      <xdr:col>23</xdr:col>
      <xdr:colOff>413372</xdr:colOff>
      <xdr:row>56</xdr:row>
      <xdr:rowOff>86005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DD98653-34C7-1076-C364-D6B313B7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7735" y="0"/>
          <a:ext cx="11166037" cy="95686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adriana_bernal_tercol_com_co/Documents/Documents/Adriana/INFORMES/INFORMES%20FINANCIEROS%20MENSUALES/2026/ESTADODERESULTADOS2026-Tercol.xls" TargetMode="External"/><Relationship Id="rId2" Type="http://schemas.openxmlformats.org/officeDocument/2006/relationships/externalLinkPath" Target="https://tercol585-my.sharepoint.com/personal/adriana_bernal_tercol_com_co/Documents/Documents/Adriana/INFORMES/INFORMES%20FINANCIEROS%20MENSUALES/2026/ESTADODERESULTADOS2026-Tercol.xls" TargetMode="External"/><Relationship Id="rId1" Type="http://schemas.openxmlformats.org/officeDocument/2006/relationships/externalLinkPath" Target="/personal/adriana_bernal_tercol_com_co/Documents/Documents/Adriana/INFORMES/INFORMES%20FINANCIEROS%20MENSUALES/2026/ESTADODERESULTADOS2026-Terco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NE"/>
      <sheetName val="FEB"/>
      <sheetName val="MAR"/>
      <sheetName val="A FEB"/>
      <sheetName val="A MAR 31"/>
      <sheetName val="Hoja1"/>
      <sheetName val="ABR"/>
      <sheetName val="A ABRIL"/>
      <sheetName val="MAY"/>
      <sheetName val="A MAYO"/>
      <sheetName val="JUN"/>
      <sheetName val="A JUN"/>
      <sheetName val="JUL"/>
      <sheetName val="A JUL"/>
      <sheetName val="AGO"/>
      <sheetName val="A AGO"/>
      <sheetName val="SEPT"/>
      <sheetName val="OCT"/>
      <sheetName val="A SEPT"/>
      <sheetName val="NOV"/>
      <sheetName val="DIC"/>
      <sheetName val="A OCT"/>
      <sheetName val="A NOV"/>
      <sheetName val="A DIC"/>
      <sheetName val="Variaciones%"/>
    </sheetNames>
    <sheetDataSet>
      <sheetData sheetId="0" refreshError="1">
        <row r="7">
          <cell r="C7">
            <v>2888613</v>
          </cell>
          <cell r="F7">
            <v>3495212</v>
          </cell>
          <cell r="I7">
            <v>2847244</v>
          </cell>
        </row>
        <row r="8">
          <cell r="C8">
            <v>470392</v>
          </cell>
          <cell r="F8">
            <v>577803</v>
          </cell>
          <cell r="I8">
            <v>434229</v>
          </cell>
        </row>
        <row r="10">
          <cell r="C10">
            <v>594470</v>
          </cell>
          <cell r="F10">
            <v>350319</v>
          </cell>
          <cell r="I10">
            <v>326175</v>
          </cell>
        </row>
        <row r="12">
          <cell r="C12">
            <v>0</v>
          </cell>
          <cell r="F12">
            <v>29160</v>
          </cell>
          <cell r="I12">
            <v>0</v>
          </cell>
        </row>
        <row r="13">
          <cell r="C13">
            <v>555</v>
          </cell>
          <cell r="F13">
            <v>525</v>
          </cell>
          <cell r="I13">
            <v>1143</v>
          </cell>
        </row>
        <row r="14">
          <cell r="C14">
            <v>-67361</v>
          </cell>
          <cell r="F14">
            <v>-58454</v>
          </cell>
          <cell r="I14">
            <v>-58895</v>
          </cell>
        </row>
        <row r="16">
          <cell r="C16">
            <v>6344158</v>
          </cell>
          <cell r="F16">
            <v>10079749</v>
          </cell>
          <cell r="I16">
            <v>8278719</v>
          </cell>
        </row>
        <row r="17">
          <cell r="C17">
            <v>2463742</v>
          </cell>
          <cell r="F17">
            <v>1200551</v>
          </cell>
          <cell r="I17">
            <v>1669813</v>
          </cell>
        </row>
        <row r="18">
          <cell r="C18">
            <v>-15675</v>
          </cell>
          <cell r="F18">
            <v>-2535</v>
          </cell>
          <cell r="I18">
            <v>-22413</v>
          </cell>
        </row>
        <row r="20">
          <cell r="C20">
            <v>368730</v>
          </cell>
          <cell r="F20">
            <v>451270</v>
          </cell>
          <cell r="I20">
            <v>458453</v>
          </cell>
        </row>
        <row r="21">
          <cell r="C21">
            <v>199438</v>
          </cell>
          <cell r="F21">
            <v>198850</v>
          </cell>
          <cell r="I21">
            <v>205974</v>
          </cell>
        </row>
        <row r="22">
          <cell r="C22">
            <v>208842</v>
          </cell>
          <cell r="F22">
            <v>188047</v>
          </cell>
          <cell r="I22">
            <v>132326</v>
          </cell>
        </row>
        <row r="23">
          <cell r="C23">
            <v>17631</v>
          </cell>
          <cell r="F23">
            <v>19396</v>
          </cell>
          <cell r="I23">
            <v>78787</v>
          </cell>
        </row>
        <row r="25">
          <cell r="C25">
            <v>964329</v>
          </cell>
          <cell r="F25">
            <v>1180507</v>
          </cell>
          <cell r="I25">
            <v>904795</v>
          </cell>
        </row>
        <row r="26">
          <cell r="C26">
            <v>283887</v>
          </cell>
          <cell r="F26">
            <v>360313</v>
          </cell>
          <cell r="I26">
            <v>346593</v>
          </cell>
        </row>
        <row r="28">
          <cell r="C28">
            <v>442454</v>
          </cell>
          <cell r="F28">
            <v>275025</v>
          </cell>
          <cell r="I28">
            <v>246908</v>
          </cell>
        </row>
        <row r="30">
          <cell r="C30">
            <v>0</v>
          </cell>
          <cell r="F30">
            <v>21825</v>
          </cell>
          <cell r="I30">
            <v>0</v>
          </cell>
        </row>
        <row r="31">
          <cell r="C31">
            <v>7020517</v>
          </cell>
          <cell r="F31">
            <v>9393142</v>
          </cell>
          <cell r="I31">
            <v>8278548</v>
          </cell>
        </row>
        <row r="34">
          <cell r="C34">
            <v>99169</v>
          </cell>
          <cell r="F34">
            <v>125341</v>
          </cell>
          <cell r="I34">
            <v>106456</v>
          </cell>
        </row>
        <row r="35">
          <cell r="C35">
            <v>4412</v>
          </cell>
          <cell r="F35">
            <v>7186</v>
          </cell>
          <cell r="I35">
            <v>11092</v>
          </cell>
        </row>
        <row r="37">
          <cell r="C37">
            <v>6123</v>
          </cell>
          <cell r="F37">
            <v>7981</v>
          </cell>
          <cell r="I37">
            <v>6835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247</v>
          </cell>
          <cell r="F39">
            <v>0</v>
          </cell>
          <cell r="I39">
            <v>0</v>
          </cell>
        </row>
        <row r="40">
          <cell r="C40">
            <v>634</v>
          </cell>
          <cell r="F40">
            <v>1088</v>
          </cell>
          <cell r="I40">
            <v>3768</v>
          </cell>
        </row>
        <row r="41">
          <cell r="C41">
            <v>2749</v>
          </cell>
          <cell r="F41">
            <v>363</v>
          </cell>
          <cell r="I41">
            <v>361</v>
          </cell>
        </row>
        <row r="42">
          <cell r="C42">
            <v>5176</v>
          </cell>
          <cell r="F42">
            <v>6440</v>
          </cell>
          <cell r="I42">
            <v>9818</v>
          </cell>
        </row>
        <row r="43">
          <cell r="C43">
            <v>307</v>
          </cell>
          <cell r="F43">
            <v>2650</v>
          </cell>
          <cell r="I43">
            <v>1105</v>
          </cell>
        </row>
        <row r="46">
          <cell r="C46">
            <v>112901</v>
          </cell>
          <cell r="F46">
            <v>146260</v>
          </cell>
          <cell r="I46">
            <v>139888</v>
          </cell>
        </row>
        <row r="47">
          <cell r="C47">
            <v>29312</v>
          </cell>
          <cell r="F47">
            <v>32287</v>
          </cell>
          <cell r="I47">
            <v>27340</v>
          </cell>
        </row>
        <row r="48">
          <cell r="C48">
            <v>0</v>
          </cell>
          <cell r="F48">
            <v>0</v>
          </cell>
          <cell r="I48">
            <v>0</v>
          </cell>
        </row>
        <row r="49">
          <cell r="C49">
            <v>198</v>
          </cell>
          <cell r="F49">
            <v>321</v>
          </cell>
          <cell r="I49">
            <v>73</v>
          </cell>
        </row>
        <row r="50">
          <cell r="C50">
            <v>0</v>
          </cell>
          <cell r="F50">
            <v>0</v>
          </cell>
          <cell r="I50">
            <v>240</v>
          </cell>
        </row>
        <row r="51">
          <cell r="C51">
            <v>0</v>
          </cell>
          <cell r="F51">
            <v>0</v>
          </cell>
          <cell r="I51">
            <v>0</v>
          </cell>
        </row>
        <row r="52">
          <cell r="C52">
            <v>2609</v>
          </cell>
          <cell r="F52">
            <v>374</v>
          </cell>
          <cell r="I52">
            <v>627</v>
          </cell>
        </row>
        <row r="53">
          <cell r="C53">
            <v>4530</v>
          </cell>
          <cell r="F53">
            <v>8448</v>
          </cell>
          <cell r="I53">
            <v>0</v>
          </cell>
        </row>
        <row r="54">
          <cell r="C54">
            <v>1225</v>
          </cell>
          <cell r="F54">
            <v>1417</v>
          </cell>
          <cell r="I54">
            <v>1417</v>
          </cell>
        </row>
        <row r="55">
          <cell r="C55">
            <v>14955</v>
          </cell>
          <cell r="F55">
            <v>9569</v>
          </cell>
          <cell r="I55">
            <v>13100</v>
          </cell>
        </row>
        <row r="58">
          <cell r="C58">
            <v>37192</v>
          </cell>
          <cell r="F58">
            <v>44779</v>
          </cell>
          <cell r="I58">
            <v>44837</v>
          </cell>
        </row>
        <row r="59">
          <cell r="C59">
            <v>2154</v>
          </cell>
          <cell r="F59">
            <v>1738</v>
          </cell>
          <cell r="I59">
            <v>1869</v>
          </cell>
        </row>
        <row r="60">
          <cell r="C60">
            <v>115187</v>
          </cell>
          <cell r="F60">
            <v>116688</v>
          </cell>
          <cell r="I60">
            <v>131196</v>
          </cell>
        </row>
        <row r="61">
          <cell r="C61">
            <v>3961</v>
          </cell>
          <cell r="F61">
            <v>0</v>
          </cell>
          <cell r="I61">
            <v>0</v>
          </cell>
        </row>
        <row r="62">
          <cell r="C62">
            <v>782</v>
          </cell>
          <cell r="F62">
            <v>3039</v>
          </cell>
          <cell r="I62">
            <v>830</v>
          </cell>
        </row>
        <row r="65">
          <cell r="C65">
            <v>67256</v>
          </cell>
          <cell r="F65">
            <v>60453</v>
          </cell>
          <cell r="I65">
            <v>56585</v>
          </cell>
        </row>
        <row r="66">
          <cell r="C66">
            <v>7504</v>
          </cell>
          <cell r="F66">
            <v>0</v>
          </cell>
          <cell r="I66">
            <v>0</v>
          </cell>
        </row>
        <row r="67">
          <cell r="C67">
            <v>25762</v>
          </cell>
          <cell r="F67">
            <v>29183</v>
          </cell>
          <cell r="I67">
            <v>34667</v>
          </cell>
        </row>
        <row r="68">
          <cell r="C68">
            <v>12022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0</v>
          </cell>
          <cell r="I69">
            <v>0</v>
          </cell>
        </row>
        <row r="70">
          <cell r="C70">
            <v>1164</v>
          </cell>
          <cell r="F70">
            <v>919</v>
          </cell>
          <cell r="I70">
            <v>491</v>
          </cell>
        </row>
        <row r="72">
          <cell r="C72">
            <v>807</v>
          </cell>
          <cell r="F72">
            <v>829</v>
          </cell>
          <cell r="I72">
            <v>1456</v>
          </cell>
        </row>
        <row r="73">
          <cell r="C73">
            <v>0</v>
          </cell>
          <cell r="F73">
            <v>348</v>
          </cell>
          <cell r="I73">
            <v>69215</v>
          </cell>
        </row>
        <row r="74">
          <cell r="C74">
            <v>0</v>
          </cell>
          <cell r="F74">
            <v>8615</v>
          </cell>
          <cell r="I74">
            <v>22110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15095</v>
          </cell>
          <cell r="F76">
            <v>17367</v>
          </cell>
          <cell r="I76">
            <v>20708</v>
          </cell>
        </row>
        <row r="77">
          <cell r="C77">
            <v>14215</v>
          </cell>
          <cell r="F77">
            <v>125019</v>
          </cell>
          <cell r="I77">
            <v>7891</v>
          </cell>
        </row>
        <row r="78">
          <cell r="C78">
            <v>163</v>
          </cell>
          <cell r="F78">
            <v>162</v>
          </cell>
          <cell r="I78">
            <v>47</v>
          </cell>
        </row>
        <row r="81">
          <cell r="F81">
            <v>43483</v>
          </cell>
          <cell r="I81">
            <v>127381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0</v>
          </cell>
        </row>
        <row r="85">
          <cell r="F85">
            <v>3764</v>
          </cell>
          <cell r="I85">
            <v>1110</v>
          </cell>
        </row>
        <row r="86">
          <cell r="F86">
            <v>335</v>
          </cell>
          <cell r="I86">
            <v>0</v>
          </cell>
        </row>
        <row r="87">
          <cell r="F87">
            <v>281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98</v>
          </cell>
          <cell r="I90">
            <v>2978</v>
          </cell>
        </row>
      </sheetData>
      <sheetData sheetId="1" refreshError="1">
        <row r="7">
          <cell r="C7">
            <v>3353035</v>
          </cell>
          <cell r="F7">
            <v>3591492</v>
          </cell>
          <cell r="I7">
            <v>3607777</v>
          </cell>
        </row>
        <row r="8">
          <cell r="C8">
            <v>634405</v>
          </cell>
          <cell r="F8">
            <v>584350</v>
          </cell>
          <cell r="I8">
            <v>708846</v>
          </cell>
        </row>
        <row r="10">
          <cell r="C10">
            <v>144200</v>
          </cell>
          <cell r="F10">
            <v>342553</v>
          </cell>
          <cell r="I10">
            <v>408091</v>
          </cell>
        </row>
        <row r="12">
          <cell r="C12">
            <v>0</v>
          </cell>
          <cell r="F12">
            <v>32400</v>
          </cell>
          <cell r="I12">
            <v>11170</v>
          </cell>
        </row>
        <row r="13">
          <cell r="C13">
            <v>21802</v>
          </cell>
          <cell r="F13">
            <v>0</v>
          </cell>
          <cell r="I13">
            <v>13481</v>
          </cell>
        </row>
        <row r="14">
          <cell r="C14">
            <v>-78694</v>
          </cell>
          <cell r="F14">
            <v>-97607</v>
          </cell>
          <cell r="I14">
            <v>-112224</v>
          </cell>
        </row>
        <row r="17">
          <cell r="C17">
            <v>1795529</v>
          </cell>
          <cell r="F17">
            <v>1661932</v>
          </cell>
          <cell r="I17">
            <v>1668694</v>
          </cell>
        </row>
        <row r="18">
          <cell r="C18">
            <v>-31259</v>
          </cell>
          <cell r="F18">
            <v>-5357</v>
          </cell>
          <cell r="I18">
            <v>-7050</v>
          </cell>
        </row>
        <row r="20">
          <cell r="C20">
            <v>405110</v>
          </cell>
          <cell r="F20">
            <v>427313</v>
          </cell>
          <cell r="I20">
            <v>529392</v>
          </cell>
        </row>
        <row r="21">
          <cell r="C21">
            <v>181135</v>
          </cell>
          <cell r="F21">
            <v>211304</v>
          </cell>
          <cell r="I21">
            <v>251211</v>
          </cell>
        </row>
        <row r="22">
          <cell r="C22">
            <v>327934</v>
          </cell>
          <cell r="F22">
            <v>187959</v>
          </cell>
          <cell r="I22">
            <v>278452</v>
          </cell>
        </row>
        <row r="23">
          <cell r="C23">
            <v>19396</v>
          </cell>
          <cell r="F23">
            <v>20440</v>
          </cell>
          <cell r="I23">
            <v>85361</v>
          </cell>
        </row>
        <row r="25">
          <cell r="C25">
            <v>1060633</v>
          </cell>
          <cell r="F25">
            <v>1241121</v>
          </cell>
          <cell r="I25">
            <v>1125319</v>
          </cell>
        </row>
        <row r="26">
          <cell r="C26">
            <v>392094</v>
          </cell>
          <cell r="F26">
            <v>373745</v>
          </cell>
          <cell r="I26">
            <v>549631</v>
          </cell>
        </row>
        <row r="28">
          <cell r="C28">
            <v>109966</v>
          </cell>
          <cell r="F28">
            <v>269855</v>
          </cell>
          <cell r="I28">
            <v>303817</v>
          </cell>
        </row>
        <row r="30">
          <cell r="C30">
            <v>0</v>
          </cell>
          <cell r="F30">
            <v>30000</v>
          </cell>
          <cell r="I30">
            <v>7520</v>
          </cell>
        </row>
        <row r="31">
          <cell r="C31">
            <v>7058531</v>
          </cell>
          <cell r="F31">
            <v>9100563</v>
          </cell>
          <cell r="I31">
            <v>7550681</v>
          </cell>
        </row>
        <row r="34">
          <cell r="C34">
            <v>91574</v>
          </cell>
          <cell r="F34">
            <v>124440</v>
          </cell>
          <cell r="I34">
            <v>144669</v>
          </cell>
        </row>
        <row r="35">
          <cell r="C35">
            <v>6560</v>
          </cell>
          <cell r="F35">
            <v>5975</v>
          </cell>
          <cell r="I35">
            <v>11738</v>
          </cell>
        </row>
        <row r="37">
          <cell r="C37">
            <v>6952</v>
          </cell>
          <cell r="F37">
            <v>5731</v>
          </cell>
          <cell r="I37">
            <v>4345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258</v>
          </cell>
          <cell r="F39">
            <v>0</v>
          </cell>
          <cell r="I39">
            <v>0</v>
          </cell>
        </row>
        <row r="40">
          <cell r="C40">
            <v>1348</v>
          </cell>
          <cell r="F40">
            <v>790</v>
          </cell>
          <cell r="I40">
            <v>3986</v>
          </cell>
        </row>
        <row r="41">
          <cell r="C41">
            <v>2438</v>
          </cell>
          <cell r="F41">
            <v>1539</v>
          </cell>
          <cell r="I41">
            <v>0</v>
          </cell>
        </row>
        <row r="42">
          <cell r="C42">
            <v>375</v>
          </cell>
          <cell r="F42">
            <v>405</v>
          </cell>
          <cell r="I42">
            <v>911</v>
          </cell>
        </row>
        <row r="43">
          <cell r="C43">
            <v>838</v>
          </cell>
          <cell r="F43">
            <v>1636</v>
          </cell>
          <cell r="I43">
            <v>4600</v>
          </cell>
        </row>
        <row r="46">
          <cell r="C46">
            <v>124972</v>
          </cell>
          <cell r="F46">
            <v>136143</v>
          </cell>
          <cell r="I46">
            <v>159410</v>
          </cell>
        </row>
        <row r="47">
          <cell r="C47">
            <v>31867</v>
          </cell>
          <cell r="F47">
            <v>33105</v>
          </cell>
          <cell r="I47">
            <v>37240</v>
          </cell>
        </row>
        <row r="48">
          <cell r="C48">
            <v>0</v>
          </cell>
          <cell r="F48">
            <v>0</v>
          </cell>
          <cell r="I48">
            <v>0</v>
          </cell>
        </row>
        <row r="49">
          <cell r="C49">
            <v>0</v>
          </cell>
          <cell r="F49">
            <v>670</v>
          </cell>
          <cell r="I49">
            <v>614</v>
          </cell>
        </row>
        <row r="50">
          <cell r="C50">
            <v>0</v>
          </cell>
          <cell r="F50">
            <v>20216</v>
          </cell>
          <cell r="I50">
            <v>26412</v>
          </cell>
        </row>
        <row r="51">
          <cell r="C51">
            <v>0</v>
          </cell>
          <cell r="F51">
            <v>0</v>
          </cell>
          <cell r="I51">
            <v>0</v>
          </cell>
        </row>
        <row r="52">
          <cell r="C52">
            <v>308</v>
          </cell>
          <cell r="F52">
            <v>543</v>
          </cell>
          <cell r="I52">
            <v>607</v>
          </cell>
        </row>
        <row r="53">
          <cell r="C53">
            <v>4856</v>
          </cell>
          <cell r="F53">
            <v>9304</v>
          </cell>
          <cell r="I53">
            <v>11778</v>
          </cell>
        </row>
        <row r="54">
          <cell r="C54">
            <v>2054</v>
          </cell>
          <cell r="F54">
            <v>1417</v>
          </cell>
          <cell r="I54">
            <v>1417</v>
          </cell>
        </row>
        <row r="55">
          <cell r="C55">
            <v>12998</v>
          </cell>
          <cell r="F55">
            <v>21920</v>
          </cell>
          <cell r="I55">
            <v>11270</v>
          </cell>
        </row>
        <row r="58">
          <cell r="C58">
            <v>38217</v>
          </cell>
          <cell r="F58">
            <v>39683</v>
          </cell>
          <cell r="I58">
            <v>53385</v>
          </cell>
        </row>
        <row r="59">
          <cell r="C59">
            <v>2550</v>
          </cell>
          <cell r="F59">
            <v>1646</v>
          </cell>
          <cell r="I59">
            <v>2477</v>
          </cell>
        </row>
        <row r="60">
          <cell r="C60">
            <v>153832</v>
          </cell>
          <cell r="F60">
            <v>193090</v>
          </cell>
          <cell r="I60">
            <v>166474</v>
          </cell>
        </row>
        <row r="61">
          <cell r="C61">
            <v>2185</v>
          </cell>
          <cell r="F61">
            <v>0</v>
          </cell>
          <cell r="I61">
            <v>0</v>
          </cell>
        </row>
        <row r="62">
          <cell r="C62">
            <v>505</v>
          </cell>
          <cell r="F62">
            <v>378</v>
          </cell>
          <cell r="I62">
            <v>541</v>
          </cell>
        </row>
        <row r="65">
          <cell r="C65">
            <v>140962</v>
          </cell>
          <cell r="F65">
            <v>51543</v>
          </cell>
          <cell r="I65">
            <v>131218</v>
          </cell>
        </row>
        <row r="66">
          <cell r="C66">
            <v>1707</v>
          </cell>
          <cell r="F66">
            <v>0</v>
          </cell>
          <cell r="I66">
            <v>661</v>
          </cell>
        </row>
        <row r="67">
          <cell r="C67">
            <v>25762</v>
          </cell>
          <cell r="F67">
            <v>29183</v>
          </cell>
          <cell r="I67">
            <v>40000</v>
          </cell>
        </row>
        <row r="68">
          <cell r="C68">
            <v>0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47224</v>
          </cell>
          <cell r="I69">
            <v>300</v>
          </cell>
        </row>
        <row r="70">
          <cell r="C70">
            <v>444</v>
          </cell>
          <cell r="F70">
            <v>923</v>
          </cell>
          <cell r="I70">
            <v>41</v>
          </cell>
        </row>
        <row r="72">
          <cell r="C72">
            <v>1096</v>
          </cell>
          <cell r="F72">
            <v>836</v>
          </cell>
          <cell r="I72">
            <v>1297</v>
          </cell>
        </row>
        <row r="73">
          <cell r="C73">
            <v>0</v>
          </cell>
          <cell r="F73">
            <v>100235</v>
          </cell>
          <cell r="I73">
            <v>-69214</v>
          </cell>
        </row>
        <row r="74">
          <cell r="C74">
            <v>0</v>
          </cell>
          <cell r="F74">
            <v>0</v>
          </cell>
          <cell r="I74">
            <v>0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18078</v>
          </cell>
          <cell r="F76">
            <v>15102</v>
          </cell>
          <cell r="I76">
            <v>35057</v>
          </cell>
        </row>
        <row r="77">
          <cell r="C77">
            <v>13916</v>
          </cell>
          <cell r="F77">
            <v>6254</v>
          </cell>
          <cell r="I77">
            <v>82844</v>
          </cell>
        </row>
        <row r="78">
          <cell r="C78">
            <v>31</v>
          </cell>
          <cell r="F78">
            <v>83</v>
          </cell>
          <cell r="I78">
            <v>245</v>
          </cell>
        </row>
        <row r="81">
          <cell r="F81">
            <v>36069</v>
          </cell>
          <cell r="I81">
            <v>266771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0</v>
          </cell>
        </row>
        <row r="85">
          <cell r="F85">
            <v>6936</v>
          </cell>
          <cell r="I85">
            <v>0</v>
          </cell>
        </row>
        <row r="86">
          <cell r="F86">
            <v>335</v>
          </cell>
          <cell r="I86">
            <v>400</v>
          </cell>
        </row>
        <row r="87">
          <cell r="F87">
            <v>0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0</v>
          </cell>
          <cell r="I90">
            <v>65</v>
          </cell>
        </row>
      </sheetData>
      <sheetData sheetId="2" refreshError="1">
        <row r="7">
          <cell r="C7">
            <v>2294533</v>
          </cell>
          <cell r="F7">
            <v>3471458</v>
          </cell>
          <cell r="I7">
            <v>3417229</v>
          </cell>
        </row>
        <row r="8">
          <cell r="C8">
            <v>373659</v>
          </cell>
          <cell r="F8">
            <v>566580</v>
          </cell>
          <cell r="I8">
            <v>573216</v>
          </cell>
        </row>
        <row r="10">
          <cell r="C10">
            <v>139355</v>
          </cell>
          <cell r="F10">
            <v>289597</v>
          </cell>
          <cell r="I10">
            <v>505010</v>
          </cell>
        </row>
        <row r="12">
          <cell r="C12">
            <v>0</v>
          </cell>
          <cell r="F12">
            <v>93960</v>
          </cell>
          <cell r="I12">
            <v>0</v>
          </cell>
        </row>
        <row r="13">
          <cell r="C13">
            <v>871</v>
          </cell>
          <cell r="F13">
            <v>28861</v>
          </cell>
          <cell r="I13">
            <v>12544</v>
          </cell>
        </row>
        <row r="14">
          <cell r="C14">
            <v>-64945</v>
          </cell>
          <cell r="F14">
            <v>-120194</v>
          </cell>
          <cell r="I14">
            <v>-152770</v>
          </cell>
        </row>
        <row r="17">
          <cell r="C17">
            <v>2036873</v>
          </cell>
          <cell r="F17">
            <v>1682681</v>
          </cell>
          <cell r="I17">
            <v>3355021</v>
          </cell>
        </row>
        <row r="18">
          <cell r="C18">
            <v>-36611</v>
          </cell>
          <cell r="F18">
            <v>-9271</v>
          </cell>
          <cell r="I18">
            <v>-11448</v>
          </cell>
        </row>
        <row r="20">
          <cell r="C20">
            <v>421058</v>
          </cell>
          <cell r="F20">
            <v>498395</v>
          </cell>
          <cell r="I20">
            <v>539490</v>
          </cell>
        </row>
        <row r="21">
          <cell r="C21">
            <v>208861</v>
          </cell>
          <cell r="F21">
            <v>194478</v>
          </cell>
          <cell r="I21">
            <v>270162</v>
          </cell>
        </row>
        <row r="22">
          <cell r="C22">
            <v>286911</v>
          </cell>
          <cell r="F22">
            <v>260558</v>
          </cell>
          <cell r="I22">
            <v>305601</v>
          </cell>
        </row>
        <row r="23">
          <cell r="C23">
            <v>19396</v>
          </cell>
          <cell r="F23">
            <v>20440</v>
          </cell>
          <cell r="I23">
            <v>85361</v>
          </cell>
        </row>
        <row r="25">
          <cell r="C25">
            <v>687828</v>
          </cell>
          <cell r="F25">
            <v>1166213</v>
          </cell>
          <cell r="I25">
            <v>1055003</v>
          </cell>
        </row>
        <row r="26">
          <cell r="C26">
            <v>273050</v>
          </cell>
          <cell r="F26">
            <v>381525</v>
          </cell>
          <cell r="I26">
            <v>462564</v>
          </cell>
        </row>
        <row r="28">
          <cell r="C28">
            <v>105784</v>
          </cell>
          <cell r="F28">
            <v>235271</v>
          </cell>
          <cell r="I28">
            <v>367741</v>
          </cell>
        </row>
        <row r="30">
          <cell r="C30">
            <v>0</v>
          </cell>
          <cell r="F30">
            <v>70325</v>
          </cell>
          <cell r="I30">
            <v>0</v>
          </cell>
        </row>
        <row r="34">
          <cell r="C34">
            <v>92430</v>
          </cell>
          <cell r="F34">
            <v>121650</v>
          </cell>
          <cell r="I34">
            <v>147217</v>
          </cell>
        </row>
        <row r="35">
          <cell r="C35">
            <v>5455</v>
          </cell>
          <cell r="F35">
            <v>7778</v>
          </cell>
          <cell r="I35">
            <v>7879</v>
          </cell>
        </row>
        <row r="37">
          <cell r="C37">
            <v>6123</v>
          </cell>
          <cell r="F37">
            <v>8091</v>
          </cell>
          <cell r="I37">
            <v>6894</v>
          </cell>
        </row>
        <row r="38">
          <cell r="C38">
            <v>0</v>
          </cell>
          <cell r="F38">
            <v>0</v>
          </cell>
          <cell r="I38">
            <v>0</v>
          </cell>
        </row>
        <row r="39">
          <cell r="C39">
            <v>247</v>
          </cell>
          <cell r="F39">
            <v>0</v>
          </cell>
          <cell r="I39">
            <v>0</v>
          </cell>
        </row>
        <row r="40">
          <cell r="C40">
            <v>1757</v>
          </cell>
          <cell r="F40">
            <v>822</v>
          </cell>
          <cell r="I40">
            <v>3693</v>
          </cell>
        </row>
        <row r="41">
          <cell r="C41">
            <v>5635</v>
          </cell>
          <cell r="F41">
            <v>13768</v>
          </cell>
          <cell r="I41">
            <v>13977</v>
          </cell>
        </row>
        <row r="42">
          <cell r="C42">
            <v>376</v>
          </cell>
          <cell r="F42">
            <v>981</v>
          </cell>
          <cell r="I42">
            <v>715</v>
          </cell>
        </row>
        <row r="43">
          <cell r="C43">
            <v>1772</v>
          </cell>
          <cell r="F43">
            <v>2286</v>
          </cell>
          <cell r="I43">
            <v>2509</v>
          </cell>
        </row>
        <row r="46">
          <cell r="C46">
            <v>106273</v>
          </cell>
          <cell r="F46">
            <v>116852</v>
          </cell>
          <cell r="I46">
            <v>181063</v>
          </cell>
        </row>
        <row r="47">
          <cell r="C47">
            <v>21160</v>
          </cell>
          <cell r="F47">
            <v>32644</v>
          </cell>
          <cell r="I47">
            <v>38687</v>
          </cell>
        </row>
        <row r="48">
          <cell r="C48">
            <v>0</v>
          </cell>
          <cell r="F48">
            <v>435</v>
          </cell>
          <cell r="I48">
            <v>0</v>
          </cell>
        </row>
        <row r="49">
          <cell r="C49">
            <v>0</v>
          </cell>
          <cell r="F49">
            <v>639</v>
          </cell>
          <cell r="I49">
            <v>54</v>
          </cell>
        </row>
        <row r="50">
          <cell r="C50">
            <v>0</v>
          </cell>
          <cell r="F50">
            <v>320</v>
          </cell>
          <cell r="I50">
            <v>0</v>
          </cell>
        </row>
        <row r="51">
          <cell r="C51">
            <v>0</v>
          </cell>
          <cell r="F51">
            <v>1172</v>
          </cell>
          <cell r="I51">
            <v>0</v>
          </cell>
        </row>
        <row r="52">
          <cell r="C52">
            <v>0</v>
          </cell>
          <cell r="F52">
            <v>549</v>
          </cell>
          <cell r="I52">
            <v>675</v>
          </cell>
        </row>
        <row r="53">
          <cell r="C53">
            <v>7797</v>
          </cell>
          <cell r="F53">
            <v>4162</v>
          </cell>
          <cell r="I53">
            <v>12016</v>
          </cell>
        </row>
        <row r="54">
          <cell r="C54">
            <v>1225</v>
          </cell>
          <cell r="F54">
            <v>1417</v>
          </cell>
          <cell r="I54">
            <v>1417</v>
          </cell>
        </row>
        <row r="55">
          <cell r="C55">
            <v>12849</v>
          </cell>
          <cell r="F55">
            <v>19721</v>
          </cell>
          <cell r="I55">
            <v>35150</v>
          </cell>
        </row>
        <row r="58">
          <cell r="C58">
            <v>41837</v>
          </cell>
          <cell r="F58">
            <v>35884</v>
          </cell>
          <cell r="I58">
            <v>58736</v>
          </cell>
        </row>
        <row r="59">
          <cell r="C59">
            <v>2179</v>
          </cell>
          <cell r="F59">
            <v>2075</v>
          </cell>
          <cell r="I59">
            <v>2107</v>
          </cell>
        </row>
        <row r="60">
          <cell r="C60">
            <v>126648</v>
          </cell>
          <cell r="F60">
            <v>117998</v>
          </cell>
          <cell r="I60">
            <v>208611</v>
          </cell>
        </row>
        <row r="61">
          <cell r="C61">
            <v>0</v>
          </cell>
          <cell r="F61">
            <v>0</v>
          </cell>
          <cell r="I61">
            <v>0</v>
          </cell>
        </row>
        <row r="62">
          <cell r="C62">
            <v>2588</v>
          </cell>
          <cell r="F62">
            <v>707</v>
          </cell>
          <cell r="I62">
            <v>1127</v>
          </cell>
        </row>
        <row r="65">
          <cell r="C65">
            <v>65282</v>
          </cell>
          <cell r="F65">
            <v>17753</v>
          </cell>
          <cell r="I65">
            <v>18443</v>
          </cell>
        </row>
        <row r="66">
          <cell r="C66">
            <v>0</v>
          </cell>
          <cell r="F66">
            <v>44644</v>
          </cell>
          <cell r="I66">
            <v>16423</v>
          </cell>
        </row>
        <row r="67">
          <cell r="C67">
            <v>25762</v>
          </cell>
          <cell r="F67">
            <v>29183</v>
          </cell>
          <cell r="I67">
            <v>40000</v>
          </cell>
        </row>
        <row r="68">
          <cell r="C68">
            <v>0</v>
          </cell>
          <cell r="F68">
            <v>0</v>
          </cell>
          <cell r="I68">
            <v>0</v>
          </cell>
        </row>
        <row r="69">
          <cell r="C69">
            <v>0</v>
          </cell>
          <cell r="F69">
            <v>40911</v>
          </cell>
          <cell r="I69">
            <v>0</v>
          </cell>
        </row>
        <row r="70">
          <cell r="C70">
            <v>2717</v>
          </cell>
          <cell r="F70">
            <v>2638</v>
          </cell>
          <cell r="I70">
            <v>6</v>
          </cell>
        </row>
        <row r="72">
          <cell r="C72">
            <v>895</v>
          </cell>
          <cell r="F72">
            <v>1094</v>
          </cell>
          <cell r="I72">
            <v>1152</v>
          </cell>
        </row>
        <row r="73">
          <cell r="C73">
            <v>0</v>
          </cell>
          <cell r="F73">
            <v>46697</v>
          </cell>
          <cell r="I73">
            <v>408402</v>
          </cell>
        </row>
        <row r="74">
          <cell r="C74">
            <v>2954</v>
          </cell>
          <cell r="F74">
            <v>55</v>
          </cell>
          <cell r="I74">
            <v>11127</v>
          </cell>
        </row>
        <row r="75">
          <cell r="C75">
            <v>0</v>
          </cell>
          <cell r="F75">
            <v>0</v>
          </cell>
          <cell r="I75">
            <v>0</v>
          </cell>
        </row>
        <row r="76">
          <cell r="C76">
            <v>19452</v>
          </cell>
          <cell r="F76">
            <v>18343</v>
          </cell>
          <cell r="I76">
            <v>31587</v>
          </cell>
        </row>
        <row r="77">
          <cell r="C77">
            <v>24532</v>
          </cell>
          <cell r="F77">
            <v>6254</v>
          </cell>
          <cell r="I77">
            <v>16417</v>
          </cell>
        </row>
        <row r="78">
          <cell r="C78">
            <v>14</v>
          </cell>
          <cell r="F78">
            <v>0</v>
          </cell>
          <cell r="I78">
            <v>35713</v>
          </cell>
        </row>
        <row r="81">
          <cell r="F81">
            <v>45339</v>
          </cell>
          <cell r="I81">
            <v>307307</v>
          </cell>
        </row>
        <row r="82">
          <cell r="F82">
            <v>0</v>
          </cell>
          <cell r="I82">
            <v>0</v>
          </cell>
        </row>
        <row r="83">
          <cell r="F83">
            <v>1972</v>
          </cell>
          <cell r="I83">
            <v>0</v>
          </cell>
        </row>
        <row r="84">
          <cell r="F84">
            <v>0</v>
          </cell>
          <cell r="I84">
            <v>26463</v>
          </cell>
        </row>
        <row r="85">
          <cell r="F85">
            <v>5166</v>
          </cell>
          <cell r="I85">
            <v>797</v>
          </cell>
        </row>
        <row r="86">
          <cell r="F86">
            <v>365</v>
          </cell>
          <cell r="I86">
            <v>411</v>
          </cell>
        </row>
        <row r="87">
          <cell r="F87">
            <v>0</v>
          </cell>
          <cell r="I87">
            <v>0</v>
          </cell>
        </row>
        <row r="88">
          <cell r="F88">
            <v>0</v>
          </cell>
          <cell r="I88">
            <v>0</v>
          </cell>
        </row>
        <row r="89">
          <cell r="F89">
            <v>3555</v>
          </cell>
          <cell r="I89">
            <v>3555</v>
          </cell>
        </row>
        <row r="90">
          <cell r="F90">
            <v>0</v>
          </cell>
          <cell r="I90">
            <v>111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D09E0-1042-4B0B-8C83-20171A409CD9}" name="Tabla13" displayName="Tabla13" ref="A1:V11" totalsRowShown="0" headerRowDxfId="22">
  <autoFilter ref="A1:V11" xr:uid="{000D09E0-1042-4B0B-8C83-20171A409CD9}"/>
  <sortState xmlns:xlrd2="http://schemas.microsoft.com/office/spreadsheetml/2017/richdata2" ref="A2:N11">
    <sortCondition ref="B2:B11"/>
  </sortState>
  <tableColumns count="22">
    <tableColumn id="1" xr3:uid="{22AAB61B-91E9-4B1D-AE3B-78B127E480A2}" name="Año" dataDxfId="21"/>
    <tableColumn id="2" xr3:uid="{3B7869D0-2605-4307-A48A-0AF899B77F9F}" name="Producto" dataDxfId="20"/>
    <tableColumn id="3" xr3:uid="{FF05E92B-0BD7-4217-993E-D625A2E762C2}" name="Ventas Ene" dataDxfId="19"/>
    <tableColumn id="6" xr3:uid="{B719B1D7-C9D4-4DD7-A43A-9BCD33A68233}" name="Costo Ene" dataDxfId="18"/>
    <tableColumn id="9" xr3:uid="{87B0E9BE-F483-47C1-BD5F-E0BD76D9B6D8}" name="Util bruta Ene" dataDxfId="17"/>
    <tableColumn id="12" xr3:uid="{485EBC0C-5B90-4813-AA40-5E3248DB5643}" name="% Margen Ene" dataDxfId="16">
      <calculatedColumnFormula>Tabla13[[#This Row],[Util bruta Ene]]/Tabla13[[#This Row],[Ventas Ene]]</calculatedColumnFormula>
    </tableColumn>
    <tableColumn id="4" xr3:uid="{CF0CCCD9-120C-4C34-8F89-4A11F7287106}" name="Ventas Feb" dataDxfId="15"/>
    <tableColumn id="7" xr3:uid="{16FA7A31-3CFF-4E27-83B5-86437790C199}" name="Costo Feb" dataDxfId="14"/>
    <tableColumn id="10" xr3:uid="{2F3D75B8-D104-4072-BFA7-DDE90CEB5EA8}" name="Util bruta Feb" dataDxfId="13"/>
    <tableColumn id="13" xr3:uid="{051706EE-CBD6-400C-AC6E-8A11BD794DFB}" name="% Margen Feb" dataDxfId="12" dataCellStyle="Porcentaje">
      <calculatedColumnFormula>Tabla13[[#This Row],[Util bruta Feb]]/Tabla13[[#This Row],[Ventas Feb]]</calculatedColumnFormula>
    </tableColumn>
    <tableColumn id="5" xr3:uid="{E7FDF04A-6A0A-42CE-9814-9D239D910857}" name="Ventas Mar" dataDxfId="11"/>
    <tableColumn id="8" xr3:uid="{6309E80B-1086-4445-BFA8-1A2EA1204ED9}" name="Costo Mar" dataDxfId="10"/>
    <tableColumn id="11" xr3:uid="{5E5E6B94-3BB6-44F9-806F-2952672CA5FF}" name="Util bruta Mar" dataDxfId="9"/>
    <tableColumn id="14" xr3:uid="{116E3902-F525-4DF3-8989-284E123AAE51}" name="% Margen Mar" dataDxfId="8" dataCellStyle="Porcentaje">
      <calculatedColumnFormula>Tabla13[[#This Row],[Util bruta Mar]]/Tabla13[[#This Row],[Ventas Mar]]</calculatedColumnFormula>
    </tableColumn>
    <tableColumn id="19" xr3:uid="{A7657FBC-9991-40AA-8826-B4FDEDB0A8F4}" name="Ventas Abr" dataDxfId="7">
      <calculatedColumnFormula>Abr!F10</calculatedColumnFormula>
    </tableColumn>
    <tableColumn id="20" xr3:uid="{F53D40F7-C8CC-480F-A4AC-4E33562DECBB}" name="Costo Abr" dataDxfId="6">
      <calculatedColumnFormula>Abr!F28</calculatedColumnFormula>
    </tableColumn>
    <tableColumn id="21" xr3:uid="{01FEF122-4B12-46C6-9BEF-E3C4DCE956C1}" name="Util bruta Abr" dataDxfId="5">
      <calculatedColumnFormula>Tabla13[[#This Row],[Ventas Abr]]-Tabla13[[#This Row],[Costo Abr]]</calculatedColumnFormula>
    </tableColumn>
    <tableColumn id="22" xr3:uid="{A50644CD-848E-4048-A554-59C06BE419C1}" name="% Margen Abr" dataDxfId="4">
      <calculatedColumnFormula>Tabla13[[#This Row],[Util bruta Abr]]/Tabla13[[#This Row],[Ventas Abr]]</calculatedColumnFormula>
    </tableColumn>
    <tableColumn id="15" xr3:uid="{E5632136-A5B0-4B41-83B6-611B1842DBA6}" name="Total ventas" dataDxfId="3">
      <calculatedColumnFormula>Tabla13[[#This Row],[Ventas Ene]]+Tabla13[[#This Row],[Ventas Feb]]+Tabla13[[#This Row],[Ventas Mar]]+Tabla13[[#This Row],[Ventas Abr]]</calculatedColumnFormula>
    </tableColumn>
    <tableColumn id="16" xr3:uid="{808F1CAA-0D4E-4DFF-88E2-BE950E4D6C8F}" name="Total costo" dataDxfId="2">
      <calculatedColumnFormula>Tabla13[[#This Row],[Costo Ene]]+Tabla13[[#This Row],[Costo Feb]]+Tabla13[[#This Row],[Costo Mar]]+Tabla13[[#This Row],[Costo Abr]]</calculatedColumnFormula>
    </tableColumn>
    <tableColumn id="17" xr3:uid="{4FA88890-6E9D-4F69-B003-9D100D094029}" name="Total Margen" dataDxfId="1">
      <calculatedColumnFormula>Tabla13[[#This Row],[Total ventas]]-Tabla13[[#This Row],[Total costo]]</calculatedColumnFormula>
    </tableColumn>
    <tableColumn id="18" xr3:uid="{D273AB5D-FF4D-4DB0-9753-BCE17FEDE357}" name="% Margen" dataDxfId="0" dataCellStyle="Porcentaje">
      <calculatedColumnFormula>Tabla13[[#This Row],[Total Margen]]/Tabla13[[#This Row],[Total ventas]]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pageSetUpPr fitToPage="1"/>
  </sheetPr>
  <dimension ref="B1:P95"/>
  <sheetViews>
    <sheetView showGridLines="0" zoomScaleNormal="100" workbookViewId="0">
      <pane ySplit="4" topLeftCell="A5" activePane="bottomLeft" state="frozen"/>
      <selection activeCell="J29" sqref="J29"/>
      <selection pane="bottomLeft" activeCell="I33" sqref="I33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10937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2</v>
      </c>
      <c r="F3" s="115"/>
      <c r="G3" s="17"/>
      <c r="H3" s="20"/>
      <c r="I3" s="17"/>
      <c r="J3" s="18"/>
      <c r="L3" s="19" t="str">
        <f>E3</f>
        <v>ENERO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7" t="s">
        <v>7</v>
      </c>
      <c r="C5" s="33">
        <f>C6+C9+C13+C14</f>
        <v>3978444</v>
      </c>
      <c r="D5" s="34">
        <v>1</v>
      </c>
      <c r="E5" s="35">
        <f>F5/C5-1</f>
        <v>0.11820500678154566</v>
      </c>
      <c r="F5" s="33">
        <f>F6+F9+F13+F14</f>
        <v>4448716</v>
      </c>
      <c r="G5" s="34">
        <v>1</v>
      </c>
      <c r="H5" s="35">
        <f>I5/F5-1</f>
        <v>-0.16428313248137216</v>
      </c>
      <c r="I5" s="33">
        <f>I6+I9+I13+I14</f>
        <v>3717867</v>
      </c>
      <c r="J5" s="34">
        <v>1</v>
      </c>
      <c r="K5" s="2"/>
    </row>
    <row r="6" spans="2:16" x14ac:dyDescent="0.25">
      <c r="B6" s="48" t="s">
        <v>64</v>
      </c>
      <c r="C6" s="31">
        <f>C7+C8</f>
        <v>3359005</v>
      </c>
      <c r="D6" s="32">
        <f>C6/$C$5</f>
        <v>0.84430118910810359</v>
      </c>
      <c r="E6" s="36">
        <f>F6/C6-1</f>
        <v>0.21256592353985782</v>
      </c>
      <c r="F6" s="31">
        <f>F7+F8</f>
        <v>4073015</v>
      </c>
      <c r="G6" s="32">
        <f>F6/$F$5</f>
        <v>0.9155484413929772</v>
      </c>
      <c r="H6" s="36">
        <f>I6/F6-1</f>
        <v>-0.19433810089086345</v>
      </c>
      <c r="I6" s="31">
        <f>I7+I8</f>
        <v>3281473</v>
      </c>
      <c r="J6" s="32">
        <f>I6/$I$5</f>
        <v>0.88262248219207406</v>
      </c>
    </row>
    <row r="7" spans="2:16" x14ac:dyDescent="0.25">
      <c r="B7" s="28" t="s">
        <v>67</v>
      </c>
      <c r="C7" s="4">
        <f>3359005-C8</f>
        <v>2888613</v>
      </c>
      <c r="D7" s="11">
        <f>C7/C5</f>
        <v>0.72606601978059759</v>
      </c>
      <c r="E7" s="37">
        <f t="shared" ref="E7:E14" si="0">F7/C7-1</f>
        <v>0.20999663160139481</v>
      </c>
      <c r="F7" s="4">
        <f>4073015-F8</f>
        <v>3495212</v>
      </c>
      <c r="G7" s="11">
        <f>F7/$F$5</f>
        <v>0.78566759487456606</v>
      </c>
      <c r="H7" s="37">
        <f t="shared" ref="H7:H14" si="1">I7/F7-1</f>
        <v>-0.18538732414514481</v>
      </c>
      <c r="I7" s="4">
        <f>3281473-I8</f>
        <v>2847244</v>
      </c>
      <c r="J7" s="11">
        <f t="shared" ref="J7:J14" si="2">I7/$I$5</f>
        <v>0.76582728752803686</v>
      </c>
    </row>
    <row r="8" spans="2:16" x14ac:dyDescent="0.25">
      <c r="B8" s="28" t="s">
        <v>68</v>
      </c>
      <c r="C8" s="4">
        <v>470392</v>
      </c>
      <c r="D8" s="11">
        <f t="shared" ref="D8:D14" si="3">C8/$C$5</f>
        <v>0.11823516932750593</v>
      </c>
      <c r="E8" s="37">
        <f t="shared" si="0"/>
        <v>0.22834359427881434</v>
      </c>
      <c r="F8" s="4">
        <v>577803</v>
      </c>
      <c r="G8" s="11">
        <f>F8/$F$5</f>
        <v>0.12988084651841114</v>
      </c>
      <c r="H8" s="37">
        <f t="shared" si="1"/>
        <v>-0.2484826143166442</v>
      </c>
      <c r="I8" s="4">
        <v>434229</v>
      </c>
      <c r="J8" s="11">
        <f t="shared" si="2"/>
        <v>0.11679519466403721</v>
      </c>
    </row>
    <row r="9" spans="2:16" x14ac:dyDescent="0.25">
      <c r="B9" s="48" t="s">
        <v>65</v>
      </c>
      <c r="C9" s="31">
        <f>C10+C11+C12</f>
        <v>686245</v>
      </c>
      <c r="D9" s="32">
        <f t="shared" si="3"/>
        <v>0.17249080293702765</v>
      </c>
      <c r="E9" s="36">
        <f t="shared" si="0"/>
        <v>-0.36811197167192478</v>
      </c>
      <c r="F9" s="31">
        <f>F10+F11+F12</f>
        <v>433630</v>
      </c>
      <c r="G9" s="32">
        <f>F9/$F$5</f>
        <v>9.7473068633736115E-2</v>
      </c>
      <c r="H9" s="36">
        <f>I9/F9-1</f>
        <v>0.1395567649839724</v>
      </c>
      <c r="I9" s="31">
        <f>I10+I11+I12</f>
        <v>494146</v>
      </c>
      <c r="J9" s="32">
        <f t="shared" si="2"/>
        <v>0.13291115577829976</v>
      </c>
    </row>
    <row r="10" spans="2:16" x14ac:dyDescent="0.25">
      <c r="B10" s="28" t="s">
        <v>69</v>
      </c>
      <c r="C10" s="4">
        <v>594470</v>
      </c>
      <c r="D10" s="11">
        <f t="shared" si="3"/>
        <v>0.14942273914123211</v>
      </c>
      <c r="E10" s="37">
        <f t="shared" si="0"/>
        <v>-0.41070365199253112</v>
      </c>
      <c r="F10" s="4">
        <v>350319</v>
      </c>
      <c r="G10" s="11">
        <f>F10/$F$5</f>
        <v>7.874609213085304E-2</v>
      </c>
      <c r="H10" s="37">
        <f>I10/F10-1</f>
        <v>-6.8920041447937397E-2</v>
      </c>
      <c r="I10" s="4">
        <v>326175</v>
      </c>
      <c r="J10" s="11">
        <f t="shared" si="2"/>
        <v>8.7731755869696254E-2</v>
      </c>
    </row>
    <row r="11" spans="2:16" x14ac:dyDescent="0.25">
      <c r="B11" s="28" t="s">
        <v>70</v>
      </c>
      <c r="C11" s="4">
        <v>91775</v>
      </c>
      <c r="D11" s="11">
        <f t="shared" si="3"/>
        <v>2.3068063795795544E-2</v>
      </c>
      <c r="E11" s="37">
        <f t="shared" si="0"/>
        <v>-0.4099591391991283</v>
      </c>
      <c r="F11" s="4">
        <v>54151</v>
      </c>
      <c r="G11" s="11">
        <f t="shared" ref="G11:G12" si="4">F11/$F$5</f>
        <v>1.2172276225319845E-2</v>
      </c>
      <c r="H11" s="37">
        <f t="shared" si="1"/>
        <v>2.1019002419161232</v>
      </c>
      <c r="I11" s="4">
        <v>167971</v>
      </c>
      <c r="J11" s="11">
        <f>I11/$I$5</f>
        <v>4.5179399908603507E-2</v>
      </c>
    </row>
    <row r="12" spans="2:16" x14ac:dyDescent="0.25">
      <c r="B12" s="28" t="s">
        <v>71</v>
      </c>
      <c r="C12" s="4">
        <v>0</v>
      </c>
      <c r="D12" s="11">
        <f t="shared" si="3"/>
        <v>0</v>
      </c>
      <c r="E12" s="37">
        <v>0</v>
      </c>
      <c r="F12" s="4">
        <v>29160</v>
      </c>
      <c r="G12" s="11">
        <f t="shared" si="4"/>
        <v>6.5547002775632338E-3</v>
      </c>
      <c r="H12" s="37">
        <f t="shared" si="1"/>
        <v>-1</v>
      </c>
      <c r="I12" s="4">
        <v>0</v>
      </c>
      <c r="J12" s="11">
        <f t="shared" si="2"/>
        <v>0</v>
      </c>
    </row>
    <row r="13" spans="2:16" x14ac:dyDescent="0.25">
      <c r="B13" s="48" t="s">
        <v>74</v>
      </c>
      <c r="C13" s="31">
        <v>555</v>
      </c>
      <c r="D13" s="32">
        <f t="shared" si="3"/>
        <v>1.3950177506582976E-4</v>
      </c>
      <c r="E13" s="36">
        <f t="shared" si="0"/>
        <v>-5.4054054054054057E-2</v>
      </c>
      <c r="F13" s="31">
        <v>525</v>
      </c>
      <c r="G13" s="32">
        <f>F13/$F$5</f>
        <v>1.1801157907135453E-4</v>
      </c>
      <c r="H13" s="36">
        <f t="shared" si="1"/>
        <v>1.177142857142857</v>
      </c>
      <c r="I13" s="31">
        <v>1143</v>
      </c>
      <c r="J13" s="32">
        <f t="shared" si="2"/>
        <v>3.0743434340174084E-4</v>
      </c>
      <c r="K13" s="12"/>
      <c r="O13" s="2"/>
      <c r="P13" s="9"/>
    </row>
    <row r="14" spans="2:16" x14ac:dyDescent="0.25">
      <c r="B14" s="48" t="s">
        <v>8</v>
      </c>
      <c r="C14" s="31">
        <v>-67361</v>
      </c>
      <c r="D14" s="32">
        <f t="shared" si="3"/>
        <v>-1.6931493820197041E-2</v>
      </c>
      <c r="E14" s="36">
        <f t="shared" si="0"/>
        <v>-0.13222784697376821</v>
      </c>
      <c r="F14" s="31">
        <v>-58454</v>
      </c>
      <c r="G14" s="32">
        <f>F14/$F$5</f>
        <v>-1.3139521605784681E-2</v>
      </c>
      <c r="H14" s="36">
        <f t="shared" si="1"/>
        <v>7.5443938823689383E-3</v>
      </c>
      <c r="I14" s="31">
        <v>-58895</v>
      </c>
      <c r="J14" s="32">
        <f t="shared" si="2"/>
        <v>-1.5841072313775614E-2</v>
      </c>
    </row>
    <row r="15" spans="2:16" x14ac:dyDescent="0.25">
      <c r="B15" s="49" t="s">
        <v>9</v>
      </c>
      <c r="C15" s="38">
        <f>C19+C24+C27</f>
        <v>2566349</v>
      </c>
      <c r="D15" s="10">
        <f>C15/C5</f>
        <v>0.64506349718633715</v>
      </c>
      <c r="E15" s="13">
        <f>F15/C15-1</f>
        <v>9.0994249028483631E-2</v>
      </c>
      <c r="F15" s="38">
        <f>F19+F24+F27</f>
        <v>2799872</v>
      </c>
      <c r="G15" s="10">
        <f>F15/$F$5</f>
        <v>0.62936631603366</v>
      </c>
      <c r="H15" s="13">
        <f>I15/F15-1</f>
        <v>-9.8847733039224672E-2</v>
      </c>
      <c r="I15" s="38">
        <f>I19+I24+I27</f>
        <v>2523111</v>
      </c>
      <c r="J15" s="10">
        <f>I15/$I$5</f>
        <v>0.6786447713164564</v>
      </c>
      <c r="K15" s="2"/>
    </row>
    <row r="16" spans="2:16" x14ac:dyDescent="0.25">
      <c r="B16" s="50" t="s">
        <v>10</v>
      </c>
      <c r="C16" s="51">
        <v>6344158</v>
      </c>
      <c r="D16" s="52"/>
      <c r="E16" s="53"/>
      <c r="F16" s="51">
        <v>10079749</v>
      </c>
      <c r="G16" s="52"/>
      <c r="H16" s="53"/>
      <c r="I16" s="51">
        <v>8278719</v>
      </c>
      <c r="J16" s="54"/>
      <c r="K16" s="2"/>
    </row>
    <row r="17" spans="2:15" x14ac:dyDescent="0.25">
      <c r="B17" s="28" t="s">
        <v>11</v>
      </c>
      <c r="C17" s="4">
        <v>2463742</v>
      </c>
      <c r="D17" s="10"/>
      <c r="E17" s="37">
        <f>F17/C17-1</f>
        <v>-0.51271237004524006</v>
      </c>
      <c r="F17" s="4">
        <f>1152946+47605</f>
        <v>1200551</v>
      </c>
      <c r="G17" s="10"/>
      <c r="H17" s="37">
        <f>I17/F17-1</f>
        <v>0.39087219118554728</v>
      </c>
      <c r="I17" s="4">
        <v>1669813</v>
      </c>
      <c r="J17" s="39"/>
      <c r="K17" s="2"/>
    </row>
    <row r="18" spans="2:15" x14ac:dyDescent="0.25">
      <c r="B18" s="28" t="s">
        <v>13</v>
      </c>
      <c r="C18" s="4">
        <v>-15675</v>
      </c>
      <c r="D18" s="10"/>
      <c r="E18" s="37"/>
      <c r="F18" s="4">
        <v>-2535</v>
      </c>
      <c r="G18" s="10"/>
      <c r="H18" s="37"/>
      <c r="I18" s="4">
        <v>-22413</v>
      </c>
      <c r="J18" s="39"/>
      <c r="K18" s="2"/>
    </row>
    <row r="19" spans="2:15" x14ac:dyDescent="0.25">
      <c r="B19" s="48" t="s">
        <v>12</v>
      </c>
      <c r="C19" s="31">
        <f>SUM(C20:C23)</f>
        <v>794641</v>
      </c>
      <c r="D19" s="32">
        <f>C19/$C$5</f>
        <v>0.19973663070285769</v>
      </c>
      <c r="E19" s="36">
        <f>F19/C19-1</f>
        <v>0.15177671426468042</v>
      </c>
      <c r="F19" s="31">
        <f>SUM(F20:F23)</f>
        <v>915249</v>
      </c>
      <c r="G19" s="32">
        <f>F19/$F$5</f>
        <v>0.20573329473043458</v>
      </c>
      <c r="H19" s="36">
        <f>I19/F19-1</f>
        <v>-4.3386007523635639E-2</v>
      </c>
      <c r="I19" s="31">
        <f>SUM(I20:I23)</f>
        <v>875540</v>
      </c>
      <c r="J19" s="32">
        <f>I19/$I$5</f>
        <v>0.23549524498859159</v>
      </c>
      <c r="K19" s="2"/>
      <c r="L19" s="2"/>
      <c r="O19" s="2"/>
    </row>
    <row r="20" spans="2:15" x14ac:dyDescent="0.25">
      <c r="B20" s="28" t="s">
        <v>75</v>
      </c>
      <c r="C20" s="4">
        <v>368730</v>
      </c>
      <c r="D20" s="11">
        <f t="shared" ref="D20" si="5">C20/$C$5</f>
        <v>9.2681963099141271E-2</v>
      </c>
      <c r="E20" s="37">
        <f t="shared" ref="E20" si="6">F20/C20-1</f>
        <v>0.22384942912157957</v>
      </c>
      <c r="F20" s="4">
        <v>451270</v>
      </c>
      <c r="G20" s="11">
        <f t="shared" ref="G20" si="7">F20/$F$5</f>
        <v>0.10143825769053363</v>
      </c>
      <c r="H20" s="37">
        <f t="shared" ref="H20" si="8">I20/F20-1</f>
        <v>1.5917300064263173E-2</v>
      </c>
      <c r="I20" s="4">
        <v>458453</v>
      </c>
      <c r="J20" s="11">
        <f>I20/$I$5</f>
        <v>0.12331075856129334</v>
      </c>
      <c r="K20" s="2"/>
      <c r="L20" s="2"/>
      <c r="O20" s="2"/>
    </row>
    <row r="21" spans="2:15" x14ac:dyDescent="0.25">
      <c r="B21" s="28" t="s">
        <v>76</v>
      </c>
      <c r="C21" s="4">
        <v>199438</v>
      </c>
      <c r="D21" s="11">
        <f>C21/$C$5</f>
        <v>5.012964867671884E-2</v>
      </c>
      <c r="E21" s="37">
        <f>F21/C21-1</f>
        <v>-2.9482846799506746E-3</v>
      </c>
      <c r="F21" s="4">
        <v>198850</v>
      </c>
      <c r="G21" s="11">
        <f>F21/$F$5</f>
        <v>4.4698290473026377E-2</v>
      </c>
      <c r="H21" s="37">
        <f>I21/F21-1</f>
        <v>3.5825999497108407E-2</v>
      </c>
      <c r="I21" s="4">
        <v>205974</v>
      </c>
      <c r="J21" s="11">
        <f>I21/$I$5</f>
        <v>5.5401121126710556E-2</v>
      </c>
      <c r="K21" s="2"/>
      <c r="L21" s="2"/>
      <c r="O21" s="2"/>
    </row>
    <row r="22" spans="2:15" x14ac:dyDescent="0.25">
      <c r="B22" s="28" t="s">
        <v>77</v>
      </c>
      <c r="C22" s="4">
        <f>192396+34077-C23</f>
        <v>208842</v>
      </c>
      <c r="D22" s="11">
        <f t="shared" ref="D22:D23" si="9">C22/$C$5</f>
        <v>5.2493386861798233E-2</v>
      </c>
      <c r="E22" s="37">
        <f t="shared" ref="E22:E23" si="10">F22/C22-1</f>
        <v>-9.9572882849235267E-2</v>
      </c>
      <c r="F22" s="4">
        <f>180990+26453+45000+12686-F23</f>
        <v>188047</v>
      </c>
      <c r="G22" s="11">
        <f t="shared" ref="G22:G23" si="11">F22/$F$5</f>
        <v>4.2269949351678104E-2</v>
      </c>
      <c r="H22" s="37">
        <f t="shared" ref="H22:H23" si="12">I22/F22-1</f>
        <v>-0.29631421931751101</v>
      </c>
      <c r="I22" s="4">
        <f>207888+3225-I23</f>
        <v>132326</v>
      </c>
      <c r="J22" s="11">
        <f t="shared" ref="J22:J23" si="13">I22/$I$5</f>
        <v>3.559191332019139E-2</v>
      </c>
      <c r="K22" s="2"/>
      <c r="L22" s="2"/>
      <c r="O22" s="2"/>
    </row>
    <row r="23" spans="2:15" x14ac:dyDescent="0.25">
      <c r="B23" s="28" t="s">
        <v>61</v>
      </c>
      <c r="C23" s="4">
        <v>17631</v>
      </c>
      <c r="D23" s="11">
        <f t="shared" si="9"/>
        <v>4.4316320651993594E-3</v>
      </c>
      <c r="E23" s="37">
        <f t="shared" si="10"/>
        <v>3.3719584822188189</v>
      </c>
      <c r="F23" s="4">
        <f>19396+45000+12686</f>
        <v>77082</v>
      </c>
      <c r="G23" s="11">
        <f t="shared" si="11"/>
        <v>1.7326797215196473E-2</v>
      </c>
      <c r="H23" s="37">
        <f t="shared" si="12"/>
        <v>2.2119301523053414E-2</v>
      </c>
      <c r="I23" s="4">
        <v>78787</v>
      </c>
      <c r="J23" s="11">
        <f t="shared" si="13"/>
        <v>2.1191451980396285E-2</v>
      </c>
      <c r="K23" s="2"/>
      <c r="L23" s="2"/>
      <c r="O23" s="2"/>
    </row>
    <row r="24" spans="2:15" x14ac:dyDescent="0.25">
      <c r="B24" s="48" t="s">
        <v>78</v>
      </c>
      <c r="C24" s="31">
        <f>C25+C26</f>
        <v>1248216</v>
      </c>
      <c r="D24" s="32">
        <f>C24/C5</f>
        <v>0.31374477056859418</v>
      </c>
      <c r="E24" s="36">
        <f>F24/C24-1</f>
        <v>0.23441776102853984</v>
      </c>
      <c r="F24" s="31">
        <f>F25+F26</f>
        <v>1540820</v>
      </c>
      <c r="G24" s="32">
        <f>F24/$F$5</f>
        <v>0.34635162145661802</v>
      </c>
      <c r="H24" s="36">
        <f>I24/F24-1</f>
        <v>-0.1878428369309848</v>
      </c>
      <c r="I24" s="31">
        <f>I25+I26</f>
        <v>1251388</v>
      </c>
      <c r="J24" s="32">
        <f>I24/$I$5</f>
        <v>0.33658761865338377</v>
      </c>
      <c r="K24" s="2"/>
    </row>
    <row r="25" spans="2:15" x14ac:dyDescent="0.25">
      <c r="B25" s="28" t="s">
        <v>67</v>
      </c>
      <c r="C25" s="4">
        <v>964329</v>
      </c>
      <c r="D25" s="11"/>
      <c r="E25" s="23"/>
      <c r="F25" s="4">
        <f>1540820-F26</f>
        <v>1180507</v>
      </c>
      <c r="G25" s="21"/>
      <c r="H25" s="23"/>
      <c r="I25" s="4">
        <f>1251388-I26</f>
        <v>904795</v>
      </c>
      <c r="J25" s="11"/>
      <c r="K25" s="2"/>
    </row>
    <row r="26" spans="2:15" x14ac:dyDescent="0.25">
      <c r="B26" s="28" t="s">
        <v>68</v>
      </c>
      <c r="C26" s="4">
        <v>283887</v>
      </c>
      <c r="D26" s="11"/>
      <c r="E26" s="23"/>
      <c r="F26" s="4">
        <v>360313</v>
      </c>
      <c r="G26" s="21"/>
      <c r="H26" s="23"/>
      <c r="I26" s="4">
        <v>346593</v>
      </c>
      <c r="J26" s="11"/>
      <c r="K26" s="2"/>
    </row>
    <row r="27" spans="2:15" x14ac:dyDescent="0.25">
      <c r="B27" s="48" t="s">
        <v>66</v>
      </c>
      <c r="C27" s="31">
        <f>C28+C29+C30</f>
        <v>523492</v>
      </c>
      <c r="D27" s="32">
        <f>C27/C5</f>
        <v>0.13158209591488532</v>
      </c>
      <c r="E27" s="36">
        <f>F27/C27-1</f>
        <v>-0.34325070870232977</v>
      </c>
      <c r="F27" s="31">
        <f>F28+F29+F30</f>
        <v>343803</v>
      </c>
      <c r="G27" s="32">
        <f>F27/$F$5</f>
        <v>7.7281399846607424E-2</v>
      </c>
      <c r="H27" s="36">
        <f>I27/F27-1</f>
        <v>0.1523546914948386</v>
      </c>
      <c r="I27" s="31">
        <f>I28+I29+I30</f>
        <v>396183</v>
      </c>
      <c r="J27" s="32">
        <f>I27/$I$5</f>
        <v>0.10656190767448109</v>
      </c>
      <c r="K27" s="2"/>
    </row>
    <row r="28" spans="2:15" x14ac:dyDescent="0.25">
      <c r="B28" s="28" t="s">
        <v>69</v>
      </c>
      <c r="C28" s="4">
        <v>442454</v>
      </c>
      <c r="D28" s="11">
        <f>C28/C10</f>
        <v>0.7442831429676855</v>
      </c>
      <c r="E28" s="23"/>
      <c r="F28" s="4">
        <v>275025</v>
      </c>
      <c r="G28" s="11">
        <f>F28/F10</f>
        <v>0.7850701788940937</v>
      </c>
      <c r="H28" s="23"/>
      <c r="I28" s="4">
        <v>246908</v>
      </c>
      <c r="J28" s="11">
        <f>I28/I10</f>
        <v>0.75698014869318619</v>
      </c>
      <c r="K28" s="2"/>
    </row>
    <row r="29" spans="2:15" x14ac:dyDescent="0.25">
      <c r="B29" s="28" t="s">
        <v>70</v>
      </c>
      <c r="C29" s="4">
        <v>81038</v>
      </c>
      <c r="D29" s="11">
        <f>C29/C11</f>
        <v>0.88300735494415694</v>
      </c>
      <c r="E29" s="23"/>
      <c r="F29" s="4">
        <v>46953</v>
      </c>
      <c r="G29" s="11">
        <f>F29/F11</f>
        <v>0.86707540026961649</v>
      </c>
      <c r="H29" s="23"/>
      <c r="I29" s="4">
        <v>149275</v>
      </c>
      <c r="J29" s="11">
        <f>I29/I11</f>
        <v>0.88869507236368184</v>
      </c>
      <c r="K29" s="2"/>
    </row>
    <row r="30" spans="2:15" x14ac:dyDescent="0.25">
      <c r="B30" s="28" t="s">
        <v>71</v>
      </c>
      <c r="C30" s="4">
        <v>0</v>
      </c>
      <c r="D30" s="11"/>
      <c r="E30" s="23"/>
      <c r="F30" s="4">
        <v>21825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7020517</v>
      </c>
      <c r="D31" s="55"/>
      <c r="E31" s="53"/>
      <c r="F31" s="51">
        <f>F16+F17+F19+F18-F15</f>
        <v>9393142</v>
      </c>
      <c r="G31" s="55"/>
      <c r="H31" s="53"/>
      <c r="I31" s="51">
        <f>I16+I17+I19+I18-I15</f>
        <v>8278548</v>
      </c>
      <c r="J31" s="55"/>
    </row>
    <row r="32" spans="2:15" x14ac:dyDescent="0.25">
      <c r="B32" s="56" t="s">
        <v>15</v>
      </c>
      <c r="C32" s="40">
        <f>C5-C15</f>
        <v>1412095</v>
      </c>
      <c r="D32" s="41">
        <f>C32/$C$5</f>
        <v>0.35493650281366285</v>
      </c>
      <c r="E32" s="42">
        <f>F32/C32-1</f>
        <v>0.16765798335097859</v>
      </c>
      <c r="F32" s="40">
        <f>F5-F15</f>
        <v>1648844</v>
      </c>
      <c r="G32" s="41">
        <f>F32/$F$5</f>
        <v>0.37063368396633994</v>
      </c>
      <c r="H32" s="42">
        <f>I32/F32-1</f>
        <v>-0.2753977938482961</v>
      </c>
      <c r="I32" s="40">
        <f>I5-I15</f>
        <v>1194756</v>
      </c>
      <c r="J32" s="41">
        <f>I32/$I$5</f>
        <v>0.32135522868354355</v>
      </c>
    </row>
    <row r="33" spans="2:12" x14ac:dyDescent="0.25">
      <c r="B33" s="24" t="s">
        <v>16</v>
      </c>
      <c r="C33" s="25">
        <f>SUM(C36:C43)</f>
        <v>118817</v>
      </c>
      <c r="D33" s="26">
        <f>C33/$C$5</f>
        <v>2.9865193527921972E-2</v>
      </c>
      <c r="E33" s="27">
        <f>F33/C33-1</f>
        <v>0.27127431259836565</v>
      </c>
      <c r="F33" s="25">
        <f>SUM(F36:F43)</f>
        <v>151049</v>
      </c>
      <c r="G33" s="26">
        <f>F33/$F$5</f>
        <v>3.3953392394569577E-2</v>
      </c>
      <c r="H33" s="27">
        <f>I33/F33-1</f>
        <v>-7.6888956563764044E-2</v>
      </c>
      <c r="I33" s="25">
        <f>SUM(I36:I43)</f>
        <v>139435</v>
      </c>
      <c r="J33" s="26">
        <f>I33/$I$5</f>
        <v>3.7504031209292854E-2</v>
      </c>
      <c r="K33" s="12"/>
      <c r="L33" s="2"/>
    </row>
    <row r="34" spans="2:12" hidden="1" outlineLevel="1" x14ac:dyDescent="0.25">
      <c r="B34" s="28" t="s">
        <v>17</v>
      </c>
      <c r="C34" s="4">
        <f>133421-C81</f>
        <v>99169</v>
      </c>
      <c r="D34" s="10"/>
      <c r="E34" s="13"/>
      <c r="F34" s="4">
        <v>125341</v>
      </c>
      <c r="G34" s="10"/>
      <c r="H34" s="13"/>
      <c r="I34" s="4">
        <v>106456</v>
      </c>
      <c r="J34" s="10"/>
      <c r="K34" s="12"/>
    </row>
    <row r="35" spans="2:12" hidden="1" outlineLevel="1" x14ac:dyDescent="0.25">
      <c r="B35" s="28" t="s">
        <v>18</v>
      </c>
      <c r="C35" s="4">
        <v>4412</v>
      </c>
      <c r="D35" s="10"/>
      <c r="E35" s="13"/>
      <c r="F35" s="4">
        <v>7186</v>
      </c>
      <c r="G35" s="10"/>
      <c r="H35" s="13"/>
      <c r="I35" s="4">
        <v>11092</v>
      </c>
      <c r="J35" s="10"/>
      <c r="K35" s="2"/>
    </row>
    <row r="36" spans="2:12" collapsed="1" x14ac:dyDescent="0.25">
      <c r="B36" s="48" t="s">
        <v>19</v>
      </c>
      <c r="C36" s="31">
        <f>C34+C35</f>
        <v>103581</v>
      </c>
      <c r="D36" s="32">
        <f t="shared" ref="D36:D44" si="14">C36/$C$33</f>
        <v>0.87176919127734243</v>
      </c>
      <c r="E36" s="36">
        <f>F36/C36-1</f>
        <v>0.27945279539683909</v>
      </c>
      <c r="F36" s="31">
        <f>F34+F35</f>
        <v>132527</v>
      </c>
      <c r="G36" s="32">
        <f>F36/$F$33</f>
        <v>0.87737753973876031</v>
      </c>
      <c r="H36" s="36">
        <f>I36/F36-1</f>
        <v>-0.11302602488549507</v>
      </c>
      <c r="I36" s="31">
        <f>I34+I35</f>
        <v>117548</v>
      </c>
      <c r="J36" s="32">
        <f>I36/$I$33</f>
        <v>0.84303080288306376</v>
      </c>
      <c r="K36" s="2"/>
    </row>
    <row r="37" spans="2:12" x14ac:dyDescent="0.25">
      <c r="B37" s="28" t="s">
        <v>20</v>
      </c>
      <c r="C37" s="4">
        <f>15932-6254-C89</f>
        <v>6123</v>
      </c>
      <c r="D37" s="11">
        <f t="shared" si="14"/>
        <v>5.1533029785300083E-2</v>
      </c>
      <c r="E37" s="13"/>
      <c r="F37" s="4">
        <v>7981</v>
      </c>
      <c r="G37" s="11">
        <f>F37/$F$33</f>
        <v>5.2837158802772607E-2</v>
      </c>
      <c r="H37" s="13"/>
      <c r="I37" s="4">
        <v>6835</v>
      </c>
      <c r="J37" s="11">
        <f>I37/$I$33</f>
        <v>4.9019256284290172E-2</v>
      </c>
    </row>
    <row r="38" spans="2:12" hidden="1" outlineLevel="1" x14ac:dyDescent="0.25">
      <c r="B38" s="28" t="s">
        <v>21</v>
      </c>
      <c r="C38" s="4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">
        <f>6502-C85-380</f>
        <v>247</v>
      </c>
      <c r="D39" s="11">
        <f t="shared" si="14"/>
        <v>2.0788271038656085E-3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4">
        <f>1168-C86-C90</f>
        <v>634</v>
      </c>
      <c r="D40" s="11">
        <f t="shared" si="14"/>
        <v>5.3359367767238696E-3</v>
      </c>
      <c r="E40" s="13"/>
      <c r="F40" s="4">
        <v>1088</v>
      </c>
      <c r="G40" s="11">
        <f t="shared" si="15"/>
        <v>9.1569388218857573E-3</v>
      </c>
      <c r="H40" s="13"/>
      <c r="I40" s="4">
        <v>3768</v>
      </c>
      <c r="J40" s="11">
        <f t="shared" si="16"/>
        <v>3.1712633714030818E-2</v>
      </c>
    </row>
    <row r="41" spans="2:12" hidden="1" outlineLevel="1" x14ac:dyDescent="0.25">
      <c r="B41" s="28" t="s">
        <v>24</v>
      </c>
      <c r="C41" s="4">
        <v>2749</v>
      </c>
      <c r="D41" s="11">
        <f t="shared" si="14"/>
        <v>2.3136419872577158E-2</v>
      </c>
      <c r="E41" s="13"/>
      <c r="F41" s="4">
        <v>363</v>
      </c>
      <c r="G41" s="11">
        <f t="shared" si="15"/>
        <v>3.0551183753166635E-3</v>
      </c>
      <c r="H41" s="13"/>
      <c r="I41" s="4">
        <v>361</v>
      </c>
      <c r="J41" s="11">
        <f t="shared" si="16"/>
        <v>3.038285767188197E-3</v>
      </c>
    </row>
    <row r="42" spans="2:12" hidden="1" outlineLevel="1" x14ac:dyDescent="0.25">
      <c r="B42" s="28" t="s">
        <v>25</v>
      </c>
      <c r="C42" s="4">
        <f>7242-C87</f>
        <v>5176</v>
      </c>
      <c r="D42" s="11">
        <f t="shared" si="14"/>
        <v>4.3562789836471209E-2</v>
      </c>
      <c r="E42" s="13"/>
      <c r="F42" s="4">
        <v>6440</v>
      </c>
      <c r="G42" s="11">
        <f t="shared" si="15"/>
        <v>5.4200998173662016E-2</v>
      </c>
      <c r="H42" s="13"/>
      <c r="I42" s="4">
        <v>9818</v>
      </c>
      <c r="J42" s="11">
        <f t="shared" si="16"/>
        <v>8.2631273302641875E-2</v>
      </c>
    </row>
    <row r="43" spans="2:12" hidden="1" outlineLevel="1" x14ac:dyDescent="0.25">
      <c r="B43" s="28" t="s">
        <v>26</v>
      </c>
      <c r="C43" s="4">
        <v>307</v>
      </c>
      <c r="D43" s="11">
        <f t="shared" si="14"/>
        <v>2.5838053477196025E-3</v>
      </c>
      <c r="E43" s="13"/>
      <c r="F43" s="4">
        <v>2650</v>
      </c>
      <c r="G43" s="11">
        <f t="shared" si="15"/>
        <v>2.2303205770218066E-2</v>
      </c>
      <c r="H43" s="13"/>
      <c r="I43" s="4">
        <v>1105</v>
      </c>
      <c r="J43" s="11">
        <f t="shared" si="16"/>
        <v>9.3000159909777218E-3</v>
      </c>
    </row>
    <row r="44" spans="2:12" collapsed="1" x14ac:dyDescent="0.25">
      <c r="B44" s="48" t="s">
        <v>27</v>
      </c>
      <c r="C44" s="31">
        <f>SUM(C38:C43)</f>
        <v>9113</v>
      </c>
      <c r="D44" s="32">
        <f t="shared" si="14"/>
        <v>7.669777893735745E-2</v>
      </c>
      <c r="E44" s="43"/>
      <c r="F44" s="31">
        <f>SUM(F38:F43)</f>
        <v>10541</v>
      </c>
      <c r="G44" s="32">
        <f>F44/$F$33</f>
        <v>6.9785301458467119E-2</v>
      </c>
      <c r="H44" s="43"/>
      <c r="I44" s="31">
        <f>SUM(I38:I43)</f>
        <v>15052</v>
      </c>
      <c r="J44" s="32">
        <f>I44/$I$33</f>
        <v>0.10794994083264603</v>
      </c>
      <c r="K44" s="2"/>
    </row>
    <row r="45" spans="2:12" x14ac:dyDescent="0.25">
      <c r="B45" s="24" t="s">
        <v>28</v>
      </c>
      <c r="C45" s="25">
        <f>SUM(C46:C55)</f>
        <v>165730</v>
      </c>
      <c r="D45" s="26">
        <f>C45/$C$5</f>
        <v>4.1656989516504442E-2</v>
      </c>
      <c r="E45" s="27">
        <f>F45/C45-1</f>
        <v>0.19879321788451088</v>
      </c>
      <c r="F45" s="25">
        <f>SUM(F46:F55)</f>
        <v>198676</v>
      </c>
      <c r="G45" s="26">
        <f>F45/$F$5</f>
        <v>4.4659178063962725E-2</v>
      </c>
      <c r="H45" s="27">
        <f>I45/F45-1</f>
        <v>-8.0487829430832103E-2</v>
      </c>
      <c r="I45" s="25">
        <f>SUM(I46:I55)</f>
        <v>182685</v>
      </c>
      <c r="J45" s="26">
        <f>I45/$I$5</f>
        <v>4.9137045515614194E-2</v>
      </c>
      <c r="K45" s="12"/>
    </row>
    <row r="46" spans="2:12" x14ac:dyDescent="0.25">
      <c r="B46" s="28" t="s">
        <v>17</v>
      </c>
      <c r="C46" s="4">
        <f>150093-C58</f>
        <v>112901</v>
      </c>
      <c r="D46" s="11">
        <f t="shared" ref="D46:D56" si="17">C46/$C$45</f>
        <v>0.68123453810414525</v>
      </c>
      <c r="E46" s="37">
        <f>F46/C46-1</f>
        <v>0.2954712535761419</v>
      </c>
      <c r="F46" s="4">
        <v>146260</v>
      </c>
      <c r="G46" s="11">
        <f>F46/$F$45</f>
        <v>0.73617346836054687</v>
      </c>
      <c r="H46" s="37">
        <f>I46/F46-1</f>
        <v>-4.3566251880213347E-2</v>
      </c>
      <c r="I46" s="4">
        <v>139888</v>
      </c>
      <c r="J46" s="11">
        <f>I46/$I$45</f>
        <v>0.76573336617675236</v>
      </c>
      <c r="K46" s="12"/>
    </row>
    <row r="47" spans="2:12" x14ac:dyDescent="0.25">
      <c r="B47" s="28" t="s">
        <v>29</v>
      </c>
      <c r="C47" s="4">
        <v>29312</v>
      </c>
      <c r="D47" s="11">
        <f t="shared" si="17"/>
        <v>0.17686598684607494</v>
      </c>
      <c r="E47" s="37">
        <f>F47/C47-1</f>
        <v>0.10149426855895194</v>
      </c>
      <c r="F47" s="4">
        <v>32287</v>
      </c>
      <c r="G47" s="11">
        <f t="shared" ref="G47:G56" si="18">F47/$F$45</f>
        <v>0.16251082163925185</v>
      </c>
      <c r="H47" s="37">
        <f>I47/F47-1</f>
        <v>-0.1532195620528386</v>
      </c>
      <c r="I47" s="4">
        <v>27340</v>
      </c>
      <c r="J47" s="11">
        <f t="shared" ref="J47:J56" si="19">I47/$I$45</f>
        <v>0.14965651257629253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0</v>
      </c>
      <c r="G48" s="11">
        <f t="shared" si="18"/>
        <v>0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198</v>
      </c>
      <c r="D49" s="11">
        <f t="shared" si="17"/>
        <v>1.1947142943341579E-3</v>
      </c>
      <c r="E49" s="13"/>
      <c r="F49" s="4">
        <v>321</v>
      </c>
      <c r="G49" s="11">
        <f t="shared" si="18"/>
        <v>1.6156959069037024E-3</v>
      </c>
      <c r="H49" s="13"/>
      <c r="I49" s="4">
        <v>73</v>
      </c>
      <c r="J49" s="11">
        <f t="shared" si="19"/>
        <v>3.9959493116566765E-4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0</v>
      </c>
      <c r="G50" s="11">
        <f t="shared" si="18"/>
        <v>0</v>
      </c>
      <c r="H50" s="13"/>
      <c r="I50" s="4">
        <v>240</v>
      </c>
      <c r="J50" s="11">
        <f t="shared" si="19"/>
        <v>1.3137367599967158E-3</v>
      </c>
    </row>
    <row r="51" spans="2:11" hidden="1" outlineLevel="1" x14ac:dyDescent="0.25">
      <c r="B51" s="28" t="s">
        <v>31</v>
      </c>
      <c r="C51" s="4">
        <v>0</v>
      </c>
      <c r="D51" s="11">
        <f t="shared" si="17"/>
        <v>0</v>
      </c>
      <c r="E51" s="13"/>
      <c r="F51" s="4">
        <v>0</v>
      </c>
      <c r="G51" s="11">
        <f t="shared" si="18"/>
        <v>0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4">
        <f>2923-314</f>
        <v>2609</v>
      </c>
      <c r="D52" s="11">
        <f t="shared" si="17"/>
        <v>1.5742472696554637E-2</v>
      </c>
      <c r="E52" s="13"/>
      <c r="F52" s="4">
        <v>374</v>
      </c>
      <c r="G52" s="11">
        <f t="shared" si="18"/>
        <v>1.8824618977631923E-3</v>
      </c>
      <c r="H52" s="13"/>
      <c r="I52" s="4">
        <v>627</v>
      </c>
      <c r="J52" s="11">
        <f t="shared" si="19"/>
        <v>3.4321372854914196E-3</v>
      </c>
    </row>
    <row r="53" spans="2:11" hidden="1" outlineLevel="1" x14ac:dyDescent="0.25">
      <c r="B53" s="28" t="s">
        <v>33</v>
      </c>
      <c r="C53" s="4">
        <v>4530</v>
      </c>
      <c r="D53" s="11">
        <f t="shared" si="17"/>
        <v>2.7333614915826948E-2</v>
      </c>
      <c r="E53" s="13"/>
      <c r="F53" s="4">
        <v>8448</v>
      </c>
      <c r="G53" s="11">
        <f t="shared" si="18"/>
        <v>4.2521492278886228E-2</v>
      </c>
      <c r="H53" s="13"/>
      <c r="I53" s="4">
        <v>0</v>
      </c>
      <c r="J53" s="11">
        <f t="shared" si="19"/>
        <v>0</v>
      </c>
    </row>
    <row r="54" spans="2:11" hidden="1" outlineLevel="1" x14ac:dyDescent="0.25">
      <c r="B54" s="28" t="s">
        <v>20</v>
      </c>
      <c r="C54" s="4">
        <f>1980-755</f>
        <v>1225</v>
      </c>
      <c r="D54" s="11">
        <f t="shared" si="17"/>
        <v>7.3915404573704222E-3</v>
      </c>
      <c r="E54" s="13"/>
      <c r="F54" s="4">
        <v>1417</v>
      </c>
      <c r="G54" s="11">
        <f t="shared" si="18"/>
        <v>7.1322152650546622E-3</v>
      </c>
      <c r="H54" s="13"/>
      <c r="I54" s="4">
        <v>1417</v>
      </c>
      <c r="J54" s="11">
        <f t="shared" si="19"/>
        <v>7.7565207871472756E-3</v>
      </c>
    </row>
    <row r="55" spans="2:11" hidden="1" outlineLevel="1" x14ac:dyDescent="0.25">
      <c r="B55" s="28" t="s">
        <v>26</v>
      </c>
      <c r="C55" s="4">
        <f>115374-115187+16151-1185-198</f>
        <v>14955</v>
      </c>
      <c r="D55" s="11">
        <f t="shared" si="17"/>
        <v>9.0237132685693597E-2</v>
      </c>
      <c r="E55" s="13"/>
      <c r="F55" s="4">
        <v>9569</v>
      </c>
      <c r="G55" s="11">
        <f t="shared" si="18"/>
        <v>4.8163844651593547E-2</v>
      </c>
      <c r="H55" s="13"/>
      <c r="I55" s="4">
        <v>13100</v>
      </c>
      <c r="J55" s="11">
        <f t="shared" si="19"/>
        <v>7.1708131483154067E-2</v>
      </c>
      <c r="K55" s="2"/>
    </row>
    <row r="56" spans="2:11" collapsed="1" x14ac:dyDescent="0.25">
      <c r="B56" s="48" t="s">
        <v>34</v>
      </c>
      <c r="C56" s="31">
        <f>SUM(C48:C55)</f>
        <v>23517</v>
      </c>
      <c r="D56" s="32">
        <f t="shared" si="17"/>
        <v>0.14189947504977976</v>
      </c>
      <c r="E56" s="43"/>
      <c r="F56" s="31">
        <f>SUM(F48:F55)</f>
        <v>20129</v>
      </c>
      <c r="G56" s="32">
        <f t="shared" si="18"/>
        <v>0.10131571000020133</v>
      </c>
      <c r="H56" s="43"/>
      <c r="I56" s="31">
        <f>SUM(I48:I55)</f>
        <v>15457</v>
      </c>
      <c r="J56" s="32">
        <f t="shared" si="19"/>
        <v>8.4610121246955147E-2</v>
      </c>
    </row>
    <row r="57" spans="2:11" x14ac:dyDescent="0.25">
      <c r="B57" s="24" t="s">
        <v>59</v>
      </c>
      <c r="C57" s="25">
        <f>SUM(C58:C62)</f>
        <v>159276</v>
      </c>
      <c r="D57" s="26">
        <f>C57/$C$5</f>
        <v>4.0034747252946125E-2</v>
      </c>
      <c r="E57" s="27">
        <f>F57/C57-1</f>
        <v>4.3747959516813539E-2</v>
      </c>
      <c r="F57" s="25">
        <f>SUM(F58:F62)</f>
        <v>166244</v>
      </c>
      <c r="G57" s="26">
        <f>F57/$F$5</f>
        <v>3.736898466883478E-2</v>
      </c>
      <c r="H57" s="27">
        <f t="shared" ref="H57:H64" si="20">I57/F57-1</f>
        <v>7.5118500517311837E-2</v>
      </c>
      <c r="I57" s="25">
        <f>SUM(I58:I62)</f>
        <v>178732</v>
      </c>
      <c r="J57" s="26">
        <f>I57/$I$5</f>
        <v>4.8073801456587878E-2</v>
      </c>
      <c r="K57" s="12"/>
    </row>
    <row r="58" spans="2:11" x14ac:dyDescent="0.25">
      <c r="B58" s="28" t="s">
        <v>17</v>
      </c>
      <c r="C58" s="4">
        <v>37192</v>
      </c>
      <c r="D58" s="11">
        <f>C58/$C$57</f>
        <v>0.23350661744393381</v>
      </c>
      <c r="E58" s="37"/>
      <c r="F58" s="4">
        <v>44779</v>
      </c>
      <c r="G58" s="11">
        <f>F58/$F$57</f>
        <v>0.26935708957917276</v>
      </c>
      <c r="H58" s="37"/>
      <c r="I58" s="4">
        <v>44837</v>
      </c>
      <c r="J58" s="11">
        <f>I58/$I$57</f>
        <v>0.25086162522659622</v>
      </c>
      <c r="K58" s="2"/>
    </row>
    <row r="59" spans="2:11" x14ac:dyDescent="0.25">
      <c r="B59" s="28" t="s">
        <v>35</v>
      </c>
      <c r="C59" s="4">
        <f>2215-61</f>
        <v>2154</v>
      </c>
      <c r="D59" s="11">
        <f>C59/$C$57</f>
        <v>1.3523694718601672E-2</v>
      </c>
      <c r="E59" s="37"/>
      <c r="F59" s="4">
        <v>1738</v>
      </c>
      <c r="G59" s="11">
        <f>F59/$F$57</f>
        <v>1.0454512644065351E-2</v>
      </c>
      <c r="H59" s="37"/>
      <c r="I59" s="4">
        <v>1869</v>
      </c>
      <c r="J59" s="11">
        <f>I59/$I$57</f>
        <v>1.0456997068236242E-2</v>
      </c>
      <c r="K59" s="2"/>
    </row>
    <row r="60" spans="2:11" x14ac:dyDescent="0.25">
      <c r="B60" s="28" t="s">
        <v>36</v>
      </c>
      <c r="C60" s="4">
        <v>115187</v>
      </c>
      <c r="D60" s="11">
        <f>C60/$C$57</f>
        <v>0.72319119013536248</v>
      </c>
      <c r="E60" s="37"/>
      <c r="F60" s="4">
        <v>116688</v>
      </c>
      <c r="G60" s="11">
        <f>F60/$F$57</f>
        <v>0.70190803878636221</v>
      </c>
      <c r="H60" s="37"/>
      <c r="I60" s="4">
        <v>131196</v>
      </c>
      <c r="J60" s="11">
        <f>I60/$I$57</f>
        <v>0.73403755343195398</v>
      </c>
      <c r="K60" s="12"/>
    </row>
    <row r="61" spans="2:11" x14ac:dyDescent="0.25">
      <c r="B61" s="28" t="s">
        <v>37</v>
      </c>
      <c r="C61" s="4">
        <v>3961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4">
        <f>4743-3961</f>
        <v>782</v>
      </c>
      <c r="D62" s="11"/>
      <c r="E62" s="37"/>
      <c r="F62" s="4">
        <f>176+613+2250</f>
        <v>3039</v>
      </c>
      <c r="G62" s="11"/>
      <c r="H62" s="37"/>
      <c r="I62" s="4">
        <f>644+186</f>
        <v>830</v>
      </c>
      <c r="J62" s="11">
        <f>I62/$I$57</f>
        <v>4.643824273213526E-3</v>
      </c>
    </row>
    <row r="63" spans="2:11" x14ac:dyDescent="0.25">
      <c r="B63" s="56" t="s">
        <v>38</v>
      </c>
      <c r="C63" s="40">
        <f>C32-C33-C45-C57</f>
        <v>968272</v>
      </c>
      <c r="D63" s="41">
        <f>C63/$C$5</f>
        <v>0.24337957251629028</v>
      </c>
      <c r="E63" s="42">
        <f>F63/C63-1</f>
        <v>0.16999665383280727</v>
      </c>
      <c r="F63" s="40">
        <f>F32-F33-F45-F57</f>
        <v>1132875</v>
      </c>
      <c r="G63" s="41">
        <f>F63/$F$5</f>
        <v>0.25465212883897287</v>
      </c>
      <c r="H63" s="42">
        <f t="shared" si="20"/>
        <v>-0.38748405605207992</v>
      </c>
      <c r="I63" s="40">
        <f>I32-I33-I45-I57</f>
        <v>693904</v>
      </c>
      <c r="J63" s="41">
        <f>I63/$I$5</f>
        <v>0.18664035050204861</v>
      </c>
      <c r="K63" s="2"/>
    </row>
    <row r="64" spans="2:11" x14ac:dyDescent="0.25">
      <c r="B64" s="24" t="s">
        <v>39</v>
      </c>
      <c r="C64" s="25">
        <f>SUM(C65:C70)</f>
        <v>113708</v>
      </c>
      <c r="D64" s="26">
        <f>C64/$C$5</f>
        <v>2.8581023133667335E-2</v>
      </c>
      <c r="E64" s="27">
        <f>F64/C64-1</f>
        <v>-0.20361803918809585</v>
      </c>
      <c r="F64" s="25">
        <f>SUM(F65:F70)</f>
        <v>90555</v>
      </c>
      <c r="G64" s="26">
        <f>F64/$F$5</f>
        <v>2.0355311510107634E-2</v>
      </c>
      <c r="H64" s="27">
        <f t="shared" si="20"/>
        <v>1.3119098890177261E-2</v>
      </c>
      <c r="I64" s="25">
        <f>SUM(I65:I70)</f>
        <v>91743</v>
      </c>
      <c r="J64" s="26">
        <f>I64/$I$5</f>
        <v>2.4676245815140777E-2</v>
      </c>
    </row>
    <row r="65" spans="2:12" hidden="1" outlineLevel="1" x14ac:dyDescent="0.25">
      <c r="B65" s="28" t="s">
        <v>40</v>
      </c>
      <c r="C65" s="4">
        <v>67256</v>
      </c>
      <c r="D65" s="21"/>
      <c r="E65" s="23"/>
      <c r="F65" s="4">
        <v>60453</v>
      </c>
      <c r="G65" s="21"/>
      <c r="H65" s="23"/>
      <c r="I65" s="4">
        <v>56585</v>
      </c>
      <c r="J65" s="21"/>
    </row>
    <row r="66" spans="2:12" hidden="1" outlineLevel="1" x14ac:dyDescent="0.25">
      <c r="B66" s="28" t="s">
        <v>41</v>
      </c>
      <c r="C66" s="4">
        <v>7504</v>
      </c>
      <c r="D66" s="21"/>
      <c r="E66" s="23"/>
      <c r="F66" s="4">
        <v>0</v>
      </c>
      <c r="G66" s="21"/>
      <c r="H66" s="23"/>
      <c r="I66" s="4">
        <v>0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34667</v>
      </c>
      <c r="J67" s="21"/>
    </row>
    <row r="68" spans="2:12" hidden="1" outlineLevel="1" x14ac:dyDescent="0.25">
      <c r="B68" s="28" t="s">
        <v>42</v>
      </c>
      <c r="C68" s="4">
        <v>12022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0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f>1154+10</f>
        <v>1164</v>
      </c>
      <c r="D70" s="21"/>
      <c r="E70" s="23"/>
      <c r="F70" s="4">
        <v>919</v>
      </c>
      <c r="G70" s="21"/>
      <c r="H70" s="23"/>
      <c r="I70" s="4">
        <v>491</v>
      </c>
      <c r="J70" s="21"/>
    </row>
    <row r="71" spans="2:12" collapsed="1" x14ac:dyDescent="0.25">
      <c r="B71" s="24" t="s">
        <v>43</v>
      </c>
      <c r="C71" s="25">
        <f>SUM(C72:C78)</f>
        <v>30280</v>
      </c>
      <c r="D71" s="26">
        <f>C71/$C$5</f>
        <v>7.6110157639519369E-3</v>
      </c>
      <c r="E71" s="27">
        <f>F71/C71-1</f>
        <v>4.0310435931307795</v>
      </c>
      <c r="F71" s="25">
        <f>SUM(F72:F78)</f>
        <v>152340</v>
      </c>
      <c r="G71" s="26">
        <f>F71/$F$5</f>
        <v>3.4243588487105042E-2</v>
      </c>
      <c r="H71" s="27">
        <f>I71/F71-1</f>
        <v>-0.20292109754496523</v>
      </c>
      <c r="I71" s="25">
        <f>SUM(I72:I78)</f>
        <v>121427</v>
      </c>
      <c r="J71" s="26">
        <f>I71/$I$5</f>
        <v>3.2660393714998411E-2</v>
      </c>
    </row>
    <row r="72" spans="2:12" hidden="1" outlineLevel="1" x14ac:dyDescent="0.25">
      <c r="B72" s="28" t="s">
        <v>44</v>
      </c>
      <c r="C72" s="4">
        <v>807</v>
      </c>
      <c r="D72" s="10"/>
      <c r="E72" s="13"/>
      <c r="F72" s="4">
        <v>829</v>
      </c>
      <c r="G72" s="10"/>
      <c r="H72" s="13"/>
      <c r="I72" s="4">
        <v>1456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348</v>
      </c>
      <c r="G73" s="10"/>
      <c r="H73" s="13"/>
      <c r="I73" s="4">
        <v>69215</v>
      </c>
      <c r="J73" s="10"/>
      <c r="K73" s="2"/>
    </row>
    <row r="74" spans="2:12" hidden="1" outlineLevel="1" x14ac:dyDescent="0.25">
      <c r="B74" s="28" t="s">
        <v>41</v>
      </c>
      <c r="C74" s="4">
        <v>0</v>
      </c>
      <c r="D74" s="10"/>
      <c r="E74" s="13"/>
      <c r="F74" s="4">
        <v>8615</v>
      </c>
      <c r="G74" s="10"/>
      <c r="H74" s="13"/>
      <c r="I74" s="4">
        <v>22110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4">
        <v>15095</v>
      </c>
      <c r="D76" s="10"/>
      <c r="E76" s="13"/>
      <c r="F76" s="4">
        <v>17367</v>
      </c>
      <c r="G76" s="10"/>
      <c r="H76" s="13"/>
      <c r="I76" s="4">
        <v>20708</v>
      </c>
      <c r="J76" s="10"/>
    </row>
    <row r="77" spans="2:12" hidden="1" outlineLevel="1" x14ac:dyDescent="0.25">
      <c r="B77" s="28" t="s">
        <v>58</v>
      </c>
      <c r="C77" s="4">
        <f>380+6254+2061+5520</f>
        <v>14215</v>
      </c>
      <c r="D77" s="10"/>
      <c r="E77" s="13"/>
      <c r="F77" s="4">
        <v>125019</v>
      </c>
      <c r="G77" s="10"/>
      <c r="H77" s="13"/>
      <c r="I77" s="4">
        <v>7891</v>
      </c>
      <c r="J77" s="10"/>
    </row>
    <row r="78" spans="2:12" hidden="1" outlineLevel="1" x14ac:dyDescent="0.25">
      <c r="B78" s="28" t="s">
        <v>47</v>
      </c>
      <c r="C78" s="4">
        <f>72+81+10</f>
        <v>163</v>
      </c>
      <c r="D78" s="10"/>
      <c r="E78" s="13"/>
      <c r="F78" s="4">
        <v>162</v>
      </c>
      <c r="G78" s="10"/>
      <c r="H78" s="13"/>
      <c r="I78" s="4">
        <v>47</v>
      </c>
      <c r="J78" s="10"/>
    </row>
    <row r="79" spans="2:12" collapsed="1" x14ac:dyDescent="0.25">
      <c r="B79" s="56" t="s">
        <v>48</v>
      </c>
      <c r="C79" s="40">
        <f>C63-C71+C64</f>
        <v>1051700</v>
      </c>
      <c r="D79" s="41">
        <f>C79/C5</f>
        <v>0.26434957988600566</v>
      </c>
      <c r="E79" s="42">
        <f>F79/C79-1</f>
        <v>1.8436816582675597E-2</v>
      </c>
      <c r="F79" s="40">
        <f>F63-F71+F64</f>
        <v>1071090</v>
      </c>
      <c r="G79" s="41">
        <f>F79/F5</f>
        <v>0.24076385186197546</v>
      </c>
      <c r="H79" s="42">
        <f>I79/F79-1</f>
        <v>-0.37986537079050309</v>
      </c>
      <c r="I79" s="40">
        <f>I63-I71+I64</f>
        <v>664220</v>
      </c>
      <c r="J79" s="41">
        <f>I79/$I$5</f>
        <v>0.17865620260219098</v>
      </c>
      <c r="K79" s="8"/>
      <c r="L79" s="15"/>
    </row>
    <row r="80" spans="2:12" x14ac:dyDescent="0.25">
      <c r="B80" s="24" t="s">
        <v>49</v>
      </c>
      <c r="C80" s="25">
        <f>SUM(C81:C90)</f>
        <v>48082</v>
      </c>
      <c r="D80" s="26">
        <f>C80/$C$5</f>
        <v>1.2085629457144552E-2</v>
      </c>
      <c r="E80" s="27">
        <f>F80/C80-1</f>
        <v>0.11243292708290009</v>
      </c>
      <c r="F80" s="25">
        <f>SUM(F81:F90)</f>
        <v>53488</v>
      </c>
      <c r="G80" s="26">
        <f>F80/$F$5</f>
        <v>1.2023244459749734E-2</v>
      </c>
      <c r="H80" s="27">
        <f>I80/F80-1</f>
        <v>1.5243793000299131</v>
      </c>
      <c r="I80" s="25">
        <f>SUM(I81:I90)</f>
        <v>135024</v>
      </c>
      <c r="J80" s="26">
        <f>I80/$I$5</f>
        <v>3.6317598235762603E-2</v>
      </c>
      <c r="K80" s="19"/>
    </row>
    <row r="81" spans="2:12" hidden="1" outlineLevel="1" x14ac:dyDescent="0.25">
      <c r="B81" s="28" t="s">
        <v>17</v>
      </c>
      <c r="C81" s="4">
        <v>34252</v>
      </c>
      <c r="D81" s="10"/>
      <c r="E81" s="13"/>
      <c r="F81" s="4">
        <v>43483</v>
      </c>
      <c r="G81" s="10"/>
      <c r="H81" s="13"/>
      <c r="I81" s="4">
        <v>127381</v>
      </c>
      <c r="J81" s="10"/>
    </row>
    <row r="82" spans="2:12" hidden="1" outlineLevel="1" x14ac:dyDescent="0.25">
      <c r="B82" s="28" t="s">
        <v>50</v>
      </c>
      <c r="C82" s="4"/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4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/>
      <c r="D84" s="10"/>
      <c r="E84" s="13"/>
      <c r="F84" s="4">
        <v>0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53</v>
      </c>
      <c r="C85" s="4">
        <v>5875</v>
      </c>
      <c r="D85" s="10"/>
      <c r="E85" s="13"/>
      <c r="F85" s="4">
        <v>3764</v>
      </c>
      <c r="G85" s="10"/>
      <c r="H85" s="13"/>
      <c r="I85" s="4">
        <v>1110</v>
      </c>
      <c r="J85" s="10"/>
    </row>
    <row r="86" spans="2:12" hidden="1" outlineLevel="1" x14ac:dyDescent="0.25">
      <c r="B86" s="28" t="s">
        <v>54</v>
      </c>
      <c r="C86" s="4">
        <v>484</v>
      </c>
      <c r="D86" s="10"/>
      <c r="E86" s="13"/>
      <c r="F86" s="4">
        <v>335</v>
      </c>
      <c r="G86" s="10"/>
      <c r="H86" s="13"/>
      <c r="I86" s="4">
        <v>0</v>
      </c>
      <c r="J86" s="10"/>
    </row>
    <row r="87" spans="2:12" hidden="1" outlineLevel="1" x14ac:dyDescent="0.25">
      <c r="B87" s="28" t="s">
        <v>83</v>
      </c>
      <c r="C87" s="4">
        <v>2066</v>
      </c>
      <c r="D87" s="10"/>
      <c r="E87" s="13"/>
      <c r="F87" s="4">
        <v>281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/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4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4">
        <f>50</f>
        <v>50</v>
      </c>
      <c r="D90" s="10"/>
      <c r="E90" s="13"/>
      <c r="F90" s="4">
        <v>98</v>
      </c>
      <c r="G90" s="10"/>
      <c r="H90" s="13"/>
      <c r="I90" s="4">
        <v>2978</v>
      </c>
      <c r="J90" s="10"/>
    </row>
    <row r="91" spans="2:12" collapsed="1" x14ac:dyDescent="0.25">
      <c r="B91" s="56" t="s">
        <v>85</v>
      </c>
      <c r="C91" s="44">
        <f>C79-C80</f>
        <v>1003618</v>
      </c>
      <c r="D91" s="41">
        <f>C91/C5</f>
        <v>0.25226395042886113</v>
      </c>
      <c r="E91" s="42">
        <f>F91/C91-1</f>
        <v>1.3933588277611708E-2</v>
      </c>
      <c r="F91" s="44">
        <f>F79-F80</f>
        <v>1017602</v>
      </c>
      <c r="G91" s="41">
        <f>F91/F5</f>
        <v>0.22874060740222571</v>
      </c>
      <c r="H91" s="42">
        <f>I91/F91-1</f>
        <v>-0.47995778310184134</v>
      </c>
      <c r="I91" s="44">
        <f>I79-I80</f>
        <v>529196</v>
      </c>
      <c r="J91" s="41">
        <f>I91/$I$5</f>
        <v>0.1423386043664284</v>
      </c>
      <c r="K91" s="8"/>
      <c r="L91" s="15"/>
    </row>
    <row r="92" spans="2:12" collapsed="1" x14ac:dyDescent="0.25">
      <c r="B92" s="61" t="s">
        <v>92</v>
      </c>
      <c r="C92" s="62">
        <v>1003618</v>
      </c>
      <c r="D92" s="63"/>
      <c r="E92" s="64"/>
      <c r="F92" s="62">
        <v>1075288</v>
      </c>
      <c r="G92" s="63"/>
      <c r="H92" s="64"/>
      <c r="I92" s="62">
        <v>529196</v>
      </c>
      <c r="J92" s="63"/>
      <c r="K92" s="8"/>
      <c r="L92" s="15"/>
    </row>
    <row r="93" spans="2:12" x14ac:dyDescent="0.25">
      <c r="C93" s="2"/>
      <c r="F93" s="2">
        <f>F92-F91</f>
        <v>57686</v>
      </c>
      <c r="I93" s="2"/>
    </row>
    <row r="94" spans="2:12" x14ac:dyDescent="0.25">
      <c r="B94" t="s">
        <v>86</v>
      </c>
      <c r="C94" s="2">
        <v>188463</v>
      </c>
      <c r="D94" s="2">
        <v>128703</v>
      </c>
      <c r="E94" s="2">
        <v>155731</v>
      </c>
      <c r="G94" s="57"/>
      <c r="H94" s="2"/>
      <c r="I94" s="2"/>
      <c r="J94" s="2"/>
    </row>
    <row r="95" spans="2:12" x14ac:dyDescent="0.25">
      <c r="B95" t="s">
        <v>87</v>
      </c>
      <c r="C95" s="2">
        <v>166172</v>
      </c>
      <c r="D95" s="2">
        <v>115986</v>
      </c>
      <c r="E95" s="2">
        <v>167133</v>
      </c>
      <c r="G95" s="57"/>
    </row>
  </sheetData>
  <mergeCells count="3">
    <mergeCell ref="B2:J2"/>
    <mergeCell ref="C3:D3"/>
    <mergeCell ref="E3:F3"/>
  </mergeCells>
  <dataValidations disablePrompts="1" count="1">
    <dataValidation type="list" allowBlank="1" showInputMessage="1" showErrorMessage="1" sqref="E3:F3" xr:uid="{388A28DD-1078-4782-A4FC-020ECB531C8D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16BC-4CD9-45DD-A5F1-6A48DB445E80}">
  <sheetPr codeName="Hoja18">
    <pageSetUpPr fitToPage="1"/>
  </sheetPr>
  <dimension ref="B1:P95"/>
  <sheetViews>
    <sheetView showGridLines="0" zoomScaleNormal="100" workbookViewId="0">
      <pane ySplit="4" topLeftCell="A5" activePane="bottomLeft" state="frozen"/>
      <selection activeCell="J29" sqref="J29"/>
      <selection pane="bottomLeft" activeCell="I33" sqref="I33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10937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62</v>
      </c>
      <c r="F3" s="115"/>
      <c r="G3" s="17"/>
      <c r="H3" s="20"/>
      <c r="I3" s="17"/>
      <c r="J3" s="18"/>
      <c r="L3" s="19" t="str">
        <f>E3</f>
        <v>FEBRERO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4260519</v>
      </c>
      <c r="D5" s="10">
        <v>1</v>
      </c>
      <c r="E5" s="35">
        <f>F5/C5-1</f>
        <v>5.4492656880535062E-2</v>
      </c>
      <c r="F5" s="33">
        <f>F6+F9+F13+F14</f>
        <v>4492686</v>
      </c>
      <c r="G5" s="10">
        <v>1</v>
      </c>
      <c r="H5" s="13">
        <f>I5/F5-1</f>
        <v>0.12932041099689595</v>
      </c>
      <c r="I5" s="33">
        <f>I6+I9+I13+I14</f>
        <v>5073682</v>
      </c>
      <c r="J5" s="10">
        <v>1</v>
      </c>
      <c r="K5" s="2"/>
      <c r="M5" s="2"/>
    </row>
    <row r="6" spans="2:16" x14ac:dyDescent="0.25">
      <c r="B6" s="48" t="s">
        <v>64</v>
      </c>
      <c r="C6" s="31">
        <f>C7+C8</f>
        <v>3987440</v>
      </c>
      <c r="D6" s="32">
        <f>C6/$C$5</f>
        <v>0.93590475714343724</v>
      </c>
      <c r="E6" s="36">
        <f>F6/C6-1</f>
        <v>4.7248861424874056E-2</v>
      </c>
      <c r="F6" s="31">
        <f>F7+F8</f>
        <v>4175842</v>
      </c>
      <c r="G6" s="32">
        <f>F6/$F$5</f>
        <v>0.92947559655849532</v>
      </c>
      <c r="H6" s="36">
        <f>I6/F6-1</f>
        <v>3.3713200834705859E-2</v>
      </c>
      <c r="I6" s="31">
        <f>I7+I8</f>
        <v>4316623</v>
      </c>
      <c r="J6" s="32">
        <f>I6/$I$5</f>
        <v>0.85078706154623018</v>
      </c>
    </row>
    <row r="7" spans="2:16" x14ac:dyDescent="0.25">
      <c r="B7" s="28" t="s">
        <v>67</v>
      </c>
      <c r="C7" s="1">
        <f>3987440-C8</f>
        <v>3353035</v>
      </c>
      <c r="D7" s="11">
        <f>C7/C5</f>
        <v>0.78700153666724637</v>
      </c>
      <c r="E7" s="37">
        <f t="shared" ref="E7:E14" si="0">F7/C7-1</f>
        <v>7.1116764364225205E-2</v>
      </c>
      <c r="F7" s="4">
        <f>4175842-F8</f>
        <v>3591492</v>
      </c>
      <c r="G7" s="11">
        <f>F7/$F$5</f>
        <v>0.79940863884099622</v>
      </c>
      <c r="H7" s="37">
        <f t="shared" ref="H7:H14" si="1">I7/F7-1</f>
        <v>4.5343272378164379E-3</v>
      </c>
      <c r="I7" s="4">
        <f>4316623-I8</f>
        <v>3607777</v>
      </c>
      <c r="J7" s="11">
        <f t="shared" ref="J7:J14" si="2">I7/$I$5</f>
        <v>0.71107668947324643</v>
      </c>
    </row>
    <row r="8" spans="2:16" x14ac:dyDescent="0.25">
      <c r="B8" s="28" t="s">
        <v>68</v>
      </c>
      <c r="C8" s="1">
        <v>634405</v>
      </c>
      <c r="D8" s="11">
        <f t="shared" ref="D8:D14" si="3">C8/$C$5</f>
        <v>0.14890322047619081</v>
      </c>
      <c r="E8" s="37">
        <f t="shared" si="0"/>
        <v>-7.8900702232800768E-2</v>
      </c>
      <c r="F8" s="4">
        <v>584350</v>
      </c>
      <c r="G8" s="11">
        <f>F8/$F$5</f>
        <v>0.13006695771749907</v>
      </c>
      <c r="H8" s="37">
        <f t="shared" si="1"/>
        <v>0.21305039787798408</v>
      </c>
      <c r="I8" s="4">
        <v>708846</v>
      </c>
      <c r="J8" s="11">
        <f t="shared" si="2"/>
        <v>0.13971037207298367</v>
      </c>
    </row>
    <row r="9" spans="2:16" x14ac:dyDescent="0.25">
      <c r="B9" s="48" t="s">
        <v>65</v>
      </c>
      <c r="C9" s="31">
        <f>C10+C11+C12</f>
        <v>329971</v>
      </c>
      <c r="D9" s="32">
        <f t="shared" si="3"/>
        <v>7.7448545587990567E-2</v>
      </c>
      <c r="E9" s="36">
        <f t="shared" si="0"/>
        <v>0.25602249894687712</v>
      </c>
      <c r="F9" s="31">
        <f>F10+F11+F12</f>
        <v>414451</v>
      </c>
      <c r="G9" s="32">
        <f>F9/$F$5</f>
        <v>9.2250159481432711E-2</v>
      </c>
      <c r="H9" s="36">
        <f>I9/F9-1</f>
        <v>1.0649051395701785</v>
      </c>
      <c r="I9" s="31">
        <f>I10+I11+I12</f>
        <v>855802</v>
      </c>
      <c r="J9" s="32">
        <f t="shared" si="2"/>
        <v>0.16867474153878781</v>
      </c>
    </row>
    <row r="10" spans="2:16" x14ac:dyDescent="0.25">
      <c r="B10" s="28" t="s">
        <v>69</v>
      </c>
      <c r="C10" s="1">
        <v>144200</v>
      </c>
      <c r="D10" s="11">
        <f t="shared" si="3"/>
        <v>3.384564181030527E-2</v>
      </c>
      <c r="E10" s="37">
        <f t="shared" si="0"/>
        <v>1.3755409153952844</v>
      </c>
      <c r="F10" s="4">
        <v>342553</v>
      </c>
      <c r="G10" s="11">
        <f>F10/$F$5</f>
        <v>7.6246815379485675E-2</v>
      </c>
      <c r="H10" s="37">
        <f>I10/F10-1</f>
        <v>0.19132221875155087</v>
      </c>
      <c r="I10" s="4">
        <v>408091</v>
      </c>
      <c r="J10" s="11">
        <f t="shared" si="2"/>
        <v>8.0432908487366769E-2</v>
      </c>
    </row>
    <row r="11" spans="2:16" x14ac:dyDescent="0.25">
      <c r="B11" s="28" t="s">
        <v>70</v>
      </c>
      <c r="C11" s="1">
        <v>185771</v>
      </c>
      <c r="D11" s="11">
        <f t="shared" si="3"/>
        <v>4.3602903777685303E-2</v>
      </c>
      <c r="E11" s="37">
        <f t="shared" si="0"/>
        <v>-0.78738339137970947</v>
      </c>
      <c r="F11" s="4">
        <v>39498</v>
      </c>
      <c r="G11" s="11">
        <f t="shared" ref="G11:G12" si="4">F11/$F$5</f>
        <v>8.7916226506815753E-3</v>
      </c>
      <c r="H11" s="37">
        <f t="shared" si="1"/>
        <v>10.052230492683174</v>
      </c>
      <c r="I11" s="4">
        <v>436541</v>
      </c>
      <c r="J11" s="11">
        <f>I11/$I$5</f>
        <v>8.6040276075638952E-2</v>
      </c>
    </row>
    <row r="12" spans="2:16" x14ac:dyDescent="0.25">
      <c r="B12" s="28" t="s">
        <v>71</v>
      </c>
      <c r="C12" s="1">
        <v>0</v>
      </c>
      <c r="D12" s="11">
        <f t="shared" si="3"/>
        <v>0</v>
      </c>
      <c r="E12" s="37">
        <v>0</v>
      </c>
      <c r="F12" s="4">
        <v>32400</v>
      </c>
      <c r="G12" s="11">
        <f t="shared" si="4"/>
        <v>7.2117214512654564E-3</v>
      </c>
      <c r="H12" s="37">
        <f t="shared" si="1"/>
        <v>-0.65524691358024689</v>
      </c>
      <c r="I12" s="4">
        <v>11170</v>
      </c>
      <c r="J12" s="11">
        <f t="shared" si="2"/>
        <v>2.2015569757820848E-3</v>
      </c>
    </row>
    <row r="13" spans="2:16" x14ac:dyDescent="0.25">
      <c r="B13" s="48" t="s">
        <v>74</v>
      </c>
      <c r="C13" s="5">
        <v>21802</v>
      </c>
      <c r="D13" s="32">
        <f t="shared" si="3"/>
        <v>5.1172169400019105E-3</v>
      </c>
      <c r="E13" s="36">
        <f t="shared" si="0"/>
        <v>-1</v>
      </c>
      <c r="F13" s="31">
        <v>0</v>
      </c>
      <c r="G13" s="32">
        <f>F13/$F$5</f>
        <v>0</v>
      </c>
      <c r="H13" s="36" t="e">
        <f t="shared" si="1"/>
        <v>#DIV/0!</v>
      </c>
      <c r="I13" s="31">
        <v>13481</v>
      </c>
      <c r="J13" s="32">
        <f t="shared" si="2"/>
        <v>2.6570447260983246E-3</v>
      </c>
      <c r="K13" s="12"/>
      <c r="O13" s="2"/>
      <c r="P13" s="9"/>
    </row>
    <row r="14" spans="2:16" x14ac:dyDescent="0.25">
      <c r="B14" s="48" t="s">
        <v>8</v>
      </c>
      <c r="C14" s="5">
        <v>-78694</v>
      </c>
      <c r="D14" s="32">
        <f t="shared" si="3"/>
        <v>-1.8470519671429701E-2</v>
      </c>
      <c r="E14" s="36">
        <f t="shared" si="0"/>
        <v>0.24033598495438024</v>
      </c>
      <c r="F14" s="31">
        <v>-97607</v>
      </c>
      <c r="G14" s="32">
        <f>F14/$F$5</f>
        <v>-2.1725756039928008E-2</v>
      </c>
      <c r="H14" s="36">
        <f t="shared" si="1"/>
        <v>0.14975360373743696</v>
      </c>
      <c r="I14" s="31">
        <v>-112224</v>
      </c>
      <c r="J14" s="32">
        <f t="shared" si="2"/>
        <v>-2.2118847811116265E-2</v>
      </c>
    </row>
    <row r="15" spans="2:16" x14ac:dyDescent="0.25">
      <c r="B15" s="47" t="s">
        <v>9</v>
      </c>
      <c r="C15" s="38">
        <f>C19+C24+C27</f>
        <v>2659831</v>
      </c>
      <c r="D15" s="10">
        <f>C15/C5</f>
        <v>0.62429741540878003</v>
      </c>
      <c r="E15" s="13">
        <f>F15/C15-1</f>
        <v>7.3194875915048696E-2</v>
      </c>
      <c r="F15" s="38">
        <f>F19+F24+F27</f>
        <v>2854517</v>
      </c>
      <c r="G15" s="10">
        <f>F15/$F$5</f>
        <v>0.63536979882413325</v>
      </c>
      <c r="H15" s="13">
        <f>I15/F15-1</f>
        <v>0.23801224515390862</v>
      </c>
      <c r="I15" s="38">
        <f>I19+I24+I27</f>
        <v>3533927</v>
      </c>
      <c r="J15" s="10">
        <f>I15/$I$5</f>
        <v>0.69652118520632555</v>
      </c>
    </row>
    <row r="16" spans="2:16" x14ac:dyDescent="0.25">
      <c r="B16" s="50" t="s">
        <v>10</v>
      </c>
      <c r="C16" s="51">
        <f>[1]ENE!C31</f>
        <v>7020517</v>
      </c>
      <c r="D16" s="52"/>
      <c r="E16" s="53"/>
      <c r="F16" s="51">
        <f>[1]ENE!F31</f>
        <v>9393142</v>
      </c>
      <c r="G16" s="52"/>
      <c r="H16" s="53"/>
      <c r="I16" s="51">
        <f>[1]ENE!I31</f>
        <v>8278548</v>
      </c>
      <c r="J16" s="54"/>
      <c r="K16" s="2"/>
    </row>
    <row r="17" spans="2:15" x14ac:dyDescent="0.25">
      <c r="B17" s="28" t="s">
        <v>11</v>
      </c>
      <c r="C17" s="4">
        <v>1795529</v>
      </c>
      <c r="D17" s="10"/>
      <c r="E17" s="37">
        <f>F17/C17-1</f>
        <v>-7.4405370227938361E-2</v>
      </c>
      <c r="F17" s="4">
        <v>1661932</v>
      </c>
      <c r="G17" s="10"/>
      <c r="H17" s="37">
        <f>I17/F17-1</f>
        <v>4.0687585292298323E-3</v>
      </c>
      <c r="I17" s="4">
        <v>1668694</v>
      </c>
      <c r="J17" s="39"/>
      <c r="K17" s="2"/>
    </row>
    <row r="18" spans="2:15" x14ac:dyDescent="0.25">
      <c r="B18" s="28" t="s">
        <v>13</v>
      </c>
      <c r="C18" s="4">
        <v>-31259</v>
      </c>
      <c r="D18" s="11"/>
      <c r="E18" s="13"/>
      <c r="F18" s="4">
        <v>-5357</v>
      </c>
      <c r="G18" s="11"/>
      <c r="H18" s="13"/>
      <c r="I18" s="4">
        <v>-7050</v>
      </c>
      <c r="J18" s="11"/>
      <c r="K18" s="2"/>
    </row>
    <row r="19" spans="2:15" x14ac:dyDescent="0.25">
      <c r="B19" s="48" t="s">
        <v>12</v>
      </c>
      <c r="C19" s="31">
        <f>SUM(C20:C23)</f>
        <v>933575</v>
      </c>
      <c r="D19" s="32">
        <f>C19/C5</f>
        <v>0.21912236513908281</v>
      </c>
      <c r="E19" s="36">
        <f>F19/C19-1</f>
        <v>-3.0219318212248658E-2</v>
      </c>
      <c r="F19" s="31">
        <f>SUM(F20:F23)</f>
        <v>905363</v>
      </c>
      <c r="G19" s="32">
        <f>F19/$F$5</f>
        <v>0.20151931383586566</v>
      </c>
      <c r="H19" s="36">
        <f>I19/F19-1</f>
        <v>0.26404105314663839</v>
      </c>
      <c r="I19" s="31">
        <f>SUM(I20:I23)</f>
        <v>1144416</v>
      </c>
      <c r="J19" s="32">
        <f>I19/$I$5</f>
        <v>0.22555926839719162</v>
      </c>
      <c r="K19" s="2"/>
      <c r="L19" s="2"/>
      <c r="O19" s="2"/>
    </row>
    <row r="20" spans="2:15" x14ac:dyDescent="0.25">
      <c r="B20" s="28" t="s">
        <v>75</v>
      </c>
      <c r="C20" s="4">
        <v>405110</v>
      </c>
      <c r="D20" s="11">
        <f t="shared" ref="D20" si="5">C20/$C$5</f>
        <v>9.5084659873597557E-2</v>
      </c>
      <c r="E20" s="37">
        <f t="shared" ref="E20" si="6">F20/C20-1</f>
        <v>5.4807336279035335E-2</v>
      </c>
      <c r="F20" s="4">
        <v>427313</v>
      </c>
      <c r="G20" s="11">
        <f t="shared" ref="G20" si="7">F20/$F$5</f>
        <v>9.5113034830388771E-2</v>
      </c>
      <c r="H20" s="37">
        <f t="shared" ref="H20" si="8">I20/F20-1</f>
        <v>0.238885781616754</v>
      </c>
      <c r="I20" s="4">
        <v>529392</v>
      </c>
      <c r="J20" s="11">
        <f>I20/$I$5</f>
        <v>0.10434079234764812</v>
      </c>
      <c r="K20" s="2"/>
      <c r="L20" s="2"/>
      <c r="O20" s="2"/>
    </row>
    <row r="21" spans="2:15" x14ac:dyDescent="0.25">
      <c r="B21" s="28" t="s">
        <v>76</v>
      </c>
      <c r="C21" s="4">
        <v>181135</v>
      </c>
      <c r="D21" s="11">
        <f>C21/$C$5</f>
        <v>4.2514773434879645E-2</v>
      </c>
      <c r="E21" s="37">
        <f>F21/C21-1</f>
        <v>0.16655533165870762</v>
      </c>
      <c r="F21" s="4">
        <v>211304</v>
      </c>
      <c r="G21" s="11">
        <f>F21/$F$5</f>
        <v>4.7032888565993705E-2</v>
      </c>
      <c r="H21" s="37">
        <f>I21/F21-1</f>
        <v>0.18886059894748808</v>
      </c>
      <c r="I21" s="4">
        <v>251211</v>
      </c>
      <c r="J21" s="11">
        <f>I21/$I$5</f>
        <v>4.951256306563951E-2</v>
      </c>
      <c r="K21" s="2"/>
      <c r="L21" s="2"/>
      <c r="O21" s="2"/>
    </row>
    <row r="22" spans="2:15" x14ac:dyDescent="0.25">
      <c r="B22" s="28" t="s">
        <v>77</v>
      </c>
      <c r="C22" s="4">
        <f>274084+73246-C23</f>
        <v>327934</v>
      </c>
      <c r="D22" s="11">
        <f t="shared" ref="D22:D23" si="9">C22/$C$5</f>
        <v>7.6970434822611983E-2</v>
      </c>
      <c r="E22" s="37">
        <f t="shared" ref="E22:E23" si="10">F22/C22-1</f>
        <v>-0.42683893710319765</v>
      </c>
      <c r="F22" s="4">
        <f>176349+32050+45000+13347-F23</f>
        <v>187959</v>
      </c>
      <c r="G22" s="11">
        <f t="shared" ref="G22:G23" si="11">F22/$F$5</f>
        <v>4.1836665193160615E-2</v>
      </c>
      <c r="H22" s="37">
        <f t="shared" ref="H22:H23" si="12">I22/F22-1</f>
        <v>0.48145074191712012</v>
      </c>
      <c r="I22" s="4">
        <f>327337+36476-I23</f>
        <v>278452</v>
      </c>
      <c r="J22" s="11">
        <f t="shared" ref="J22:J23" si="13">I22/$I$5</f>
        <v>5.4881642168350321E-2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9"/>
        <v>4.5524970079936274E-3</v>
      </c>
      <c r="E23" s="37">
        <f t="shared" si="10"/>
        <v>3.062023097545886</v>
      </c>
      <c r="F23" s="4">
        <f>20440+45000+13347</f>
        <v>78787</v>
      </c>
      <c r="G23" s="11">
        <f t="shared" si="11"/>
        <v>1.753672524632258E-2</v>
      </c>
      <c r="H23" s="37">
        <f t="shared" si="12"/>
        <v>8.344016144795452E-2</v>
      </c>
      <c r="I23" s="4">
        <v>85361</v>
      </c>
      <c r="J23" s="11">
        <f t="shared" si="13"/>
        <v>1.6824270815553675E-2</v>
      </c>
      <c r="K23" s="2"/>
      <c r="L23" s="2"/>
      <c r="O23" s="2"/>
    </row>
    <row r="24" spans="2:15" x14ac:dyDescent="0.25">
      <c r="B24" s="48" t="s">
        <v>78</v>
      </c>
      <c r="C24" s="31">
        <f>C25+C26</f>
        <v>1452727</v>
      </c>
      <c r="D24" s="32">
        <f>C24/C5</f>
        <v>0.34097418647822014</v>
      </c>
      <c r="E24" s="36">
        <f>F24/C24-1</f>
        <v>0.11161009604695171</v>
      </c>
      <c r="F24" s="31">
        <f>F25+F26</f>
        <v>1614866</v>
      </c>
      <c r="G24" s="32">
        <f>F24/$F$5</f>
        <v>0.35944332633084086</v>
      </c>
      <c r="H24" s="36">
        <f>I24/F24-1</f>
        <v>3.7206802298147323E-2</v>
      </c>
      <c r="I24" s="31">
        <f>I25+I26</f>
        <v>1674950</v>
      </c>
      <c r="J24" s="32">
        <f>I24/$I$5</f>
        <v>0.33012514383045688</v>
      </c>
      <c r="K24" s="2"/>
    </row>
    <row r="25" spans="2:15" x14ac:dyDescent="0.25">
      <c r="B25" s="28" t="s">
        <v>67</v>
      </c>
      <c r="C25" s="4">
        <f>1452727-C26</f>
        <v>1060633</v>
      </c>
      <c r="D25" s="11"/>
      <c r="E25" s="23"/>
      <c r="F25" s="4">
        <f>1614866-F26</f>
        <v>1241121</v>
      </c>
      <c r="G25" s="21"/>
      <c r="H25" s="23"/>
      <c r="I25" s="4">
        <f>1674950-I26</f>
        <v>1125319</v>
      </c>
      <c r="J25" s="11"/>
      <c r="K25" s="2"/>
    </row>
    <row r="26" spans="2:15" x14ac:dyDescent="0.25">
      <c r="B26" s="28" t="s">
        <v>68</v>
      </c>
      <c r="C26" s="4">
        <v>392094</v>
      </c>
      <c r="D26" s="11"/>
      <c r="E26" s="23"/>
      <c r="F26" s="4">
        <v>373745</v>
      </c>
      <c r="G26" s="21"/>
      <c r="H26" s="23"/>
      <c r="I26" s="4">
        <v>549631</v>
      </c>
      <c r="J26" s="11"/>
      <c r="K26" s="2"/>
    </row>
    <row r="27" spans="2:15" x14ac:dyDescent="0.25">
      <c r="B27" s="48" t="s">
        <v>66</v>
      </c>
      <c r="C27" s="31">
        <f>C28+C29+C30</f>
        <v>273529</v>
      </c>
      <c r="D27" s="32">
        <f>C27/C5</f>
        <v>6.4200863791477047E-2</v>
      </c>
      <c r="E27" s="36">
        <f>F27/C27-1</f>
        <v>0.22213001180862002</v>
      </c>
      <c r="F27" s="31">
        <f>F28+F29+F30</f>
        <v>334288</v>
      </c>
      <c r="G27" s="32">
        <f>F27/$F$5</f>
        <v>7.4407158657426753E-2</v>
      </c>
      <c r="H27" s="36">
        <f>I27/F27-1</f>
        <v>1.1375610252237593</v>
      </c>
      <c r="I27" s="31">
        <f>I28+I29+I30</f>
        <v>714561</v>
      </c>
      <c r="J27" s="32">
        <f>I27/$I$5</f>
        <v>0.14083677297867703</v>
      </c>
      <c r="K27" s="2"/>
    </row>
    <row r="28" spans="2:15" x14ac:dyDescent="0.25">
      <c r="B28" s="28" t="s">
        <v>69</v>
      </c>
      <c r="C28" s="4">
        <v>109966</v>
      </c>
      <c r="D28" s="11">
        <f>C28/C10</f>
        <v>0.76259361997226072</v>
      </c>
      <c r="E28" s="23"/>
      <c r="F28" s="4">
        <v>269855</v>
      </c>
      <c r="G28" s="11">
        <f>F28/F10</f>
        <v>0.78777590621013394</v>
      </c>
      <c r="H28" s="23"/>
      <c r="I28" s="4">
        <v>303817</v>
      </c>
      <c r="J28" s="11">
        <f>I28/I10</f>
        <v>0.74448346079673411</v>
      </c>
      <c r="K28" s="2"/>
    </row>
    <row r="29" spans="2:15" x14ac:dyDescent="0.25">
      <c r="B29" s="28" t="s">
        <v>70</v>
      </c>
      <c r="C29" s="4">
        <v>163563</v>
      </c>
      <c r="D29" s="11">
        <f>C29/C11</f>
        <v>0.88045496875185036</v>
      </c>
      <c r="E29" s="23"/>
      <c r="F29" s="4">
        <v>34433</v>
      </c>
      <c r="G29" s="11">
        <f>F29/F11</f>
        <v>0.8717656590207099</v>
      </c>
      <c r="H29" s="23"/>
      <c r="I29" s="4">
        <v>403224</v>
      </c>
      <c r="J29" s="11">
        <f>I29/I11</f>
        <v>0.92367956274439289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30000</v>
      </c>
      <c r="G30" s="11">
        <f>F30/F12</f>
        <v>0.92592592592592593</v>
      </c>
      <c r="H30" s="23"/>
      <c r="I30" s="4"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7058531</v>
      </c>
      <c r="D31" s="55"/>
      <c r="E31" s="53"/>
      <c r="F31" s="51">
        <f>F16+F17+F19+F18-F15</f>
        <v>9100563</v>
      </c>
      <c r="G31" s="55"/>
      <c r="H31" s="53"/>
      <c r="I31" s="51">
        <f>I16+I17+I19+I18-I15</f>
        <v>7550681</v>
      </c>
      <c r="J31" s="55"/>
    </row>
    <row r="32" spans="2:15" x14ac:dyDescent="0.25">
      <c r="B32" s="56" t="s">
        <v>15</v>
      </c>
      <c r="C32" s="40">
        <f>C5-C15</f>
        <v>1600688</v>
      </c>
      <c r="D32" s="41">
        <f>C32/$C$5</f>
        <v>0.37570258459121997</v>
      </c>
      <c r="E32" s="42">
        <f>F32/C32-1</f>
        <v>2.341555631078629E-2</v>
      </c>
      <c r="F32" s="40">
        <f>F5-F15</f>
        <v>1638169</v>
      </c>
      <c r="G32" s="41">
        <f>F32/$F$5</f>
        <v>0.36463020117586675</v>
      </c>
      <c r="H32" s="42">
        <f>I32/F32-1</f>
        <v>-6.0075608804708192E-2</v>
      </c>
      <c r="I32" s="40">
        <f>I5-I15</f>
        <v>1539755</v>
      </c>
      <c r="J32" s="41">
        <f>I32/$I$5</f>
        <v>0.3034788147936745</v>
      </c>
    </row>
    <row r="33" spans="2:12" x14ac:dyDescent="0.25">
      <c r="B33" s="24" t="s">
        <v>16</v>
      </c>
      <c r="C33" s="25">
        <f>SUM(C36:C43)</f>
        <v>110343</v>
      </c>
      <c r="D33" s="26">
        <f>C33/$C$5</f>
        <v>2.5898957380544482E-2</v>
      </c>
      <c r="E33" s="27">
        <f>F33/C33-1</f>
        <v>0.27344734147159322</v>
      </c>
      <c r="F33" s="25">
        <f>SUM(F36:F43)</f>
        <v>140516</v>
      </c>
      <c r="G33" s="26">
        <f>F33/$F$5</f>
        <v>3.1276612698951142E-2</v>
      </c>
      <c r="H33" s="27">
        <f>I33/F33-1</f>
        <v>0.21159867915397546</v>
      </c>
      <c r="I33" s="25">
        <f>SUM(I36:I43)</f>
        <v>170249</v>
      </c>
      <c r="J33" s="26">
        <f>I33/$I$5</f>
        <v>3.3555315449411295E-2</v>
      </c>
      <c r="K33" s="12"/>
      <c r="L33" s="2"/>
    </row>
    <row r="34" spans="2:12" hidden="1" outlineLevel="1" x14ac:dyDescent="0.25">
      <c r="B34" s="28" t="s">
        <v>17</v>
      </c>
      <c r="C34" s="4">
        <v>91574</v>
      </c>
      <c r="D34" s="10"/>
      <c r="E34" s="13"/>
      <c r="F34" s="4">
        <v>124440</v>
      </c>
      <c r="G34" s="10"/>
      <c r="H34" s="37">
        <f>I34/F34-1</f>
        <v>0.16256027000964313</v>
      </c>
      <c r="I34" s="4">
        <v>144669</v>
      </c>
      <c r="J34" s="10"/>
      <c r="K34" s="12"/>
    </row>
    <row r="35" spans="2:12" hidden="1" outlineLevel="1" x14ac:dyDescent="0.25">
      <c r="B35" s="28" t="s">
        <v>18</v>
      </c>
      <c r="C35" s="4">
        <v>6560</v>
      </c>
      <c r="D35" s="10"/>
      <c r="E35" s="13"/>
      <c r="F35" s="4">
        <v>5975</v>
      </c>
      <c r="G35" s="10"/>
      <c r="H35" s="13"/>
      <c r="I35" s="4">
        <v>11738</v>
      </c>
      <c r="J35" s="10"/>
      <c r="K35" s="2"/>
    </row>
    <row r="36" spans="2:12" hidden="1" outlineLevel="1" collapsed="1" x14ac:dyDescent="0.25">
      <c r="B36" s="48" t="s">
        <v>19</v>
      </c>
      <c r="C36" s="31">
        <f>C34+C35</f>
        <v>98134</v>
      </c>
      <c r="D36" s="32">
        <f t="shared" ref="D36:D44" si="14">C36/$C$33</f>
        <v>0.88935410492736289</v>
      </c>
      <c r="E36" s="36">
        <f>F36/C36-1</f>
        <v>0.32894817290643408</v>
      </c>
      <c r="F36" s="31">
        <f>F34+F35</f>
        <v>130415</v>
      </c>
      <c r="G36" s="32">
        <f>F36/$F$33</f>
        <v>0.92811494776395576</v>
      </c>
      <c r="H36" s="36">
        <f>I36/F36-1</f>
        <v>0.19930222750450488</v>
      </c>
      <c r="I36" s="31">
        <f>I34+I35</f>
        <v>156407</v>
      </c>
      <c r="J36" s="32">
        <f>I36/$I$33</f>
        <v>0.91869555768315825</v>
      </c>
      <c r="K36" s="2"/>
    </row>
    <row r="37" spans="2:12" collapsed="1" x14ac:dyDescent="0.25">
      <c r="B37" s="28" t="s">
        <v>20</v>
      </c>
      <c r="C37" s="1">
        <v>6952</v>
      </c>
      <c r="D37" s="11">
        <f t="shared" si="14"/>
        <v>6.3003543496189154E-2</v>
      </c>
      <c r="E37" s="13"/>
      <c r="F37" s="4">
        <v>5731</v>
      </c>
      <c r="G37" s="11">
        <f>F37/$F$33</f>
        <v>4.0785390987503202E-2</v>
      </c>
      <c r="H37" s="13"/>
      <c r="I37" s="4">
        <v>4345</v>
      </c>
      <c r="J37" s="11">
        <f>I37/$I$33</f>
        <v>2.5521442123008064E-2</v>
      </c>
    </row>
    <row r="38" spans="2:12" hidden="1" outlineLevel="1" x14ac:dyDescent="0.25">
      <c r="B38" s="28" t="s">
        <v>21</v>
      </c>
      <c r="C38" s="1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5">
        <v>258</v>
      </c>
      <c r="D39" s="11">
        <f t="shared" si="14"/>
        <v>2.3381637258367092E-3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1">
        <v>1348</v>
      </c>
      <c r="D40" s="11">
        <f t="shared" si="14"/>
        <v>1.2216452334991799E-2</v>
      </c>
      <c r="E40" s="13"/>
      <c r="F40" s="4">
        <v>790</v>
      </c>
      <c r="G40" s="11">
        <f t="shared" si="15"/>
        <v>7.1594935791124041E-3</v>
      </c>
      <c r="H40" s="13"/>
      <c r="I40" s="4">
        <v>3986</v>
      </c>
      <c r="J40" s="11">
        <f t="shared" si="16"/>
        <v>3.6123723299167146E-2</v>
      </c>
    </row>
    <row r="41" spans="2:12" hidden="1" outlineLevel="1" x14ac:dyDescent="0.25">
      <c r="B41" s="28" t="s">
        <v>24</v>
      </c>
      <c r="C41" s="45">
        <v>2438</v>
      </c>
      <c r="D41" s="11">
        <f t="shared" si="14"/>
        <v>2.2094740944146887E-2</v>
      </c>
      <c r="E41" s="13"/>
      <c r="F41" s="4">
        <v>1539</v>
      </c>
      <c r="G41" s="11">
        <f t="shared" si="15"/>
        <v>1.3947418504118974E-2</v>
      </c>
      <c r="H41" s="13"/>
      <c r="I41" s="4">
        <v>0</v>
      </c>
      <c r="J41" s="11">
        <f t="shared" si="16"/>
        <v>0</v>
      </c>
    </row>
    <row r="42" spans="2:12" hidden="1" outlineLevel="1" x14ac:dyDescent="0.25">
      <c r="B42" s="28" t="s">
        <v>25</v>
      </c>
      <c r="C42" s="1">
        <v>375</v>
      </c>
      <c r="D42" s="11">
        <f t="shared" si="14"/>
        <v>3.3984937875533566E-3</v>
      </c>
      <c r="E42" s="13"/>
      <c r="F42" s="4">
        <v>405</v>
      </c>
      <c r="G42" s="11">
        <f t="shared" si="15"/>
        <v>3.670373290557625E-3</v>
      </c>
      <c r="H42" s="13"/>
      <c r="I42" s="4">
        <v>911</v>
      </c>
      <c r="J42" s="11">
        <f t="shared" si="16"/>
        <v>8.25607424122962E-3</v>
      </c>
    </row>
    <row r="43" spans="2:12" hidden="1" outlineLevel="1" x14ac:dyDescent="0.25">
      <c r="B43" s="28" t="s">
        <v>26</v>
      </c>
      <c r="C43" s="1">
        <v>838</v>
      </c>
      <c r="D43" s="11">
        <f t="shared" si="14"/>
        <v>7.5945007839192339E-3</v>
      </c>
      <c r="E43" s="13"/>
      <c r="F43" s="4">
        <v>1636</v>
      </c>
      <c r="G43" s="11">
        <f t="shared" si="15"/>
        <v>1.4826495563832776E-2</v>
      </c>
      <c r="H43" s="13"/>
      <c r="I43" s="4">
        <v>4600</v>
      </c>
      <c r="J43" s="11">
        <f t="shared" si="16"/>
        <v>4.1688190460654508E-2</v>
      </c>
    </row>
    <row r="44" spans="2:12" collapsed="1" x14ac:dyDescent="0.25">
      <c r="B44" s="48" t="s">
        <v>27</v>
      </c>
      <c r="C44" s="5">
        <f>SUM(C38:C43)</f>
        <v>5257</v>
      </c>
      <c r="D44" s="32">
        <f t="shared" si="14"/>
        <v>4.7642351576447986E-2</v>
      </c>
      <c r="E44" s="43"/>
      <c r="F44" s="31">
        <f>SUM(F38:F43)</f>
        <v>4370</v>
      </c>
      <c r="G44" s="32">
        <f>F44/$F$33</f>
        <v>3.1099661248541091E-2</v>
      </c>
      <c r="H44" s="43"/>
      <c r="I44" s="31">
        <f>SUM(I38:I43)</f>
        <v>9497</v>
      </c>
      <c r="J44" s="32">
        <f>I44/$I$33</f>
        <v>5.578300019383374E-2</v>
      </c>
      <c r="K44" s="2"/>
    </row>
    <row r="45" spans="2:12" x14ac:dyDescent="0.25">
      <c r="B45" s="24" t="s">
        <v>28</v>
      </c>
      <c r="C45" s="25">
        <f>SUM(C46:C55)</f>
        <v>177055</v>
      </c>
      <c r="D45" s="26">
        <f>C45/$C$5</f>
        <v>4.1557143624990286E-2</v>
      </c>
      <c r="E45" s="27">
        <f>F45/C45-1</f>
        <v>0.26129168902318489</v>
      </c>
      <c r="F45" s="25">
        <f>SUM(F46:F55)</f>
        <v>223318</v>
      </c>
      <c r="G45" s="26">
        <f>F45/$F$5</f>
        <v>4.9707012686842571E-2</v>
      </c>
      <c r="H45" s="27">
        <f>I45/F45-1</f>
        <v>0.11387348982168932</v>
      </c>
      <c r="I45" s="25">
        <f>SUM(I46:I55)</f>
        <v>248748</v>
      </c>
      <c r="J45" s="26">
        <f>I45/$I$5</f>
        <v>4.9027116796046738E-2</v>
      </c>
      <c r="K45" s="12"/>
    </row>
    <row r="46" spans="2:12" x14ac:dyDescent="0.25">
      <c r="B46" s="28" t="s">
        <v>17</v>
      </c>
      <c r="C46" s="1">
        <v>124972</v>
      </c>
      <c r="D46" s="11">
        <f t="shared" ref="D46:D56" si="17">C46/$C$45</f>
        <v>0.70583716924119622</v>
      </c>
      <c r="E46" s="37">
        <f>F46/C46-1</f>
        <v>8.9388022917133547E-2</v>
      </c>
      <c r="F46" s="4">
        <v>136143</v>
      </c>
      <c r="G46" s="11">
        <f>F46/$F$45</f>
        <v>0.60963737808864493</v>
      </c>
      <c r="H46" s="37">
        <f>I46/F46-1</f>
        <v>0.17090118478364658</v>
      </c>
      <c r="I46" s="4">
        <v>159410</v>
      </c>
      <c r="J46" s="11">
        <f>I46/$I$45</f>
        <v>0.64084937366330585</v>
      </c>
      <c r="K46" s="12"/>
    </row>
    <row r="47" spans="2:12" x14ac:dyDescent="0.25">
      <c r="B47" s="28" t="s">
        <v>29</v>
      </c>
      <c r="C47" s="1">
        <v>31867</v>
      </c>
      <c r="D47" s="11">
        <f t="shared" si="17"/>
        <v>0.17998362090875716</v>
      </c>
      <c r="E47" s="37">
        <f>F47/C47-1</f>
        <v>3.8848966014999764E-2</v>
      </c>
      <c r="F47" s="4">
        <v>33105</v>
      </c>
      <c r="G47" s="11">
        <f t="shared" ref="G47:G56" si="18">F47/$F$45</f>
        <v>0.14824152105965485</v>
      </c>
      <c r="H47" s="37">
        <f>I47/F47-1</f>
        <v>0.1249056033831748</v>
      </c>
      <c r="I47" s="4">
        <v>37240</v>
      </c>
      <c r="J47" s="11">
        <f t="shared" ref="J47:J56" si="19">I47/$I$45</f>
        <v>0.14970974641002138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0</v>
      </c>
      <c r="G48" s="11">
        <f t="shared" si="18"/>
        <v>0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7"/>
        <v>0</v>
      </c>
      <c r="E49" s="13"/>
      <c r="F49" s="4">
        <v>670</v>
      </c>
      <c r="G49" s="11">
        <f t="shared" si="18"/>
        <v>3.0002059842914588E-3</v>
      </c>
      <c r="H49" s="13"/>
      <c r="I49" s="4">
        <v>614</v>
      </c>
      <c r="J49" s="11">
        <f t="shared" si="19"/>
        <v>2.4683615546657661E-3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20216</v>
      </c>
      <c r="G50" s="11">
        <f t="shared" si="18"/>
        <v>9.052561817677035E-2</v>
      </c>
      <c r="H50" s="13"/>
      <c r="I50" s="4">
        <v>26412</v>
      </c>
      <c r="J50" s="11">
        <f t="shared" si="19"/>
        <v>0.10617974817887983</v>
      </c>
    </row>
    <row r="51" spans="2:11" hidden="1" outlineLevel="1" x14ac:dyDescent="0.25">
      <c r="B51" s="28" t="s">
        <v>31</v>
      </c>
      <c r="C51" s="1">
        <v>0</v>
      </c>
      <c r="D51" s="11">
        <f t="shared" si="17"/>
        <v>0</v>
      </c>
      <c r="E51" s="13"/>
      <c r="F51" s="4">
        <v>0</v>
      </c>
      <c r="G51" s="11">
        <f t="shared" si="18"/>
        <v>0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1">
        <v>308</v>
      </c>
      <c r="D52" s="11">
        <f t="shared" si="17"/>
        <v>1.7395724492389371E-3</v>
      </c>
      <c r="E52" s="13"/>
      <c r="F52" s="4">
        <v>543</v>
      </c>
      <c r="G52" s="11">
        <f t="shared" si="18"/>
        <v>2.4315102230899437E-3</v>
      </c>
      <c r="H52" s="13"/>
      <c r="I52" s="4">
        <v>607</v>
      </c>
      <c r="J52" s="11">
        <f t="shared" si="19"/>
        <v>2.4402206248894465E-3</v>
      </c>
    </row>
    <row r="53" spans="2:11" hidden="1" outlineLevel="1" x14ac:dyDescent="0.25">
      <c r="B53" s="28" t="s">
        <v>33</v>
      </c>
      <c r="C53" s="1">
        <v>4856</v>
      </c>
      <c r="D53" s="11">
        <f t="shared" si="17"/>
        <v>2.7426505888000902E-2</v>
      </c>
      <c r="E53" s="13"/>
      <c r="F53" s="4">
        <v>9304</v>
      </c>
      <c r="G53" s="11">
        <f t="shared" si="18"/>
        <v>4.1662561907235419E-2</v>
      </c>
      <c r="H53" s="13"/>
      <c r="I53" s="4">
        <v>11778</v>
      </c>
      <c r="J53" s="11">
        <f t="shared" si="19"/>
        <v>4.7349124415070672E-2</v>
      </c>
    </row>
    <row r="54" spans="2:11" hidden="1" outlineLevel="1" x14ac:dyDescent="0.25">
      <c r="B54" s="28" t="s">
        <v>20</v>
      </c>
      <c r="C54" s="1">
        <v>2054</v>
      </c>
      <c r="D54" s="11">
        <f t="shared" si="17"/>
        <v>1.1600914969924599E-2</v>
      </c>
      <c r="E54" s="13"/>
      <c r="F54" s="4">
        <v>1417</v>
      </c>
      <c r="G54" s="11">
        <f t="shared" si="18"/>
        <v>6.3452117608074586E-3</v>
      </c>
      <c r="H54" s="13"/>
      <c r="I54" s="4">
        <v>1417</v>
      </c>
      <c r="J54" s="11">
        <f t="shared" si="19"/>
        <v>5.6965282132921671E-3</v>
      </c>
    </row>
    <row r="55" spans="2:11" hidden="1" outlineLevel="1" x14ac:dyDescent="0.25">
      <c r="B55" s="28" t="s">
        <v>26</v>
      </c>
      <c r="C55" s="4">
        <v>12998</v>
      </c>
      <c r="D55" s="11">
        <f t="shared" si="17"/>
        <v>7.3412216542882158E-2</v>
      </c>
      <c r="E55" s="13"/>
      <c r="F55" s="4">
        <v>21920</v>
      </c>
      <c r="G55" s="11">
        <f t="shared" si="18"/>
        <v>9.815599279950564E-2</v>
      </c>
      <c r="H55" s="13"/>
      <c r="I55" s="4">
        <v>11270</v>
      </c>
      <c r="J55" s="11">
        <f t="shared" si="19"/>
        <v>4.5306896939874892E-2</v>
      </c>
      <c r="K55" s="2"/>
    </row>
    <row r="56" spans="2:11" collapsed="1" x14ac:dyDescent="0.25">
      <c r="B56" s="48" t="s">
        <v>34</v>
      </c>
      <c r="C56" s="31">
        <f>SUM(C48:C55)</f>
        <v>20216</v>
      </c>
      <c r="D56" s="32">
        <f t="shared" si="17"/>
        <v>0.11417920985004659</v>
      </c>
      <c r="E56" s="43"/>
      <c r="F56" s="31">
        <f>SUM(F48:F55)</f>
        <v>54070</v>
      </c>
      <c r="G56" s="32">
        <f t="shared" si="18"/>
        <v>0.24212110085170027</v>
      </c>
      <c r="H56" s="43"/>
      <c r="I56" s="31">
        <f>SUM(I48:I55)</f>
        <v>52098</v>
      </c>
      <c r="J56" s="32">
        <f t="shared" si="19"/>
        <v>0.20944087992667279</v>
      </c>
    </row>
    <row r="57" spans="2:11" x14ac:dyDescent="0.25">
      <c r="B57" s="24" t="s">
        <v>59</v>
      </c>
      <c r="C57" s="25">
        <f>SUM(C58:C62)</f>
        <v>197289</v>
      </c>
      <c r="D57" s="26">
        <f>C57/$C$5</f>
        <v>4.6306330285113155E-2</v>
      </c>
      <c r="E57" s="27">
        <f>F57/C57-1</f>
        <v>0.1901170364287923</v>
      </c>
      <c r="F57" s="25">
        <f>SUM(F58:F62)</f>
        <v>234797</v>
      </c>
      <c r="G57" s="26">
        <f>F57/$F$5</f>
        <v>5.2262054370147394E-2</v>
      </c>
      <c r="H57" s="27">
        <f t="shared" ref="H57:H64" si="20">I57/F57-1</f>
        <v>-5.076725852544961E-2</v>
      </c>
      <c r="I57" s="25">
        <f>SUM(I58:I62)</f>
        <v>222877</v>
      </c>
      <c r="J57" s="26">
        <f>I57/$I$5</f>
        <v>4.3928058557867834E-2</v>
      </c>
      <c r="K57" s="12"/>
    </row>
    <row r="58" spans="2:11" x14ac:dyDescent="0.25">
      <c r="B58" s="28" t="s">
        <v>17</v>
      </c>
      <c r="C58" s="4">
        <v>38217</v>
      </c>
      <c r="D58" s="11">
        <f>C58/$C$57</f>
        <v>0.19371074920548029</v>
      </c>
      <c r="E58" s="37"/>
      <c r="F58" s="4">
        <v>39683</v>
      </c>
      <c r="G58" s="11">
        <f>F58/$F$57</f>
        <v>0.1690098255088438</v>
      </c>
      <c r="H58" s="37"/>
      <c r="I58" s="4">
        <v>53385</v>
      </c>
      <c r="J58" s="11">
        <f>I58/$I$57</f>
        <v>0.23952673447686393</v>
      </c>
      <c r="K58" s="2"/>
    </row>
    <row r="59" spans="2:11" x14ac:dyDescent="0.25">
      <c r="B59" s="28" t="s">
        <v>35</v>
      </c>
      <c r="C59" s="4">
        <v>2550</v>
      </c>
      <c r="D59" s="11">
        <f>C59/$C$57</f>
        <v>1.2925201100923012E-2</v>
      </c>
      <c r="E59" s="37"/>
      <c r="F59" s="4">
        <v>1646</v>
      </c>
      <c r="G59" s="11">
        <f>F59/$F$57</f>
        <v>7.0103110346384327E-3</v>
      </c>
      <c r="H59" s="37"/>
      <c r="I59" s="4">
        <f>188+444+1845</f>
        <v>2477</v>
      </c>
      <c r="J59" s="11">
        <f>I59/$I$57</f>
        <v>1.1113753325825456E-2</v>
      </c>
      <c r="K59" s="2"/>
    </row>
    <row r="60" spans="2:11" x14ac:dyDescent="0.25">
      <c r="B60" s="28" t="s">
        <v>36</v>
      </c>
      <c r="C60" s="4">
        <v>153832</v>
      </c>
      <c r="D60" s="11">
        <f>C60/$C$57</f>
        <v>0.7797292297087014</v>
      </c>
      <c r="E60" s="37"/>
      <c r="F60" s="4">
        <v>193090</v>
      </c>
      <c r="G60" s="11">
        <f>F60/$F$57</f>
        <v>0.82236996213750602</v>
      </c>
      <c r="H60" s="37"/>
      <c r="I60" s="4">
        <v>166474</v>
      </c>
      <c r="J60" s="11">
        <f>I60/$I$57</f>
        <v>0.74693216437766119</v>
      </c>
      <c r="K60" s="12"/>
    </row>
    <row r="61" spans="2:11" x14ac:dyDescent="0.25">
      <c r="B61" s="28" t="s">
        <v>37</v>
      </c>
      <c r="C61" s="1">
        <v>2185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505</v>
      </c>
      <c r="D62" s="11"/>
      <c r="E62" s="37"/>
      <c r="F62" s="4">
        <v>378</v>
      </c>
      <c r="G62" s="11"/>
      <c r="H62" s="37"/>
      <c r="I62" s="4">
        <f>330+211</f>
        <v>541</v>
      </c>
      <c r="J62" s="11">
        <f>I62/$I$57</f>
        <v>2.4273478196494029E-3</v>
      </c>
    </row>
    <row r="63" spans="2:11" x14ac:dyDescent="0.25">
      <c r="B63" s="56" t="s">
        <v>38</v>
      </c>
      <c r="C63" s="40">
        <f>C32-C33-C45-C57</f>
        <v>1116001</v>
      </c>
      <c r="D63" s="41">
        <f>C63/$C$5</f>
        <v>0.26194015330057208</v>
      </c>
      <c r="E63" s="42">
        <f>F63/C63-1</f>
        <v>-6.8515171581387424E-2</v>
      </c>
      <c r="F63" s="40">
        <f>F32-F33-F45-F57</f>
        <v>1039538</v>
      </c>
      <c r="G63" s="41">
        <f>F63/$F$5</f>
        <v>0.23138452141992563</v>
      </c>
      <c r="H63" s="42">
        <f t="shared" si="20"/>
        <v>-0.13626918881272254</v>
      </c>
      <c r="I63" s="40">
        <f>I32-I33-I45-I57</f>
        <v>897881</v>
      </c>
      <c r="J63" s="41">
        <f>I63/$I$5</f>
        <v>0.17696832399034862</v>
      </c>
      <c r="K63" s="2"/>
    </row>
    <row r="64" spans="2:11" x14ac:dyDescent="0.25">
      <c r="B64" s="24" t="s">
        <v>39</v>
      </c>
      <c r="C64" s="25">
        <f>SUM(C65:C70)</f>
        <v>168875</v>
      </c>
      <c r="D64" s="26">
        <f>C64/$C$5</f>
        <v>3.9637189741437602E-2</v>
      </c>
      <c r="E64" s="27">
        <f>F64/C64-1</f>
        <v>-0.23687342709104364</v>
      </c>
      <c r="F64" s="25">
        <f>SUM(F65:F70)</f>
        <v>128873</v>
      </c>
      <c r="G64" s="26">
        <f>F64/$F$5</f>
        <v>2.8685067240399174E-2</v>
      </c>
      <c r="H64" s="27">
        <f t="shared" si="20"/>
        <v>0.33635439541253787</v>
      </c>
      <c r="I64" s="25">
        <f>SUM(I65:I70)</f>
        <v>172220</v>
      </c>
      <c r="J64" s="26">
        <f>I64/$I$5</f>
        <v>3.3943790722398448E-2</v>
      </c>
    </row>
    <row r="65" spans="2:12" hidden="1" outlineLevel="1" x14ac:dyDescent="0.25">
      <c r="B65" s="28" t="s">
        <v>40</v>
      </c>
      <c r="C65" s="4">
        <v>140962</v>
      </c>
      <c r="D65" s="21"/>
      <c r="E65" s="23"/>
      <c r="F65" s="4">
        <f>50332+1211</f>
        <v>51543</v>
      </c>
      <c r="G65" s="21"/>
      <c r="H65" s="23"/>
      <c r="I65" s="4">
        <v>131218</v>
      </c>
      <c r="J65" s="21"/>
    </row>
    <row r="66" spans="2:12" hidden="1" outlineLevel="1" x14ac:dyDescent="0.25">
      <c r="B66" s="28" t="s">
        <v>41</v>
      </c>
      <c r="C66" s="4">
        <v>1707</v>
      </c>
      <c r="D66" s="21"/>
      <c r="E66" s="23"/>
      <c r="F66" s="4">
        <v>0</v>
      </c>
      <c r="G66" s="21"/>
      <c r="H66" s="23"/>
      <c r="I66" s="4">
        <v>661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47224</v>
      </c>
      <c r="G69" s="21"/>
      <c r="H69" s="23"/>
      <c r="I69" s="4">
        <v>300</v>
      </c>
      <c r="J69" s="21"/>
    </row>
    <row r="70" spans="2:12" hidden="1" outlineLevel="1" x14ac:dyDescent="0.25">
      <c r="B70" s="28" t="s">
        <v>26</v>
      </c>
      <c r="C70" s="4">
        <v>444</v>
      </c>
      <c r="D70" s="21"/>
      <c r="E70" s="23"/>
      <c r="F70" s="4">
        <v>923</v>
      </c>
      <c r="G70" s="21"/>
      <c r="H70" s="23"/>
      <c r="I70" s="4">
        <v>41</v>
      </c>
      <c r="J70" s="21"/>
    </row>
    <row r="71" spans="2:12" collapsed="1" x14ac:dyDescent="0.25">
      <c r="B71" s="24" t="s">
        <v>43</v>
      </c>
      <c r="C71" s="25">
        <f>SUM(C72:C78)</f>
        <v>33121</v>
      </c>
      <c r="D71" s="26">
        <f>C71/$C$5</f>
        <v>7.7739355228787855E-3</v>
      </c>
      <c r="E71" s="27">
        <f>F71/C71-1</f>
        <v>2.6988617493433171</v>
      </c>
      <c r="F71" s="25">
        <f>SUM(F72:F78)</f>
        <v>122510</v>
      </c>
      <c r="G71" s="26">
        <f>F71/$F$5</f>
        <v>2.7268765277608985E-2</v>
      </c>
      <c r="H71" s="27">
        <f>I71/F71-1</f>
        <v>-0.59000081625989709</v>
      </c>
      <c r="I71" s="25">
        <f>SUM(I72:I78)</f>
        <v>50229</v>
      </c>
      <c r="J71" s="26">
        <f>I71/$I$5</f>
        <v>9.8999109522433602E-3</v>
      </c>
    </row>
    <row r="72" spans="2:12" hidden="1" outlineLevel="1" x14ac:dyDescent="0.25">
      <c r="B72" s="28" t="s">
        <v>44</v>
      </c>
      <c r="C72" s="4">
        <v>1096</v>
      </c>
      <c r="D72" s="10"/>
      <c r="E72" s="13"/>
      <c r="F72" s="4">
        <v>836</v>
      </c>
      <c r="G72" s="10"/>
      <c r="H72" s="13"/>
      <c r="I72" s="4">
        <v>1297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100235</v>
      </c>
      <c r="G73" s="10"/>
      <c r="H73" s="13"/>
      <c r="I73" s="4">
        <v>-69214</v>
      </c>
      <c r="J73" s="10"/>
      <c r="K73" s="2"/>
    </row>
    <row r="74" spans="2:12" hidden="1" outlineLevel="1" x14ac:dyDescent="0.25">
      <c r="B74" s="28" t="s">
        <v>41</v>
      </c>
      <c r="C74" s="4">
        <v>0</v>
      </c>
      <c r="D74" s="10"/>
      <c r="E74" s="13"/>
      <c r="F74" s="4">
        <v>0</v>
      </c>
      <c r="G74" s="10"/>
      <c r="H74" s="13"/>
      <c r="I74" s="4">
        <v>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18078</v>
      </c>
      <c r="D76" s="10"/>
      <c r="E76" s="13"/>
      <c r="F76" s="4">
        <v>15102</v>
      </c>
      <c r="G76" s="10"/>
      <c r="H76" s="13"/>
      <c r="I76" s="4">
        <v>35057</v>
      </c>
      <c r="J76" s="10"/>
    </row>
    <row r="77" spans="2:12" hidden="1" outlineLevel="1" x14ac:dyDescent="0.25">
      <c r="B77" s="28" t="s">
        <v>58</v>
      </c>
      <c r="C77" s="1">
        <f>380+2061+5221+6254</f>
        <v>13916</v>
      </c>
      <c r="D77" s="10"/>
      <c r="E77" s="13"/>
      <c r="F77" s="4">
        <v>6254</v>
      </c>
      <c r="G77" s="10"/>
      <c r="H77" s="13"/>
      <c r="I77" s="4">
        <v>82844</v>
      </c>
      <c r="J77" s="10"/>
    </row>
    <row r="78" spans="2:12" hidden="1" outlineLevel="1" x14ac:dyDescent="0.25">
      <c r="B78" s="28" t="s">
        <v>47</v>
      </c>
      <c r="C78" s="3">
        <v>31</v>
      </c>
      <c r="D78" s="10"/>
      <c r="E78" s="13"/>
      <c r="F78" s="4">
        <v>83</v>
      </c>
      <c r="G78" s="10"/>
      <c r="H78" s="13"/>
      <c r="I78" s="4">
        <f>175+70</f>
        <v>245</v>
      </c>
      <c r="J78" s="10"/>
    </row>
    <row r="79" spans="2:12" collapsed="1" x14ac:dyDescent="0.25">
      <c r="B79" s="56" t="s">
        <v>48</v>
      </c>
      <c r="C79" s="40">
        <f>C63-C71+C64</f>
        <v>1251755</v>
      </c>
      <c r="D79" s="41">
        <f>C79/C5</f>
        <v>0.29380340751913087</v>
      </c>
      <c r="E79" s="42">
        <f>F79/C79-1</f>
        <v>-0.1644523089582226</v>
      </c>
      <c r="F79" s="40">
        <f>F63-F71+F64</f>
        <v>1045901</v>
      </c>
      <c r="G79" s="41">
        <f>F79/F5</f>
        <v>0.23280082338271582</v>
      </c>
      <c r="H79" s="42">
        <f>I79/F79-1</f>
        <v>-2.4886676654864992E-2</v>
      </c>
      <c r="I79" s="40">
        <f>I63-I71+I64</f>
        <v>1019872</v>
      </c>
      <c r="J79" s="41">
        <f>I79/$I$5</f>
        <v>0.20101220376050372</v>
      </c>
      <c r="K79" s="8"/>
      <c r="L79" s="15"/>
    </row>
    <row r="80" spans="2:12" x14ac:dyDescent="0.25">
      <c r="B80" s="24" t="s">
        <v>49</v>
      </c>
      <c r="C80" s="25">
        <f>SUM(C81:C90)</f>
        <v>47473</v>
      </c>
      <c r="D80" s="26">
        <f>C80/$C$5</f>
        <v>1.1142539207077824E-2</v>
      </c>
      <c r="E80" s="27">
        <f>F80/C80-1</f>
        <v>2.9364059570703427E-2</v>
      </c>
      <c r="F80" s="25">
        <f>SUM(F81:F90)</f>
        <v>48867</v>
      </c>
      <c r="G80" s="26">
        <f>F80/$F$5</f>
        <v>1.0877012103672503E-2</v>
      </c>
      <c r="H80" s="27">
        <f>I80/F80-1</f>
        <v>4.5413878486504187</v>
      </c>
      <c r="I80" s="25">
        <f>SUM(I81:I90)</f>
        <v>270791</v>
      </c>
      <c r="J80" s="26">
        <f>I80/$I$5</f>
        <v>5.337169337770873E-2</v>
      </c>
      <c r="K80" s="19"/>
    </row>
    <row r="81" spans="2:12" hidden="1" outlineLevel="1" x14ac:dyDescent="0.25">
      <c r="B81" s="28" t="s">
        <v>17</v>
      </c>
      <c r="C81" s="1">
        <v>36003</v>
      </c>
      <c r="D81" s="10"/>
      <c r="E81" s="13"/>
      <c r="F81" s="4">
        <v>36069</v>
      </c>
      <c r="G81" s="10"/>
      <c r="H81" s="13"/>
      <c r="I81" s="4">
        <v>266771</v>
      </c>
      <c r="J81" s="10"/>
    </row>
    <row r="82" spans="2:12" hidden="1" outlineLevel="1" x14ac:dyDescent="0.25">
      <c r="B82" s="28" t="s">
        <v>50</v>
      </c>
      <c r="C82" s="4"/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/>
      <c r="D84" s="10"/>
      <c r="E84" s="13"/>
      <c r="F84" s="4">
        <v>0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84</v>
      </c>
      <c r="C85" s="1">
        <v>5538</v>
      </c>
      <c r="D85" s="10"/>
      <c r="E85" s="13"/>
      <c r="F85" s="4">
        <v>6936</v>
      </c>
      <c r="G85" s="10"/>
      <c r="H85" s="13"/>
      <c r="I85" s="4">
        <v>0</v>
      </c>
      <c r="J85" s="10"/>
    </row>
    <row r="86" spans="2:12" hidden="1" outlineLevel="1" x14ac:dyDescent="0.25">
      <c r="B86" s="28" t="s">
        <v>54</v>
      </c>
      <c r="C86" s="3">
        <v>483</v>
      </c>
      <c r="D86" s="10"/>
      <c r="E86" s="13"/>
      <c r="F86" s="4">
        <v>335</v>
      </c>
      <c r="G86" s="10"/>
      <c r="H86" s="13"/>
      <c r="I86" s="4">
        <v>400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0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/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f>12+82</f>
        <v>94</v>
      </c>
      <c r="D90" s="10"/>
      <c r="E90" s="13"/>
      <c r="F90" s="4">
        <v>0</v>
      </c>
      <c r="G90" s="10"/>
      <c r="H90" s="13"/>
      <c r="I90" s="4">
        <v>65</v>
      </c>
      <c r="J90" s="10"/>
    </row>
    <row r="91" spans="2:12" collapsed="1" x14ac:dyDescent="0.25">
      <c r="B91" s="56" t="s">
        <v>85</v>
      </c>
      <c r="C91" s="44">
        <f>C79-C80</f>
        <v>1204282</v>
      </c>
      <c r="D91" s="41">
        <f>C91/C5</f>
        <v>0.28266086831205306</v>
      </c>
      <c r="E91" s="42">
        <f>F91/C91-1</f>
        <v>-0.17209258296644803</v>
      </c>
      <c r="F91" s="44">
        <f>F79-F80</f>
        <v>997034</v>
      </c>
      <c r="G91" s="41">
        <f>F91/F5</f>
        <v>0.22192381127904331</v>
      </c>
      <c r="H91" s="42">
        <f>I91/F91-1</f>
        <v>-0.24869061636814793</v>
      </c>
      <c r="I91" s="44">
        <f>I79-I80</f>
        <v>749081</v>
      </c>
      <c r="J91" s="41">
        <f>I91/$I$5</f>
        <v>0.14764051038279499</v>
      </c>
      <c r="K91" s="8"/>
      <c r="L91" s="15"/>
    </row>
    <row r="92" spans="2:12" collapsed="1" x14ac:dyDescent="0.25">
      <c r="B92" s="61" t="s">
        <v>92</v>
      </c>
      <c r="C92" s="62">
        <v>1204282</v>
      </c>
      <c r="D92" s="63"/>
      <c r="E92" s="64"/>
      <c r="F92" s="62">
        <v>1055381</v>
      </c>
      <c r="G92" s="63"/>
      <c r="H92" s="64"/>
      <c r="I92" s="62">
        <v>749081</v>
      </c>
      <c r="J92" s="63"/>
      <c r="K92" s="8"/>
      <c r="L92" s="15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115607</v>
      </c>
      <c r="D94" s="2">
        <v>109664</v>
      </c>
      <c r="E94" s="2">
        <v>122808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v>98131</v>
      </c>
      <c r="D95" s="2">
        <v>98362</v>
      </c>
      <c r="E95" s="2">
        <v>118166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D5E69A23-DE59-4771-B16B-4ED1F0D310C2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01151-D559-4B8C-A68D-9DC748231FE5}">
  <sheetPr codeName="Hoja20">
    <pageSetUpPr fitToPage="1"/>
  </sheetPr>
  <dimension ref="B1:P95"/>
  <sheetViews>
    <sheetView showGridLines="0" zoomScaleNormal="100" workbookViewId="0">
      <pane ySplit="4" topLeftCell="A5" activePane="bottomLeft" state="frozen"/>
      <selection activeCell="J29" sqref="J29"/>
      <selection pane="bottomLeft" activeCell="F15" sqref="F15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7.6640625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72</v>
      </c>
      <c r="F3" s="115"/>
      <c r="G3" s="17"/>
      <c r="H3" s="20"/>
      <c r="I3" s="17"/>
      <c r="J3" s="18"/>
      <c r="L3" s="19" t="str">
        <f>E3</f>
        <v>MARZO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2818171</v>
      </c>
      <c r="D5" s="10">
        <v>1</v>
      </c>
      <c r="E5" s="35">
        <f>F5/C5-1</f>
        <v>0.57131806409192354</v>
      </c>
      <c r="F5" s="33">
        <f>F6+F9+F13+F14</f>
        <v>4428243</v>
      </c>
      <c r="G5" s="10">
        <v>1</v>
      </c>
      <c r="H5" s="13">
        <f t="shared" ref="H5" si="0">I5/F5-1</f>
        <v>0.18928387624617704</v>
      </c>
      <c r="I5" s="33">
        <f>I6+I9+I13+I14</f>
        <v>5266438</v>
      </c>
      <c r="J5" s="10">
        <v>1</v>
      </c>
      <c r="K5" s="2"/>
    </row>
    <row r="6" spans="2:16" x14ac:dyDescent="0.25">
      <c r="B6" s="48" t="s">
        <v>64</v>
      </c>
      <c r="C6" s="31">
        <f>C7+C8</f>
        <v>2668192</v>
      </c>
      <c r="D6" s="32">
        <f>C6/$C$5</f>
        <v>0.94678144087069238</v>
      </c>
      <c r="E6" s="36">
        <f>F6/C6-1</f>
        <v>0.51339858600880306</v>
      </c>
      <c r="F6" s="31">
        <f>F7+F8</f>
        <v>4038038</v>
      </c>
      <c r="G6" s="32">
        <f>F6/$F$5</f>
        <v>0.91188265865265294</v>
      </c>
      <c r="H6" s="36">
        <f>I6/F6-1</f>
        <v>-1.1786169421882597E-2</v>
      </c>
      <c r="I6" s="31">
        <f>I7+I8</f>
        <v>3990445</v>
      </c>
      <c r="J6" s="32">
        <f>I6/$I$5</f>
        <v>0.75771232852261816</v>
      </c>
    </row>
    <row r="7" spans="2:16" x14ac:dyDescent="0.25">
      <c r="B7" s="28" t="s">
        <v>67</v>
      </c>
      <c r="C7" s="1">
        <f>2668192-C8</f>
        <v>2294533</v>
      </c>
      <c r="D7" s="11">
        <f>C7/C5</f>
        <v>0.81419225447994459</v>
      </c>
      <c r="E7" s="37">
        <f t="shared" ref="E7:E14" si="1">F7/C7-1</f>
        <v>0.51292572388368352</v>
      </c>
      <c r="F7" s="4">
        <f>4038038-F8</f>
        <v>3471458</v>
      </c>
      <c r="G7" s="11">
        <f>F7/$F$5</f>
        <v>0.78393575059001952</v>
      </c>
      <c r="H7" s="37">
        <f t="shared" ref="H7:H14" si="2">I7/F7-1</f>
        <v>-1.5621390205498686E-2</v>
      </c>
      <c r="I7" s="4">
        <f>3990445-I8</f>
        <v>3417229</v>
      </c>
      <c r="J7" s="11">
        <f t="shared" ref="J7:J14" si="3">I7/$I$5</f>
        <v>0.6488691217859206</v>
      </c>
    </row>
    <row r="8" spans="2:16" x14ac:dyDescent="0.25">
      <c r="B8" s="28" t="s">
        <v>68</v>
      </c>
      <c r="C8" s="1">
        <v>373659</v>
      </c>
      <c r="D8" s="11">
        <f t="shared" ref="D8:D14" si="4">C8/$C$5</f>
        <v>0.13258918639074777</v>
      </c>
      <c r="E8" s="37">
        <f t="shared" si="1"/>
        <v>0.51630229701412245</v>
      </c>
      <c r="F8" s="4">
        <v>566580</v>
      </c>
      <c r="G8" s="11">
        <f>F8/$F$5</f>
        <v>0.12794690806263342</v>
      </c>
      <c r="H8" s="37">
        <f t="shared" si="2"/>
        <v>1.1712379540400386E-2</v>
      </c>
      <c r="I8" s="4">
        <v>573216</v>
      </c>
      <c r="J8" s="11">
        <f t="shared" si="3"/>
        <v>0.10884320673669756</v>
      </c>
    </row>
    <row r="9" spans="2:16" x14ac:dyDescent="0.25">
      <c r="B9" s="48" t="s">
        <v>65</v>
      </c>
      <c r="C9" s="31">
        <f>C10+C11+C12</f>
        <v>214053</v>
      </c>
      <c r="D9" s="32">
        <f t="shared" si="4"/>
        <v>7.5954581890169195E-2</v>
      </c>
      <c r="E9" s="36">
        <f t="shared" si="1"/>
        <v>1.2496204211106594</v>
      </c>
      <c r="F9" s="31">
        <f>F10+F11+F12</f>
        <v>481538</v>
      </c>
      <c r="G9" s="32">
        <f>F9/$F$5</f>
        <v>0.10874245157729601</v>
      </c>
      <c r="H9" s="36">
        <f>I9/F9-1</f>
        <v>1.9410326910856464</v>
      </c>
      <c r="I9" s="31">
        <f>I10+I11+I12</f>
        <v>1416219</v>
      </c>
      <c r="J9" s="32">
        <f>I9/$I$5</f>
        <v>0.26891401740607218</v>
      </c>
    </row>
    <row r="10" spans="2:16" x14ac:dyDescent="0.25">
      <c r="B10" s="28" t="s">
        <v>69</v>
      </c>
      <c r="C10" s="1">
        <v>139355</v>
      </c>
      <c r="D10" s="11">
        <f t="shared" si="4"/>
        <v>4.9448738206446664E-2</v>
      </c>
      <c r="E10" s="37">
        <f t="shared" si="1"/>
        <v>1.0781242151340105</v>
      </c>
      <c r="F10" s="4">
        <v>289597</v>
      </c>
      <c r="G10" s="11">
        <f>F10/$F$5</f>
        <v>6.5397720947111534E-2</v>
      </c>
      <c r="H10" s="37">
        <f>I10/F10-1</f>
        <v>0.74383712538458613</v>
      </c>
      <c r="I10" s="4">
        <v>505010</v>
      </c>
      <c r="J10" s="11">
        <f t="shared" si="3"/>
        <v>9.5892138101692267E-2</v>
      </c>
    </row>
    <row r="11" spans="2:16" x14ac:dyDescent="0.25">
      <c r="B11" s="28" t="s">
        <v>70</v>
      </c>
      <c r="C11" s="1">
        <v>74698</v>
      </c>
      <c r="D11" s="11">
        <f t="shared" si="4"/>
        <v>2.6505843683722528E-2</v>
      </c>
      <c r="E11" s="37">
        <f t="shared" si="1"/>
        <v>0.31169509223807856</v>
      </c>
      <c r="F11" s="4">
        <v>97981</v>
      </c>
      <c r="G11" s="11">
        <f t="shared" ref="G11:G12" si="5">F11/$F$5</f>
        <v>2.2126382856586687E-2</v>
      </c>
      <c r="H11" s="37">
        <f t="shared" si="2"/>
        <v>8.2998540533368708</v>
      </c>
      <c r="I11" s="4">
        <v>911209</v>
      </c>
      <c r="J11" s="11">
        <f>I11/$I$5</f>
        <v>0.17302187930437993</v>
      </c>
    </row>
    <row r="12" spans="2:16" x14ac:dyDescent="0.25">
      <c r="B12" s="28" t="s">
        <v>71</v>
      </c>
      <c r="C12" s="1">
        <v>0</v>
      </c>
      <c r="D12" s="11">
        <f t="shared" si="4"/>
        <v>0</v>
      </c>
      <c r="E12" s="37">
        <v>0</v>
      </c>
      <c r="F12" s="4">
        <v>93960</v>
      </c>
      <c r="G12" s="11">
        <f t="shared" si="5"/>
        <v>2.1218347773597792E-2</v>
      </c>
      <c r="H12" s="37">
        <f t="shared" si="2"/>
        <v>-1</v>
      </c>
      <c r="I12" s="4">
        <v>0</v>
      </c>
      <c r="J12" s="11">
        <f t="shared" si="3"/>
        <v>0</v>
      </c>
    </row>
    <row r="13" spans="2:16" x14ac:dyDescent="0.25">
      <c r="B13" s="48" t="s">
        <v>74</v>
      </c>
      <c r="C13" s="5">
        <v>871</v>
      </c>
      <c r="D13" s="32">
        <f t="shared" si="4"/>
        <v>3.0906570254253556E-4</v>
      </c>
      <c r="E13" s="36">
        <f t="shared" si="1"/>
        <v>32.135476463834671</v>
      </c>
      <c r="F13" s="31">
        <v>28861</v>
      </c>
      <c r="G13" s="32">
        <f>F13/$F$5</f>
        <v>6.5174833449745196E-3</v>
      </c>
      <c r="H13" s="36">
        <f t="shared" si="2"/>
        <v>-0.56536502546689305</v>
      </c>
      <c r="I13" s="31">
        <v>12544</v>
      </c>
      <c r="J13" s="32">
        <f t="shared" si="3"/>
        <v>2.3818755675088172E-3</v>
      </c>
      <c r="K13" s="12"/>
      <c r="O13" s="2"/>
      <c r="P13" s="9"/>
    </row>
    <row r="14" spans="2:16" x14ac:dyDescent="0.25">
      <c r="B14" s="48" t="s">
        <v>8</v>
      </c>
      <c r="C14" s="5">
        <v>-64945</v>
      </c>
      <c r="D14" s="32">
        <f t="shared" si="4"/>
        <v>-2.3045088463404102E-2</v>
      </c>
      <c r="E14" s="36">
        <f t="shared" si="1"/>
        <v>0.85070444222034025</v>
      </c>
      <c r="F14" s="31">
        <f>-120188-6</f>
        <v>-120194</v>
      </c>
      <c r="G14" s="32">
        <f>F14/$F$5</f>
        <v>-2.7142593574923508E-2</v>
      </c>
      <c r="H14" s="36">
        <f t="shared" si="2"/>
        <v>0.27102850391866484</v>
      </c>
      <c r="I14" s="31">
        <v>-152770</v>
      </c>
      <c r="J14" s="32">
        <f t="shared" si="3"/>
        <v>-2.9008221496199138E-2</v>
      </c>
    </row>
    <row r="15" spans="2:16" x14ac:dyDescent="0.25">
      <c r="B15" s="49" t="s">
        <v>9</v>
      </c>
      <c r="C15" s="38">
        <f>C19+C24+C27</f>
        <v>2070711</v>
      </c>
      <c r="D15" s="10">
        <f>C15/C5</f>
        <v>0.73477123992830806</v>
      </c>
      <c r="E15" s="13">
        <f>F15/C15-1</f>
        <v>0.43538378846685988</v>
      </c>
      <c r="F15" s="38">
        <f>F19+F24+F27</f>
        <v>2972265</v>
      </c>
      <c r="G15" s="10">
        <f>F15/$F$5</f>
        <v>0.67120639043521324</v>
      </c>
      <c r="H15" s="13">
        <f>I15/F15-1</f>
        <v>0.32123952608532558</v>
      </c>
      <c r="I15" s="38">
        <f>I19+I24+I27</f>
        <v>3927074</v>
      </c>
      <c r="J15" s="10">
        <f>I15/$I$5</f>
        <v>0.74567933772314421</v>
      </c>
    </row>
    <row r="16" spans="2:16" x14ac:dyDescent="0.25">
      <c r="B16" s="50" t="s">
        <v>10</v>
      </c>
      <c r="C16" s="51">
        <f>[1]FEB!C31</f>
        <v>7058531</v>
      </c>
      <c r="D16" s="52"/>
      <c r="E16" s="53"/>
      <c r="F16" s="51">
        <f>[1]FEB!F31</f>
        <v>9100563</v>
      </c>
      <c r="G16" s="52"/>
      <c r="H16" s="53"/>
      <c r="I16" s="51">
        <f>[1]FEB!I31</f>
        <v>7550681</v>
      </c>
      <c r="J16" s="54"/>
      <c r="K16" s="2"/>
    </row>
    <row r="17" spans="2:15" x14ac:dyDescent="0.25">
      <c r="B17" s="28" t="s">
        <v>11</v>
      </c>
      <c r="C17" s="4">
        <v>2036873</v>
      </c>
      <c r="D17" s="10"/>
      <c r="E17" s="37">
        <f>F17/C17-1</f>
        <v>-0.17389007562081682</v>
      </c>
      <c r="F17" s="4">
        <v>1682681</v>
      </c>
      <c r="G17" s="10"/>
      <c r="H17" s="37">
        <f>I17/F17-1</f>
        <v>0.99385445013047624</v>
      </c>
      <c r="I17" s="4">
        <f>3681823-326802</f>
        <v>3355021</v>
      </c>
      <c r="J17" s="39"/>
      <c r="K17" s="2"/>
    </row>
    <row r="18" spans="2:15" x14ac:dyDescent="0.25">
      <c r="B18" s="28" t="s">
        <v>13</v>
      </c>
      <c r="C18" s="4">
        <v>-36611</v>
      </c>
      <c r="D18" s="11"/>
      <c r="E18" s="13"/>
      <c r="F18" s="4">
        <v>-9271</v>
      </c>
      <c r="G18" s="11"/>
      <c r="H18" s="13"/>
      <c r="I18" s="4">
        <v>-11448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936226</v>
      </c>
      <c r="D19" s="32">
        <f>C19/C5</f>
        <v>0.33221050106611699</v>
      </c>
      <c r="E19" s="36">
        <f>F19/C19-1</f>
        <v>0.10253079918737562</v>
      </c>
      <c r="F19" s="31">
        <f>SUM(F20:F23)</f>
        <v>1032218</v>
      </c>
      <c r="G19" s="32">
        <f>F19/$F$5</f>
        <v>0.23309877077658114</v>
      </c>
      <c r="H19" s="36">
        <f>I19/F19-1</f>
        <v>0.16313995686957594</v>
      </c>
      <c r="I19" s="31">
        <f>SUM(I20:I23)</f>
        <v>1200614</v>
      </c>
      <c r="J19" s="32">
        <f>I19/$I$5</f>
        <v>0.22797458168120463</v>
      </c>
      <c r="K19" s="2"/>
      <c r="L19" s="2"/>
      <c r="O19" s="2"/>
    </row>
    <row r="20" spans="2:15" x14ac:dyDescent="0.25">
      <c r="B20" s="28" t="s">
        <v>75</v>
      </c>
      <c r="C20" s="4">
        <v>421058</v>
      </c>
      <c r="D20" s="11">
        <f t="shared" ref="D20" si="6">C20/$C$5</f>
        <v>0.14940825095425367</v>
      </c>
      <c r="E20" s="37">
        <f t="shared" ref="E20" si="7">F20/C20-1</f>
        <v>0.18367303316882699</v>
      </c>
      <c r="F20" s="4">
        <v>498395</v>
      </c>
      <c r="G20" s="11">
        <f t="shared" ref="G20" si="8">F20/$F$5</f>
        <v>0.11254915324204205</v>
      </c>
      <c r="H20" s="37">
        <f>I20/F20-1</f>
        <v>8.2454679521263285E-2</v>
      </c>
      <c r="I20" s="4">
        <f>411333+128157</f>
        <v>539490</v>
      </c>
      <c r="J20" s="11">
        <f>I20/$I$5</f>
        <v>0.10243925780575031</v>
      </c>
      <c r="K20" s="2"/>
      <c r="L20" s="2"/>
      <c r="O20" s="2"/>
    </row>
    <row r="21" spans="2:15" x14ac:dyDescent="0.25">
      <c r="B21" s="28" t="s">
        <v>76</v>
      </c>
      <c r="C21" s="4">
        <v>208861</v>
      </c>
      <c r="D21" s="11">
        <f>C21/$C$5</f>
        <v>7.4112252237355361E-2</v>
      </c>
      <c r="E21" s="37">
        <f>F21/C21-1</f>
        <v>-6.8863981308142752E-2</v>
      </c>
      <c r="F21" s="4">
        <v>194478</v>
      </c>
      <c r="G21" s="11">
        <f>F21/$F$5</f>
        <v>4.3917644085927535E-2</v>
      </c>
      <c r="H21" s="37">
        <f>I21/F21-1</f>
        <v>0.3891648412673927</v>
      </c>
      <c r="I21" s="4">
        <v>270162</v>
      </c>
      <c r="J21" s="11">
        <f>I21/$I$5</f>
        <v>5.129880955590857E-2</v>
      </c>
      <c r="K21" s="2"/>
      <c r="L21" s="2"/>
      <c r="O21" s="2"/>
    </row>
    <row r="22" spans="2:15" x14ac:dyDescent="0.25">
      <c r="B22" s="28" t="s">
        <v>77</v>
      </c>
      <c r="C22" s="4">
        <f>264227+42080-C23</f>
        <v>286911</v>
      </c>
      <c r="D22" s="11">
        <f t="shared" ref="D22:D23" si="9">C22/$C$5</f>
        <v>0.10180751984176971</v>
      </c>
      <c r="E22" s="37">
        <f t="shared" ref="E22:E23" si="10">F22/C22-1</f>
        <v>-9.1850782995423708E-2</v>
      </c>
      <c r="F22" s="4">
        <f>254267+26731+45000+13347-F23</f>
        <v>260558</v>
      </c>
      <c r="G22" s="11">
        <f t="shared" ref="G22:G23" si="11">F22/$F$5</f>
        <v>5.8840041072723427E-2</v>
      </c>
      <c r="H22" s="37">
        <f t="shared" ref="H22:H23" si="12">I22/F22-1</f>
        <v>0.17287129928845024</v>
      </c>
      <c r="I22" s="4">
        <f>390962-I23</f>
        <v>305601</v>
      </c>
      <c r="J22" s="11">
        <f t="shared" ref="J22:J23" si="13">I22/$I$5</f>
        <v>5.8028025773777268E-2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9"/>
        <v>6.8824780327382548E-3</v>
      </c>
      <c r="E23" s="37">
        <f t="shared" si="10"/>
        <v>3.062023097545886</v>
      </c>
      <c r="F23" s="4">
        <f>20440+45000+13347</f>
        <v>78787</v>
      </c>
      <c r="G23" s="11">
        <f t="shared" si="11"/>
        <v>1.7791932375888133E-2</v>
      </c>
      <c r="H23" s="37">
        <f t="shared" si="12"/>
        <v>8.344016144795452E-2</v>
      </c>
      <c r="I23" s="4">
        <v>85361</v>
      </c>
      <c r="J23" s="11">
        <f t="shared" si="13"/>
        <v>1.6208488545768507E-2</v>
      </c>
      <c r="K23" s="2"/>
    </row>
    <row r="24" spans="2:15" x14ac:dyDescent="0.25">
      <c r="B24" s="48" t="s">
        <v>78</v>
      </c>
      <c r="C24" s="31">
        <f>C25+C26</f>
        <v>960878</v>
      </c>
      <c r="D24" s="32">
        <f>C24/C5</f>
        <v>0.34095801851626462</v>
      </c>
      <c r="E24" s="36">
        <f>F24/C24-1</f>
        <v>0.61075391464889406</v>
      </c>
      <c r="F24" s="31">
        <f>F25+F26</f>
        <v>1547738</v>
      </c>
      <c r="G24" s="32">
        <f>F24/$F$5</f>
        <v>0.34951514630068858</v>
      </c>
      <c r="H24" s="36">
        <f>I24/F24-1</f>
        <v>-1.949360938350031E-2</v>
      </c>
      <c r="I24" s="31">
        <f>I25+I26</f>
        <v>1517567</v>
      </c>
      <c r="J24" s="32">
        <f>I24/$I$5</f>
        <v>0.28815814408144558</v>
      </c>
    </row>
    <row r="25" spans="2:15" x14ac:dyDescent="0.25">
      <c r="B25" s="28" t="s">
        <v>67</v>
      </c>
      <c r="C25" s="4">
        <f>960878-C26</f>
        <v>687828</v>
      </c>
      <c r="D25" s="11"/>
      <c r="E25" s="23"/>
      <c r="F25" s="4">
        <f>1547738-F26</f>
        <v>1166213</v>
      </c>
      <c r="G25" s="21"/>
      <c r="H25" s="23"/>
      <c r="I25" s="4">
        <f>1517567-I26</f>
        <v>1055003</v>
      </c>
      <c r="J25" s="11"/>
      <c r="K25" s="2"/>
    </row>
    <row r="26" spans="2:15" x14ac:dyDescent="0.25">
      <c r="B26" s="28" t="s">
        <v>68</v>
      </c>
      <c r="C26" s="4">
        <v>273050</v>
      </c>
      <c r="D26" s="11"/>
      <c r="E26" s="23"/>
      <c r="F26" s="4">
        <v>381525</v>
      </c>
      <c r="G26" s="21"/>
      <c r="H26" s="23"/>
      <c r="I26" s="4">
        <v>462564</v>
      </c>
      <c r="J26" s="11"/>
      <c r="K26" s="2"/>
    </row>
    <row r="27" spans="2:15" x14ac:dyDescent="0.25">
      <c r="B27" s="48" t="s">
        <v>66</v>
      </c>
      <c r="C27" s="31">
        <f>C28+C29+C30</f>
        <v>173607</v>
      </c>
      <c r="D27" s="32">
        <f>C27/C5</f>
        <v>6.1602720345926489E-2</v>
      </c>
      <c r="E27" s="36">
        <f>F27/C27-1</f>
        <v>1.2597533509593508</v>
      </c>
      <c r="F27" s="31">
        <f>F28+F29+F30</f>
        <v>392309</v>
      </c>
      <c r="G27" s="32">
        <f>F27/$F$5</f>
        <v>8.8592473357943541E-2</v>
      </c>
      <c r="H27" s="36">
        <f>I27/F27-1</f>
        <v>2.0814816891786831</v>
      </c>
      <c r="I27" s="31">
        <f>I28+I29+I30</f>
        <v>1208893</v>
      </c>
      <c r="J27" s="32">
        <f>I27/$I$5</f>
        <v>0.22954661196049397</v>
      </c>
      <c r="K27" s="2"/>
    </row>
    <row r="28" spans="2:15" x14ac:dyDescent="0.25">
      <c r="B28" s="28" t="s">
        <v>69</v>
      </c>
      <c r="C28" s="4">
        <v>105784</v>
      </c>
      <c r="D28" s="11">
        <f>C28/C10</f>
        <v>0.75909726956334544</v>
      </c>
      <c r="E28" s="23"/>
      <c r="F28" s="4">
        <v>235271</v>
      </c>
      <c r="G28" s="11">
        <f>F28/F10</f>
        <v>0.81240827771005919</v>
      </c>
      <c r="H28" s="23"/>
      <c r="I28" s="4">
        <v>367741</v>
      </c>
      <c r="J28" s="11">
        <f>I28/I10</f>
        <v>0.72818558048355475</v>
      </c>
      <c r="K28" s="2"/>
    </row>
    <row r="29" spans="2:15" x14ac:dyDescent="0.25">
      <c r="B29" s="28" t="s">
        <v>70</v>
      </c>
      <c r="C29" s="4">
        <v>67823</v>
      </c>
      <c r="D29" s="11">
        <f>C29/C11</f>
        <v>0.90796272992583471</v>
      </c>
      <c r="E29" s="23"/>
      <c r="F29" s="4">
        <v>86713</v>
      </c>
      <c r="G29" s="11">
        <f>F29/F11</f>
        <v>0.8849981118788337</v>
      </c>
      <c r="H29" s="23"/>
      <c r="I29" s="4">
        <v>841152</v>
      </c>
      <c r="J29" s="11">
        <f>I29/I11</f>
        <v>0.92311643102734942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70325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7924308</v>
      </c>
      <c r="D31" s="55"/>
      <c r="E31" s="53"/>
      <c r="F31" s="51">
        <f>F16+F17+F19+F18-F15</f>
        <v>8833926</v>
      </c>
      <c r="G31" s="55"/>
      <c r="H31" s="53"/>
      <c r="I31" s="51">
        <f>I16+I17+I19+I18-I15</f>
        <v>8167794</v>
      </c>
      <c r="J31" s="55"/>
      <c r="K31" s="2"/>
    </row>
    <row r="32" spans="2:15" x14ac:dyDescent="0.25">
      <c r="B32" s="56" t="s">
        <v>15</v>
      </c>
      <c r="C32" s="40">
        <f>C5-C15</f>
        <v>747460</v>
      </c>
      <c r="D32" s="41">
        <f>C32/$C$5</f>
        <v>0.26522876007169188</v>
      </c>
      <c r="E32" s="42">
        <f>F32/C32-1</f>
        <v>0.94790089101757946</v>
      </c>
      <c r="F32" s="40">
        <f>F5-F15</f>
        <v>1455978</v>
      </c>
      <c r="G32" s="41">
        <f>F32/$F$5</f>
        <v>0.32879360956478676</v>
      </c>
      <c r="H32" s="42">
        <f>I32/F32-1</f>
        <v>-8.009324316713573E-2</v>
      </c>
      <c r="I32" s="40">
        <f>I5-I15</f>
        <v>1339364</v>
      </c>
      <c r="J32" s="41">
        <f>I32/$I$5</f>
        <v>0.25432066227685579</v>
      </c>
    </row>
    <row r="33" spans="2:12" x14ac:dyDescent="0.25">
      <c r="B33" s="24" t="s">
        <v>16</v>
      </c>
      <c r="C33" s="25">
        <f>SUM(C36:C43)</f>
        <v>113795</v>
      </c>
      <c r="D33" s="26">
        <f>C33/$C$5</f>
        <v>4.0379025971099693E-2</v>
      </c>
      <c r="E33" s="27">
        <f>F33/C33-1</f>
        <v>0.36540269783382406</v>
      </c>
      <c r="F33" s="25">
        <f>SUM(F36:F43)</f>
        <v>155376</v>
      </c>
      <c r="G33" s="26">
        <f>F33/$F$5</f>
        <v>3.5087505360478187E-2</v>
      </c>
      <c r="H33" s="27">
        <f>I33/F33-1</f>
        <v>0.17704149933065594</v>
      </c>
      <c r="I33" s="25">
        <f>SUM(I36:I43)</f>
        <v>182884</v>
      </c>
      <c r="J33" s="26">
        <f>I33/$I$5</f>
        <v>3.4726317864180685E-2</v>
      </c>
      <c r="K33" s="12"/>
      <c r="L33" s="2"/>
    </row>
    <row r="34" spans="2:12" hidden="1" outlineLevel="1" x14ac:dyDescent="0.25">
      <c r="B34" s="28" t="s">
        <v>17</v>
      </c>
      <c r="C34" s="4">
        <v>92430</v>
      </c>
      <c r="D34" s="10"/>
      <c r="E34" s="13"/>
      <c r="F34" s="4">
        <v>121650</v>
      </c>
      <c r="G34" s="10"/>
      <c r="H34" s="13"/>
      <c r="I34" s="4">
        <v>147217</v>
      </c>
      <c r="J34" s="10"/>
      <c r="K34" s="12"/>
    </row>
    <row r="35" spans="2:12" hidden="1" outlineLevel="1" x14ac:dyDescent="0.25">
      <c r="B35" s="28" t="s">
        <v>18</v>
      </c>
      <c r="C35" s="4">
        <v>5455</v>
      </c>
      <c r="D35" s="10"/>
      <c r="E35" s="13"/>
      <c r="F35" s="4">
        <v>7778</v>
      </c>
      <c r="G35" s="10"/>
      <c r="H35" s="13"/>
      <c r="I35" s="4">
        <v>7879</v>
      </c>
      <c r="J35" s="10"/>
      <c r="K35" s="2"/>
    </row>
    <row r="36" spans="2:12" collapsed="1" x14ac:dyDescent="0.25">
      <c r="B36" s="48" t="s">
        <v>19</v>
      </c>
      <c r="C36" s="31">
        <f>C34+C35</f>
        <v>97885</v>
      </c>
      <c r="D36" s="32">
        <f t="shared" ref="D36:D44" si="14">C36/$C$33</f>
        <v>0.86018717869853689</v>
      </c>
      <c r="E36" s="36">
        <f>F36/C36-1</f>
        <v>0.32224549215916642</v>
      </c>
      <c r="F36" s="31">
        <f>F34+F35</f>
        <v>129428</v>
      </c>
      <c r="G36" s="32">
        <f>F36/$F$33</f>
        <v>0.83299866131191436</v>
      </c>
      <c r="H36" s="36">
        <f>I36/F36-1</f>
        <v>0.19831875637420038</v>
      </c>
      <c r="I36" s="31">
        <f>I34+I35</f>
        <v>155096</v>
      </c>
      <c r="J36" s="32">
        <f>I36/$I$33</f>
        <v>0.84805669167341047</v>
      </c>
      <c r="K36" s="2"/>
    </row>
    <row r="37" spans="2:12" x14ac:dyDescent="0.25">
      <c r="B37" s="28" t="s">
        <v>20</v>
      </c>
      <c r="C37" s="1">
        <v>6123</v>
      </c>
      <c r="D37" s="11">
        <f t="shared" si="14"/>
        <v>5.3807285030097983E-2</v>
      </c>
      <c r="E37" s="13"/>
      <c r="F37" s="4">
        <v>8091</v>
      </c>
      <c r="G37" s="11">
        <f>F37/$F$33</f>
        <v>5.2073679332715478E-2</v>
      </c>
      <c r="H37" s="13"/>
      <c r="I37" s="4">
        <v>6894</v>
      </c>
      <c r="J37" s="11">
        <f>I37/$I$33</f>
        <v>3.7696025896196493E-2</v>
      </c>
    </row>
    <row r="38" spans="2:12" hidden="1" outlineLevel="1" x14ac:dyDescent="0.25">
      <c r="B38" s="28" t="s">
        <v>21</v>
      </c>
      <c r="C38" s="1">
        <v>0</v>
      </c>
      <c r="D38" s="11">
        <f t="shared" si="14"/>
        <v>0</v>
      </c>
      <c r="E38" s="13"/>
      <c r="F38" s="4">
        <v>0</v>
      </c>
      <c r="G38" s="11">
        <f t="shared" ref="G38:G43" si="15">F38/$C$33</f>
        <v>0</v>
      </c>
      <c r="H38" s="13"/>
      <c r="I38" s="4">
        <v>0</v>
      </c>
      <c r="J38" s="11">
        <f t="shared" ref="J38:J43" si="16">I38/$C$33</f>
        <v>0</v>
      </c>
    </row>
    <row r="39" spans="2:12" hidden="1" outlineLevel="1" x14ac:dyDescent="0.25">
      <c r="B39" s="28" t="s">
        <v>22</v>
      </c>
      <c r="C39" s="45">
        <v>247</v>
      </c>
      <c r="D39" s="11">
        <f t="shared" si="14"/>
        <v>2.1705698844413199E-3</v>
      </c>
      <c r="E39" s="13"/>
      <c r="F39" s="4">
        <v>0</v>
      </c>
      <c r="G39" s="11">
        <f t="shared" si="15"/>
        <v>0</v>
      </c>
      <c r="H39" s="13"/>
      <c r="I39" s="4">
        <v>0</v>
      </c>
      <c r="J39" s="11">
        <f t="shared" si="16"/>
        <v>0</v>
      </c>
    </row>
    <row r="40" spans="2:12" hidden="1" outlineLevel="1" x14ac:dyDescent="0.25">
      <c r="B40" s="28" t="s">
        <v>23</v>
      </c>
      <c r="C40" s="1">
        <v>1757</v>
      </c>
      <c r="D40" s="11">
        <f t="shared" si="14"/>
        <v>1.5440045696208094E-2</v>
      </c>
      <c r="E40" s="13"/>
      <c r="F40" s="4">
        <v>822</v>
      </c>
      <c r="G40" s="11">
        <f t="shared" si="15"/>
        <v>7.2235159717035022E-3</v>
      </c>
      <c r="H40" s="13"/>
      <c r="I40" s="4">
        <v>3693</v>
      </c>
      <c r="J40" s="11">
        <f t="shared" si="16"/>
        <v>3.2453095478711717E-2</v>
      </c>
    </row>
    <row r="41" spans="2:12" hidden="1" outlineLevel="1" x14ac:dyDescent="0.25">
      <c r="B41" s="28" t="s">
        <v>24</v>
      </c>
      <c r="C41" s="45">
        <v>5635</v>
      </c>
      <c r="D41" s="11">
        <f t="shared" si="14"/>
        <v>4.9518871655169383E-2</v>
      </c>
      <c r="E41" s="13"/>
      <c r="F41" s="4">
        <v>13768</v>
      </c>
      <c r="G41" s="11">
        <f t="shared" si="15"/>
        <v>0.12098949865987083</v>
      </c>
      <c r="H41" s="13"/>
      <c r="I41" s="4">
        <v>13977</v>
      </c>
      <c r="J41" s="11">
        <f t="shared" si="16"/>
        <v>0.12282613471593655</v>
      </c>
    </row>
    <row r="42" spans="2:12" hidden="1" outlineLevel="1" x14ac:dyDescent="0.25">
      <c r="B42" s="28" t="s">
        <v>25</v>
      </c>
      <c r="C42" s="1">
        <v>376</v>
      </c>
      <c r="D42" s="11">
        <f t="shared" si="14"/>
        <v>3.3041873544531835E-3</v>
      </c>
      <c r="E42" s="13"/>
      <c r="F42" s="4">
        <v>981</v>
      </c>
      <c r="G42" s="11">
        <f t="shared" si="15"/>
        <v>8.6207654114855668E-3</v>
      </c>
      <c r="H42" s="13"/>
      <c r="I42" s="4">
        <v>715</v>
      </c>
      <c r="J42" s="11">
        <f t="shared" si="16"/>
        <v>6.2832286128564523E-3</v>
      </c>
    </row>
    <row r="43" spans="2:12" hidden="1" outlineLevel="1" x14ac:dyDescent="0.25">
      <c r="B43" s="28" t="s">
        <v>26</v>
      </c>
      <c r="C43" s="1">
        <v>1772</v>
      </c>
      <c r="D43" s="11">
        <f t="shared" si="14"/>
        <v>1.5571861681093193E-2</v>
      </c>
      <c r="E43" s="13"/>
      <c r="F43" s="4">
        <v>2286</v>
      </c>
      <c r="G43" s="11">
        <f t="shared" si="15"/>
        <v>2.0088756096489302E-2</v>
      </c>
      <c r="H43" s="13"/>
      <c r="I43" s="4">
        <v>2509</v>
      </c>
      <c r="J43" s="11">
        <f t="shared" si="16"/>
        <v>2.2048420405114462E-2</v>
      </c>
    </row>
    <row r="44" spans="2:12" collapsed="1" x14ac:dyDescent="0.25">
      <c r="B44" s="48" t="s">
        <v>27</v>
      </c>
      <c r="C44" s="5">
        <f>SUM(C38:C43)</f>
        <v>9787</v>
      </c>
      <c r="D44" s="32">
        <f t="shared" si="14"/>
        <v>8.6005536271365174E-2</v>
      </c>
      <c r="E44" s="43"/>
      <c r="F44" s="31">
        <f>SUM(F38:F43)</f>
        <v>17857</v>
      </c>
      <c r="G44" s="32">
        <f>F44/$F$33</f>
        <v>0.11492765935537019</v>
      </c>
      <c r="H44" s="43"/>
      <c r="I44" s="31">
        <f>SUM(I38:I43)</f>
        <v>20894</v>
      </c>
      <c r="J44" s="32">
        <f>I44/$I$33</f>
        <v>0.11424728243039303</v>
      </c>
      <c r="K44" s="2"/>
    </row>
    <row r="45" spans="2:12" x14ac:dyDescent="0.25">
      <c r="B45" s="24" t="s">
        <v>28</v>
      </c>
      <c r="C45" s="25">
        <f>SUM(C46:C55)</f>
        <v>149304</v>
      </c>
      <c r="D45" s="26">
        <f>C45/$C$5</f>
        <v>5.2979042080838958E-2</v>
      </c>
      <c r="E45" s="27">
        <f>F45/C45-1</f>
        <v>0.19160236832234911</v>
      </c>
      <c r="F45" s="25">
        <f>SUM(F46:F55)</f>
        <v>177911</v>
      </c>
      <c r="G45" s="26">
        <f>F45/$F$5</f>
        <v>4.0176431148877784E-2</v>
      </c>
      <c r="H45" s="27">
        <f>I45/F45-1</f>
        <v>0.51234043988286282</v>
      </c>
      <c r="I45" s="25">
        <f>SUM(I46:I55)</f>
        <v>269062</v>
      </c>
      <c r="J45" s="26">
        <f>I45/$I$5</f>
        <v>5.1089939727762865E-2</v>
      </c>
      <c r="K45" s="12"/>
    </row>
    <row r="46" spans="2:12" x14ac:dyDescent="0.25">
      <c r="B46" s="28" t="s">
        <v>17</v>
      </c>
      <c r="C46" s="1">
        <v>106273</v>
      </c>
      <c r="D46" s="11">
        <f t="shared" ref="D46:D56" si="17">C46/$C$45</f>
        <v>0.71178936934040615</v>
      </c>
      <c r="E46" s="37">
        <f>F46/C46-1</f>
        <v>9.9545510148391303E-2</v>
      </c>
      <c r="F46" s="4">
        <v>116852</v>
      </c>
      <c r="G46" s="11">
        <f>F46/$F$45</f>
        <v>0.6568003102674933</v>
      </c>
      <c r="H46" s="37">
        <f>I46/F46-1</f>
        <v>0.54950706877075284</v>
      </c>
      <c r="I46" s="4">
        <v>181063</v>
      </c>
      <c r="J46" s="11">
        <f>I46/$I$45</f>
        <v>0.67294155250462717</v>
      </c>
      <c r="K46" s="12"/>
    </row>
    <row r="47" spans="2:12" x14ac:dyDescent="0.25">
      <c r="B47" s="28" t="s">
        <v>29</v>
      </c>
      <c r="C47" s="1">
        <v>21160</v>
      </c>
      <c r="D47" s="11">
        <f t="shared" si="17"/>
        <v>0.14172426726678455</v>
      </c>
      <c r="E47" s="37">
        <f>F47/C47-1</f>
        <v>0.54272211720226848</v>
      </c>
      <c r="F47" s="4">
        <v>32644</v>
      </c>
      <c r="G47" s="11">
        <f t="shared" ref="G47:G56" si="18">F47/$F$45</f>
        <v>0.18348500092743</v>
      </c>
      <c r="H47" s="37">
        <f>I47/F47-1</f>
        <v>0.18511824531307441</v>
      </c>
      <c r="I47" s="4">
        <v>38687</v>
      </c>
      <c r="J47" s="11">
        <f t="shared" ref="J47:J56" si="19">I47/$I$45</f>
        <v>0.14378470389724302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7"/>
        <v>0</v>
      </c>
      <c r="E48" s="13"/>
      <c r="F48" s="4">
        <v>435</v>
      </c>
      <c r="G48" s="11">
        <f t="shared" si="18"/>
        <v>2.4450427460921474E-3</v>
      </c>
      <c r="H48" s="13"/>
      <c r="I48" s="4"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7"/>
        <v>0</v>
      </c>
      <c r="E49" s="13"/>
      <c r="F49" s="4">
        <v>639</v>
      </c>
      <c r="G49" s="11">
        <f t="shared" si="18"/>
        <v>3.5916834821905336E-3</v>
      </c>
      <c r="H49" s="13"/>
      <c r="I49" s="4">
        <f>54</f>
        <v>54</v>
      </c>
      <c r="J49" s="11">
        <f t="shared" si="19"/>
        <v>2.0069723706803635E-4</v>
      </c>
    </row>
    <row r="50" spans="2:11" hidden="1" outlineLevel="1" x14ac:dyDescent="0.25">
      <c r="B50" s="28" t="s">
        <v>79</v>
      </c>
      <c r="C50" s="4">
        <v>0</v>
      </c>
      <c r="D50" s="11">
        <f t="shared" si="17"/>
        <v>0</v>
      </c>
      <c r="E50" s="13"/>
      <c r="F50" s="4">
        <v>320</v>
      </c>
      <c r="G50" s="11">
        <f t="shared" si="18"/>
        <v>1.7986521350562923E-3</v>
      </c>
      <c r="H50" s="13"/>
      <c r="I50" s="4">
        <v>0</v>
      </c>
      <c r="J50" s="11">
        <f t="shared" si="19"/>
        <v>0</v>
      </c>
    </row>
    <row r="51" spans="2:11" hidden="1" outlineLevel="1" x14ac:dyDescent="0.25">
      <c r="B51" s="28" t="s">
        <v>31</v>
      </c>
      <c r="C51" s="1">
        <v>0</v>
      </c>
      <c r="D51" s="11">
        <f t="shared" si="17"/>
        <v>0</v>
      </c>
      <c r="E51" s="13"/>
      <c r="F51" s="4">
        <v>1172</v>
      </c>
      <c r="G51" s="11">
        <f t="shared" si="18"/>
        <v>6.5875634446436702E-3</v>
      </c>
      <c r="H51" s="13"/>
      <c r="I51" s="4"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1">
        <v>0</v>
      </c>
      <c r="D52" s="11">
        <f t="shared" si="17"/>
        <v>0</v>
      </c>
      <c r="E52" s="13"/>
      <c r="F52" s="4">
        <v>549</v>
      </c>
      <c r="G52" s="11">
        <f t="shared" si="18"/>
        <v>3.0858125692059513E-3</v>
      </c>
      <c r="H52" s="13"/>
      <c r="I52" s="4">
        <f>675</f>
        <v>675</v>
      </c>
      <c r="J52" s="11">
        <f t="shared" si="19"/>
        <v>2.5087154633504547E-3</v>
      </c>
    </row>
    <row r="53" spans="2:11" hidden="1" outlineLevel="1" x14ac:dyDescent="0.25">
      <c r="B53" s="28" t="s">
        <v>33</v>
      </c>
      <c r="C53" s="1">
        <v>7797</v>
      </c>
      <c r="D53" s="11">
        <f t="shared" si="17"/>
        <v>5.2222311525478217E-2</v>
      </c>
      <c r="E53" s="13"/>
      <c r="F53" s="4">
        <v>4162</v>
      </c>
      <c r="G53" s="11">
        <f t="shared" si="18"/>
        <v>2.3393719331575899E-2</v>
      </c>
      <c r="H53" s="13"/>
      <c r="I53" s="4">
        <v>12016</v>
      </c>
      <c r="J53" s="11">
        <f t="shared" si="19"/>
        <v>4.4658851863139351E-2</v>
      </c>
    </row>
    <row r="54" spans="2:11" hidden="1" outlineLevel="1" x14ac:dyDescent="0.25">
      <c r="B54" s="28" t="s">
        <v>20</v>
      </c>
      <c r="C54" s="1">
        <v>1225</v>
      </c>
      <c r="D54" s="11">
        <f t="shared" si="17"/>
        <v>8.2047366446980664E-3</v>
      </c>
      <c r="E54" s="13"/>
      <c r="F54" s="4">
        <v>1417</v>
      </c>
      <c r="G54" s="11">
        <f t="shared" si="18"/>
        <v>7.9646564855461437E-3</v>
      </c>
      <c r="H54" s="13"/>
      <c r="I54" s="4">
        <v>1417</v>
      </c>
      <c r="J54" s="11">
        <f t="shared" si="19"/>
        <v>5.2664441652853248E-3</v>
      </c>
    </row>
    <row r="55" spans="2:11" hidden="1" outlineLevel="1" x14ac:dyDescent="0.25">
      <c r="B55" s="28" t="s">
        <v>26</v>
      </c>
      <c r="C55" s="4">
        <v>12849</v>
      </c>
      <c r="D55" s="11">
        <f t="shared" si="17"/>
        <v>8.605931522263302E-2</v>
      </c>
      <c r="E55" s="13"/>
      <c r="F55" s="4">
        <v>19721</v>
      </c>
      <c r="G55" s="11">
        <f t="shared" si="18"/>
        <v>0.11084755861076606</v>
      </c>
      <c r="H55" s="13"/>
      <c r="I55" s="4">
        <v>35150</v>
      </c>
      <c r="J55" s="11">
        <f t="shared" si="19"/>
        <v>0.13063903486928663</v>
      </c>
      <c r="K55" s="2"/>
    </row>
    <row r="56" spans="2:11" collapsed="1" x14ac:dyDescent="0.25">
      <c r="B56" s="48" t="s">
        <v>34</v>
      </c>
      <c r="C56" s="31">
        <f>SUM(C48:C55)</f>
        <v>21871</v>
      </c>
      <c r="D56" s="32">
        <f t="shared" si="17"/>
        <v>0.14648636339280929</v>
      </c>
      <c r="E56" s="43"/>
      <c r="F56" s="31">
        <f>SUM(F48:F55)</f>
        <v>28415</v>
      </c>
      <c r="G56" s="32">
        <f t="shared" si="18"/>
        <v>0.15971468880507669</v>
      </c>
      <c r="H56" s="43"/>
      <c r="I56" s="31">
        <f>SUM(I48:I55)</f>
        <v>49312</v>
      </c>
      <c r="J56" s="32">
        <f t="shared" si="19"/>
        <v>0.18327374359812981</v>
      </c>
    </row>
    <row r="57" spans="2:11" x14ac:dyDescent="0.25">
      <c r="B57" s="24" t="s">
        <v>59</v>
      </c>
      <c r="C57" s="25">
        <f>SUM(C58:C62)</f>
        <v>173252</v>
      </c>
      <c r="D57" s="26">
        <f>C57/$C$5</f>
        <v>6.147675212043556E-2</v>
      </c>
      <c r="E57" s="27">
        <f>F57/C57-1</f>
        <v>-9.5744926465495372E-2</v>
      </c>
      <c r="F57" s="25">
        <f>SUM(F58:F62)</f>
        <v>156664</v>
      </c>
      <c r="G57" s="26">
        <f>F57/$F$5</f>
        <v>3.5378365640729291E-2</v>
      </c>
      <c r="H57" s="27">
        <f t="shared" ref="H57:H64" si="20">I57/F57-1</f>
        <v>0.72714216412194244</v>
      </c>
      <c r="I57" s="25">
        <f>SUM(I58:I62)</f>
        <v>270581</v>
      </c>
      <c r="J57" s="26">
        <f>I57/$I$5</f>
        <v>5.1378369972265886E-2</v>
      </c>
      <c r="K57" s="12"/>
    </row>
    <row r="58" spans="2:11" x14ac:dyDescent="0.25">
      <c r="B58" s="28" t="s">
        <v>17</v>
      </c>
      <c r="C58" s="4">
        <v>41837</v>
      </c>
      <c r="D58" s="11">
        <f>C58/$C$57</f>
        <v>0.24148061782836561</v>
      </c>
      <c r="E58" s="37"/>
      <c r="F58" s="4">
        <v>35884</v>
      </c>
      <c r="G58" s="11">
        <f>F58/$F$57</f>
        <v>0.22905070724608079</v>
      </c>
      <c r="H58" s="37"/>
      <c r="I58" s="4">
        <v>58736</v>
      </c>
      <c r="J58" s="11">
        <f>I58/$I$57</f>
        <v>0.21707363044707501</v>
      </c>
      <c r="K58" s="2"/>
    </row>
    <row r="59" spans="2:11" x14ac:dyDescent="0.25">
      <c r="B59" s="28" t="s">
        <v>35</v>
      </c>
      <c r="C59" s="4">
        <v>2179</v>
      </c>
      <c r="D59" s="11">
        <f>C59/$C$57</f>
        <v>1.2577055387527994E-2</v>
      </c>
      <c r="E59" s="37"/>
      <c r="F59" s="4">
        <v>2075</v>
      </c>
      <c r="G59" s="11">
        <f>F59/$F$57</f>
        <v>1.3244906296277384E-2</v>
      </c>
      <c r="H59" s="37"/>
      <c r="I59" s="4">
        <v>2107</v>
      </c>
      <c r="J59" s="11">
        <f>I59/$I$57</f>
        <v>7.7869473466355733E-3</v>
      </c>
      <c r="K59" s="2"/>
    </row>
    <row r="60" spans="2:11" x14ac:dyDescent="0.25">
      <c r="B60" s="28" t="s">
        <v>36</v>
      </c>
      <c r="C60" s="4">
        <v>126648</v>
      </c>
      <c r="D60" s="11">
        <f>C60/$C$57</f>
        <v>0.73100454828804284</v>
      </c>
      <c r="E60" s="37"/>
      <c r="F60" s="4">
        <v>117998</v>
      </c>
      <c r="G60" s="11">
        <f>F60/$F$57</f>
        <v>0.75319154368584995</v>
      </c>
      <c r="H60" s="37"/>
      <c r="I60" s="4">
        <v>208611</v>
      </c>
      <c r="J60" s="11">
        <f>I60/$I$57</f>
        <v>0.77097431083483314</v>
      </c>
      <c r="K60" s="12"/>
    </row>
    <row r="61" spans="2:11" x14ac:dyDescent="0.25">
      <c r="B61" s="28" t="s">
        <v>37</v>
      </c>
      <c r="C61" s="1">
        <v>0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2588</v>
      </c>
      <c r="D62" s="11"/>
      <c r="E62" s="37"/>
      <c r="F62" s="4">
        <v>707</v>
      </c>
      <c r="G62" s="11"/>
      <c r="H62" s="37"/>
      <c r="I62" s="4">
        <v>1127</v>
      </c>
      <c r="J62" s="11">
        <f>I62/$I$57</f>
        <v>4.1651113714562364E-3</v>
      </c>
    </row>
    <row r="63" spans="2:11" x14ac:dyDescent="0.25">
      <c r="B63" s="56" t="s">
        <v>38</v>
      </c>
      <c r="C63" s="40">
        <f>C32-C33-C45-C57</f>
        <v>311109</v>
      </c>
      <c r="D63" s="41">
        <f>C63/$C$5</f>
        <v>0.11039393989931767</v>
      </c>
      <c r="E63" s="42">
        <f>F63/C63-1</f>
        <v>2.1051078560890235</v>
      </c>
      <c r="F63" s="40">
        <f>F32-F33-F45-F57</f>
        <v>966027</v>
      </c>
      <c r="G63" s="41">
        <f>F63/$F$5</f>
        <v>0.21815130741470148</v>
      </c>
      <c r="H63" s="42">
        <f t="shared" si="20"/>
        <v>-0.36147022805780793</v>
      </c>
      <c r="I63" s="40">
        <f>I32-I33-I45-I57</f>
        <v>616837</v>
      </c>
      <c r="J63" s="41">
        <f>I63/$I$5</f>
        <v>0.11712603471264639</v>
      </c>
      <c r="K63" s="2"/>
    </row>
    <row r="64" spans="2:11" x14ac:dyDescent="0.25">
      <c r="B64" s="24" t="s">
        <v>39</v>
      </c>
      <c r="C64" s="25">
        <f>SUM(C65:C70)</f>
        <v>93761</v>
      </c>
      <c r="D64" s="26">
        <f>C64/$C$5</f>
        <v>3.3270159972549569E-2</v>
      </c>
      <c r="E64" s="27">
        <f>F64/C64-1</f>
        <v>0.4412068983905888</v>
      </c>
      <c r="F64" s="25">
        <f>SUM(F65:F70)</f>
        <v>135129</v>
      </c>
      <c r="G64" s="26">
        <f>F64/$F$5</f>
        <v>3.0515263051282417E-2</v>
      </c>
      <c r="H64" s="27">
        <f t="shared" si="20"/>
        <v>-0.44592204486083664</v>
      </c>
      <c r="I64" s="25">
        <f>SUM(I65:I70)</f>
        <v>74872</v>
      </c>
      <c r="J64" s="26">
        <f>I64/$I$5</f>
        <v>1.4216819793568253E-2</v>
      </c>
    </row>
    <row r="65" spans="2:12" hidden="1" outlineLevel="1" x14ac:dyDescent="0.25">
      <c r="B65" s="28" t="s">
        <v>40</v>
      </c>
      <c r="C65" s="4">
        <v>65282</v>
      </c>
      <c r="D65" s="21"/>
      <c r="E65" s="23"/>
      <c r="F65" s="4">
        <v>17753</v>
      </c>
      <c r="G65" s="21"/>
      <c r="H65" s="23"/>
      <c r="I65" s="4">
        <v>18443</v>
      </c>
      <c r="J65" s="21"/>
    </row>
    <row r="66" spans="2:12" hidden="1" outlineLevel="1" x14ac:dyDescent="0.25">
      <c r="B66" s="28" t="s">
        <v>41</v>
      </c>
      <c r="C66" s="4">
        <v>0</v>
      </c>
      <c r="D66" s="21"/>
      <c r="E66" s="23"/>
      <c r="F66" s="4">
        <v>44644</v>
      </c>
      <c r="G66" s="21"/>
      <c r="H66" s="23"/>
      <c r="I66" s="4">
        <v>16423</v>
      </c>
      <c r="J66" s="21"/>
    </row>
    <row r="67" spans="2:12" hidden="1" outlineLevel="1" x14ac:dyDescent="0.25">
      <c r="B67" s="28" t="s">
        <v>80</v>
      </c>
      <c r="C67" s="4">
        <v>25762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40911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v>2717</v>
      </c>
      <c r="D70" s="21"/>
      <c r="E70" s="23"/>
      <c r="F70" s="4">
        <v>2638</v>
      </c>
      <c r="G70" s="21"/>
      <c r="H70" s="23"/>
      <c r="I70" s="4">
        <v>6</v>
      </c>
      <c r="J70" s="21"/>
    </row>
    <row r="71" spans="2:12" collapsed="1" x14ac:dyDescent="0.25">
      <c r="B71" s="24" t="s">
        <v>43</v>
      </c>
      <c r="C71" s="25">
        <f>SUM(C72:C78)</f>
        <v>47847</v>
      </c>
      <c r="D71" s="26">
        <f>C71/$C$5</f>
        <v>1.6978032915674741E-2</v>
      </c>
      <c r="E71" s="27">
        <f>F71/C71-1</f>
        <v>0.51405521767299933</v>
      </c>
      <c r="F71" s="25">
        <f>SUM(F72:F78)</f>
        <v>72443</v>
      </c>
      <c r="G71" s="26">
        <f>F71/$F$5</f>
        <v>1.6359310001732064E-2</v>
      </c>
      <c r="H71" s="27">
        <f>I71/F71-1</f>
        <v>5.9626879063539606</v>
      </c>
      <c r="I71" s="25">
        <f>SUM(I72:I78)</f>
        <v>504398</v>
      </c>
      <c r="J71" s="26">
        <f>I71/$I$5</f>
        <v>9.5775930524578473E-2</v>
      </c>
    </row>
    <row r="72" spans="2:12" hidden="1" outlineLevel="1" x14ac:dyDescent="0.25">
      <c r="B72" s="28" t="s">
        <v>44</v>
      </c>
      <c r="C72" s="4">
        <v>895</v>
      </c>
      <c r="D72" s="10"/>
      <c r="E72" s="13"/>
      <c r="F72" s="4">
        <v>1094</v>
      </c>
      <c r="G72" s="10"/>
      <c r="H72" s="13"/>
      <c r="I72" s="4">
        <v>1152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46697</v>
      </c>
      <c r="G73" s="10"/>
      <c r="H73" s="13"/>
      <c r="I73" s="4">
        <f>353+408049</f>
        <v>408402</v>
      </c>
      <c r="J73" s="10"/>
      <c r="K73" s="2"/>
    </row>
    <row r="74" spans="2:12" hidden="1" outlineLevel="1" x14ac:dyDescent="0.25">
      <c r="B74" s="28" t="s">
        <v>41</v>
      </c>
      <c r="C74" s="4">
        <v>2954</v>
      </c>
      <c r="D74" s="10"/>
      <c r="E74" s="13"/>
      <c r="F74" s="4">
        <v>55</v>
      </c>
      <c r="G74" s="10"/>
      <c r="H74" s="13"/>
      <c r="I74" s="4">
        <v>11127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19452</v>
      </c>
      <c r="D76" s="10"/>
      <c r="E76" s="13"/>
      <c r="F76" s="4">
        <v>18343</v>
      </c>
      <c r="G76" s="10"/>
      <c r="H76" s="13"/>
      <c r="I76" s="4">
        <v>31587</v>
      </c>
      <c r="J76" s="10"/>
    </row>
    <row r="77" spans="2:12" hidden="1" outlineLevel="1" x14ac:dyDescent="0.25">
      <c r="B77" s="28" t="s">
        <v>63</v>
      </c>
      <c r="C77" s="1">
        <v>24532</v>
      </c>
      <c r="D77" s="10"/>
      <c r="E77" s="13"/>
      <c r="F77" s="4">
        <v>6254</v>
      </c>
      <c r="G77" s="10"/>
      <c r="H77" s="13"/>
      <c r="I77" s="4">
        <v>16417</v>
      </c>
      <c r="J77" s="10"/>
    </row>
    <row r="78" spans="2:12" hidden="1" outlineLevel="1" x14ac:dyDescent="0.25">
      <c r="B78" s="28" t="s">
        <v>47</v>
      </c>
      <c r="C78" s="3">
        <v>14</v>
      </c>
      <c r="D78" s="10"/>
      <c r="E78" s="13"/>
      <c r="F78" s="4">
        <v>0</v>
      </c>
      <c r="G78" s="10"/>
      <c r="H78" s="13"/>
      <c r="I78" s="4">
        <v>35713</v>
      </c>
      <c r="J78" s="10"/>
    </row>
    <row r="79" spans="2:12" collapsed="1" x14ac:dyDescent="0.25">
      <c r="B79" s="56" t="s">
        <v>48</v>
      </c>
      <c r="C79" s="40">
        <f>C63-C71+C64</f>
        <v>357023</v>
      </c>
      <c r="D79" s="41">
        <f>C79/C5</f>
        <v>0.1266860669561925</v>
      </c>
      <c r="E79" s="42">
        <f>F79/C79-1</f>
        <v>1.8813633855521914</v>
      </c>
      <c r="F79" s="40">
        <f>F63-F71+F64</f>
        <v>1028713</v>
      </c>
      <c r="G79" s="41">
        <f>F79/F5</f>
        <v>0.23230726046425185</v>
      </c>
      <c r="H79" s="42">
        <f>I79/F79-1</f>
        <v>-0.8179171450151792</v>
      </c>
      <c r="I79" s="40">
        <f>I63-I71+I64</f>
        <v>187311</v>
      </c>
      <c r="J79" s="41">
        <f>I79/$I$5</f>
        <v>3.5566923981636162E-2</v>
      </c>
      <c r="K79" s="8"/>
      <c r="L79" s="15"/>
    </row>
    <row r="80" spans="2:12" x14ac:dyDescent="0.25">
      <c r="B80" s="24" t="s">
        <v>49</v>
      </c>
      <c r="C80" s="25">
        <f>SUM(C81:C90)</f>
        <v>69072</v>
      </c>
      <c r="D80" s="26">
        <f>C80/$C$5</f>
        <v>2.450951343974514E-2</v>
      </c>
      <c r="E80" s="27">
        <f>F80/C80-1</f>
        <v>-0.18350416956219595</v>
      </c>
      <c r="F80" s="25">
        <f>SUM(F81:F90)</f>
        <v>56397</v>
      </c>
      <c r="G80" s="26">
        <f>F80/$F$5</f>
        <v>1.2735750951336682E-2</v>
      </c>
      <c r="H80" s="27">
        <f>I80/F80-1</f>
        <v>5.0046456371792827</v>
      </c>
      <c r="I80" s="25">
        <f>SUM(I81:I90)</f>
        <v>338644</v>
      </c>
      <c r="J80" s="26">
        <f>I80/$I$5</f>
        <v>6.430228552961223E-2</v>
      </c>
      <c r="K80" s="19"/>
    </row>
    <row r="81" spans="2:12" hidden="1" outlineLevel="1" x14ac:dyDescent="0.25">
      <c r="B81" s="28" t="s">
        <v>17</v>
      </c>
      <c r="C81" s="1">
        <v>35956</v>
      </c>
      <c r="D81" s="10"/>
      <c r="E81" s="13"/>
      <c r="F81" s="4">
        <v>45339</v>
      </c>
      <c r="G81" s="10"/>
      <c r="H81" s="13"/>
      <c r="I81" s="4">
        <v>307307</v>
      </c>
      <c r="J81" s="10"/>
    </row>
    <row r="82" spans="2:12" hidden="1" outlineLevel="1" x14ac:dyDescent="0.25">
      <c r="B82" s="28" t="s">
        <v>50</v>
      </c>
      <c r="C82" s="4">
        <v>0</v>
      </c>
      <c r="D82" s="10"/>
      <c r="E82" s="13"/>
      <c r="F82" s="4">
        <v>0</v>
      </c>
      <c r="G82" s="10"/>
      <c r="H82" s="13"/>
      <c r="I82" s="4">
        <v>0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>
        <v>21728</v>
      </c>
      <c r="D84" s="10"/>
      <c r="E84" s="13"/>
      <c r="F84" s="4">
        <v>0</v>
      </c>
      <c r="G84" s="10"/>
      <c r="H84" s="13"/>
      <c r="I84" s="4">
        <v>26463</v>
      </c>
      <c r="J84" s="10"/>
      <c r="K84" s="2"/>
    </row>
    <row r="85" spans="2:12" hidden="1" outlineLevel="1" x14ac:dyDescent="0.25">
      <c r="B85" s="28" t="s">
        <v>84</v>
      </c>
      <c r="C85" s="1">
        <v>5538</v>
      </c>
      <c r="D85" s="10"/>
      <c r="E85" s="13"/>
      <c r="F85" s="4">
        <v>5166</v>
      </c>
      <c r="G85" s="10"/>
      <c r="H85" s="13"/>
      <c r="I85" s="4">
        <v>797</v>
      </c>
      <c r="J85" s="10"/>
    </row>
    <row r="86" spans="2:12" hidden="1" outlineLevel="1" x14ac:dyDescent="0.25">
      <c r="B86" s="28" t="s">
        <v>54</v>
      </c>
      <c r="C86" s="3">
        <v>495</v>
      </c>
      <c r="D86" s="10"/>
      <c r="E86" s="13"/>
      <c r="F86" s="4">
        <v>365</v>
      </c>
      <c r="G86" s="10"/>
      <c r="H86" s="13"/>
      <c r="I86" s="4">
        <v>411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0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>
        <v>0</v>
      </c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v>0</v>
      </c>
      <c r="D90" s="10"/>
      <c r="E90" s="13"/>
      <c r="F90" s="4">
        <v>0</v>
      </c>
      <c r="G90" s="10"/>
      <c r="H90" s="13"/>
      <c r="I90" s="4">
        <v>111</v>
      </c>
      <c r="J90" s="10"/>
    </row>
    <row r="91" spans="2:12" collapsed="1" x14ac:dyDescent="0.25">
      <c r="B91" s="56" t="s">
        <v>85</v>
      </c>
      <c r="C91" s="44">
        <f>C79-C80</f>
        <v>287951</v>
      </c>
      <c r="D91" s="41">
        <f>C91/C5</f>
        <v>0.10217655351644737</v>
      </c>
      <c r="E91" s="42">
        <f>F91/C91-1</f>
        <v>2.3766717253977241</v>
      </c>
      <c r="F91" s="44">
        <f>F79-F80</f>
        <v>972316</v>
      </c>
      <c r="G91" s="41">
        <f>F91/F5</f>
        <v>0.21957150951291518</v>
      </c>
      <c r="H91" s="42">
        <f>I91/F91-1</f>
        <v>-1.1556417872378939</v>
      </c>
      <c r="I91" s="46">
        <f>I79-I80</f>
        <v>-151333</v>
      </c>
      <c r="J91" s="41">
        <f>I91/$I$5</f>
        <v>-2.8735361547976072E-2</v>
      </c>
      <c r="K91" s="8"/>
      <c r="L91" s="15"/>
    </row>
    <row r="92" spans="2:12" x14ac:dyDescent="0.25">
      <c r="B92" s="61" t="s">
        <v>92</v>
      </c>
      <c r="C92" s="62">
        <v>287951</v>
      </c>
      <c r="D92" s="63"/>
      <c r="E92" s="64"/>
      <c r="F92" s="62">
        <v>1030663</v>
      </c>
      <c r="G92" s="63"/>
      <c r="H92" s="64"/>
      <c r="I92" s="65">
        <v>-151333</v>
      </c>
      <c r="J92" s="63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97426</v>
      </c>
      <c r="D94" s="2">
        <v>193313</v>
      </c>
      <c r="E94" s="2">
        <v>171697</v>
      </c>
      <c r="I94" s="2"/>
    </row>
    <row r="95" spans="2:12" x14ac:dyDescent="0.25">
      <c r="B95" t="s">
        <v>87</v>
      </c>
      <c r="C95" s="2">
        <v>108131</v>
      </c>
      <c r="D95" s="2">
        <v>180955</v>
      </c>
      <c r="E95" s="2">
        <v>178413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6A6EE331-655A-40D7-9FE7-4C93E5A65227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943DE-89B9-4208-AC5B-3445F7653730}">
  <sheetPr codeName="Hoja24">
    <pageSetUpPr fitToPage="1"/>
  </sheetPr>
  <dimension ref="B1:P96"/>
  <sheetViews>
    <sheetView showGridLines="0" zoomScaleNormal="100" workbookViewId="0">
      <pane ySplit="4" topLeftCell="A5" activePane="bottomLeft" state="frozen"/>
      <selection activeCell="J29" sqref="J29"/>
      <selection pane="bottomLeft" activeCell="I13" sqref="I13:I14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9.21875" style="8" bestFit="1" customWidth="1"/>
    <col min="5" max="5" width="9.21875" style="14" bestFit="1" customWidth="1"/>
    <col min="6" max="6" width="10.44140625" customWidth="1"/>
    <col min="7" max="7" width="7.6640625" style="8" bestFit="1" customWidth="1"/>
    <col min="8" max="8" width="8" style="14" bestFit="1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120</v>
      </c>
      <c r="F3" s="115"/>
      <c r="G3" s="17"/>
      <c r="H3" s="20"/>
      <c r="I3" s="17"/>
      <c r="J3" s="18"/>
      <c r="L3" s="19" t="str">
        <f>E3</f>
        <v>ABRIL</v>
      </c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4443761</v>
      </c>
      <c r="D5" s="10">
        <v>1</v>
      </c>
      <c r="E5" s="35">
        <f>F5/C5-1</f>
        <v>-0.15952568106160525</v>
      </c>
      <c r="F5" s="33">
        <f>F6+F9+F13+F14</f>
        <v>3734867</v>
      </c>
      <c r="G5" s="10">
        <v>1</v>
      </c>
      <c r="H5" s="13">
        <f>I5/F5-1</f>
        <v>0.33406892400720034</v>
      </c>
      <c r="I5" s="33">
        <f>I6+I9+I13+I14</f>
        <v>4982570</v>
      </c>
      <c r="J5" s="10">
        <v>1</v>
      </c>
      <c r="K5" s="2"/>
    </row>
    <row r="6" spans="2:16" x14ac:dyDescent="0.25">
      <c r="B6" s="48" t="s">
        <v>64</v>
      </c>
      <c r="C6" s="31">
        <f>C7+C8</f>
        <v>4162325</v>
      </c>
      <c r="D6" s="32">
        <f>C6/$C$5</f>
        <v>0.93666716099268166</v>
      </c>
      <c r="E6" s="36">
        <f>F6/C6-1</f>
        <v>-0.19460517859609716</v>
      </c>
      <c r="F6" s="31">
        <f>F7+F8</f>
        <v>3352315</v>
      </c>
      <c r="G6" s="32">
        <f>F6/$F$5</f>
        <v>0.89757279174867544</v>
      </c>
      <c r="H6" s="36">
        <f>I6/F6-1</f>
        <v>0.16212408440137627</v>
      </c>
      <c r="I6" s="31">
        <f>I7+I8</f>
        <v>3895806</v>
      </c>
      <c r="J6" s="32">
        <f>I6/$I$5</f>
        <v>0.78188685758554322</v>
      </c>
      <c r="K6" s="2"/>
    </row>
    <row r="7" spans="2:16" x14ac:dyDescent="0.25">
      <c r="B7" s="28" t="s">
        <v>67</v>
      </c>
      <c r="C7" s="1">
        <v>3603196</v>
      </c>
      <c r="D7" s="11">
        <f>C7/C5</f>
        <v>0.81084378750342334</v>
      </c>
      <c r="E7" s="37">
        <f t="shared" ref="E7:E14" si="0">F7/C7-1</f>
        <v>-0.1714347484844011</v>
      </c>
      <c r="F7" s="4">
        <v>2985483</v>
      </c>
      <c r="G7" s="11">
        <f>F7/$F$5</f>
        <v>0.7993545687169048</v>
      </c>
      <c r="H7" s="37">
        <f t="shared" ref="H7:H14" si="1">I7/F7-1</f>
        <v>0.10434860958846515</v>
      </c>
      <c r="I7" s="4">
        <v>3297014</v>
      </c>
      <c r="J7" s="11">
        <f t="shared" ref="J7:J14" si="2">I7/$I$5</f>
        <v>0.66170951938457467</v>
      </c>
    </row>
    <row r="8" spans="2:16" x14ac:dyDescent="0.25">
      <c r="B8" s="28" t="s">
        <v>68</v>
      </c>
      <c r="C8" s="1">
        <v>559129</v>
      </c>
      <c r="D8" s="11">
        <f t="shared" ref="D8:D14" si="3">C8/$C$5</f>
        <v>0.12582337348925832</v>
      </c>
      <c r="E8" s="37">
        <f t="shared" si="0"/>
        <v>-0.34392242219595115</v>
      </c>
      <c r="F8" s="4">
        <v>366832</v>
      </c>
      <c r="G8" s="11">
        <f>F8/$F$5</f>
        <v>9.8218223031770607E-2</v>
      </c>
      <c r="H8" s="37">
        <f t="shared" si="1"/>
        <v>0.63233305709425558</v>
      </c>
      <c r="I8" s="4">
        <v>598792</v>
      </c>
      <c r="J8" s="11">
        <f t="shared" si="2"/>
        <v>0.12017733820096857</v>
      </c>
    </row>
    <row r="9" spans="2:16" x14ac:dyDescent="0.25">
      <c r="B9" s="48" t="s">
        <v>65</v>
      </c>
      <c r="C9" s="31">
        <f>C10+C11+C12</f>
        <v>288166</v>
      </c>
      <c r="D9" s="32">
        <f t="shared" si="3"/>
        <v>6.4847321896924701E-2</v>
      </c>
      <c r="E9" s="36">
        <f t="shared" si="0"/>
        <v>0.5189578229215106</v>
      </c>
      <c r="F9" s="31">
        <f>F10+F11+F12</f>
        <v>437712</v>
      </c>
      <c r="G9" s="32">
        <f>F9/$F$5</f>
        <v>0.11719614112095558</v>
      </c>
      <c r="H9" s="36">
        <f>I9/F9-1</f>
        <v>1.7635934130204336</v>
      </c>
      <c r="I9" s="31">
        <f>I10+I11+I12</f>
        <v>1209658</v>
      </c>
      <c r="J9" s="32">
        <f>I9/$I$5</f>
        <v>0.24277792384251501</v>
      </c>
    </row>
    <row r="10" spans="2:16" x14ac:dyDescent="0.25">
      <c r="B10" s="28" t="s">
        <v>69</v>
      </c>
      <c r="C10" s="1">
        <v>141114</v>
      </c>
      <c r="D10" s="11">
        <f t="shared" si="3"/>
        <v>3.1755533207118922E-2</v>
      </c>
      <c r="E10" s="37">
        <f t="shared" si="0"/>
        <v>1.4268392930538432</v>
      </c>
      <c r="F10" s="4">
        <v>342461</v>
      </c>
      <c r="G10" s="11">
        <f>F10/$F$5</f>
        <v>9.1692957205705056E-2</v>
      </c>
      <c r="H10" s="37">
        <f>I10/F10-1</f>
        <v>0.38437077506635786</v>
      </c>
      <c r="I10" s="4">
        <v>474093</v>
      </c>
      <c r="J10" s="11">
        <f t="shared" si="2"/>
        <v>9.5150293924621224E-2</v>
      </c>
    </row>
    <row r="11" spans="2:16" x14ac:dyDescent="0.25">
      <c r="B11" s="28" t="s">
        <v>70</v>
      </c>
      <c r="C11" s="1">
        <v>147052</v>
      </c>
      <c r="D11" s="11">
        <f t="shared" si="3"/>
        <v>3.3091788689805772E-2</v>
      </c>
      <c r="E11" s="37">
        <f t="shared" si="0"/>
        <v>-0.46242825667110954</v>
      </c>
      <c r="F11" s="4">
        <v>79051</v>
      </c>
      <c r="G11" s="11">
        <f t="shared" ref="G11:G12" si="4">F11/$F$5</f>
        <v>2.116568006303839E-2</v>
      </c>
      <c r="H11" s="37">
        <f t="shared" si="1"/>
        <v>8.3049423789705372</v>
      </c>
      <c r="I11" s="4">
        <v>735565</v>
      </c>
      <c r="J11" s="11">
        <f>I11/$I$5</f>
        <v>0.14762762991789377</v>
      </c>
    </row>
    <row r="12" spans="2:16" x14ac:dyDescent="0.25">
      <c r="B12" s="28" t="s">
        <v>71</v>
      </c>
      <c r="C12" s="1">
        <v>0</v>
      </c>
      <c r="D12" s="11">
        <f t="shared" si="3"/>
        <v>0</v>
      </c>
      <c r="E12" s="37">
        <v>0</v>
      </c>
      <c r="F12" s="4">
        <v>16200</v>
      </c>
      <c r="G12" s="11">
        <f t="shared" si="4"/>
        <v>4.3375038522121406E-3</v>
      </c>
      <c r="H12" s="37">
        <f t="shared" si="1"/>
        <v>-1</v>
      </c>
      <c r="I12" s="4">
        <v>0</v>
      </c>
      <c r="J12" s="11">
        <f t="shared" si="2"/>
        <v>0</v>
      </c>
      <c r="L12" t="s">
        <v>122</v>
      </c>
    </row>
    <row r="13" spans="2:16" x14ac:dyDescent="0.25">
      <c r="B13" s="48" t="s">
        <v>74</v>
      </c>
      <c r="C13" s="5">
        <v>57593</v>
      </c>
      <c r="D13" s="32">
        <f t="shared" si="3"/>
        <v>1.2960417988276147E-2</v>
      </c>
      <c r="E13" s="36">
        <f t="shared" si="0"/>
        <v>-0.15342142274234716</v>
      </c>
      <c r="F13" s="31">
        <v>48757</v>
      </c>
      <c r="G13" s="32">
        <f>F13/$F$5</f>
        <v>1.3054547859401687E-2</v>
      </c>
      <c r="H13" s="36">
        <f t="shared" si="1"/>
        <v>-0.77549890272166044</v>
      </c>
      <c r="I13" s="31">
        <v>10946</v>
      </c>
      <c r="J13" s="32">
        <f t="shared" si="2"/>
        <v>2.1968582478520122E-3</v>
      </c>
      <c r="K13" s="12"/>
      <c r="O13" s="2"/>
      <c r="P13" s="9"/>
    </row>
    <row r="14" spans="2:16" x14ac:dyDescent="0.25">
      <c r="B14" s="48" t="s">
        <v>8</v>
      </c>
      <c r="C14" s="5">
        <v>-64323</v>
      </c>
      <c r="D14" s="32">
        <f t="shared" si="3"/>
        <v>-1.4474900877882496E-2</v>
      </c>
      <c r="E14" s="36">
        <f t="shared" si="0"/>
        <v>0.6155496478709015</v>
      </c>
      <c r="F14" s="31">
        <v>-103917</v>
      </c>
      <c r="G14" s="32">
        <f>F14/$F$5</f>
        <v>-2.7823480729032655E-2</v>
      </c>
      <c r="H14" s="36">
        <f t="shared" si="1"/>
        <v>0.28795096086299643</v>
      </c>
      <c r="I14" s="31">
        <v>-133840</v>
      </c>
      <c r="J14" s="32">
        <f t="shared" si="2"/>
        <v>-2.6861639675910223E-2</v>
      </c>
    </row>
    <row r="15" spans="2:16" x14ac:dyDescent="0.25">
      <c r="B15" s="49" t="s">
        <v>9</v>
      </c>
      <c r="C15" s="38">
        <f>C19+C24+C27</f>
        <v>2777495</v>
      </c>
      <c r="D15" s="10">
        <f>C15/C5</f>
        <v>0.62503248937105305</v>
      </c>
      <c r="E15" s="13">
        <f>F15/C15-1</f>
        <v>-0.10644087568114435</v>
      </c>
      <c r="F15" s="38">
        <f>F19+F24+F27</f>
        <v>2481856</v>
      </c>
      <c r="G15" s="10">
        <f>F15/$F$5</f>
        <v>0.66450987411332185</v>
      </c>
      <c r="H15" s="13">
        <f>I15/F15-1</f>
        <v>0.46711976843136749</v>
      </c>
      <c r="I15" s="38">
        <f>I19+I24+I27</f>
        <v>3641180</v>
      </c>
      <c r="J15" s="10">
        <f>I15/$I$5</f>
        <v>0.73078351132046315</v>
      </c>
      <c r="K15" s="2"/>
    </row>
    <row r="16" spans="2:16" x14ac:dyDescent="0.25">
      <c r="B16" s="50" t="s">
        <v>10</v>
      </c>
      <c r="C16" s="51">
        <f>Mar!C31</f>
        <v>7924308</v>
      </c>
      <c r="D16" s="52"/>
      <c r="E16" s="53"/>
      <c r="F16" s="51">
        <f>Mar!F31</f>
        <v>8833926</v>
      </c>
      <c r="G16" s="52"/>
      <c r="H16" s="53"/>
      <c r="I16" s="51">
        <f>Mar!I31</f>
        <v>8167794</v>
      </c>
      <c r="J16" s="54"/>
      <c r="K16" s="2"/>
    </row>
    <row r="17" spans="2:15" x14ac:dyDescent="0.25">
      <c r="B17" s="28" t="s">
        <v>11</v>
      </c>
      <c r="C17" s="4">
        <v>1288046</v>
      </c>
      <c r="D17" s="10"/>
      <c r="E17" s="37">
        <f>F17/C17-1</f>
        <v>0.49897053366106481</v>
      </c>
      <c r="F17" s="4">
        <v>1930743</v>
      </c>
      <c r="G17" s="10"/>
      <c r="H17" s="37">
        <f>I17/F17-1</f>
        <v>0.281634583163062</v>
      </c>
      <c r="I17" s="4">
        <v>2474507</v>
      </c>
      <c r="J17" s="39"/>
      <c r="K17" s="2"/>
    </row>
    <row r="18" spans="2:15" x14ac:dyDescent="0.25">
      <c r="B18" s="28" t="s">
        <v>13</v>
      </c>
      <c r="C18" s="4">
        <v>-6095</v>
      </c>
      <c r="D18" s="11"/>
      <c r="E18" s="13"/>
      <c r="F18" s="4">
        <v>-14321</v>
      </c>
      <c r="G18" s="11"/>
      <c r="H18" s="13"/>
      <c r="I18" s="4">
        <v>-36515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1010472</v>
      </c>
      <c r="D19" s="32">
        <f>C19/C5</f>
        <v>0.22739116707671722</v>
      </c>
      <c r="E19" s="36">
        <f>F19/C19-1</f>
        <v>-0.10018486410311223</v>
      </c>
      <c r="F19" s="31">
        <f>SUM(F20:F23)</f>
        <v>909238</v>
      </c>
      <c r="G19" s="32">
        <f>F19/$F$5</f>
        <v>0.2434458844183742</v>
      </c>
      <c r="H19" s="36">
        <f>I19/F19-1</f>
        <v>0.34348872352453363</v>
      </c>
      <c r="I19" s="31">
        <f>SUM(I20:I23)</f>
        <v>1221551</v>
      </c>
      <c r="J19" s="32">
        <f>I19/$I$5</f>
        <v>0.24516484464844449</v>
      </c>
      <c r="K19" s="2"/>
      <c r="L19" s="2"/>
      <c r="O19" s="2"/>
    </row>
    <row r="20" spans="2:15" x14ac:dyDescent="0.25">
      <c r="B20" s="28" t="s">
        <v>75</v>
      </c>
      <c r="C20" s="4">
        <v>403093</v>
      </c>
      <c r="D20" s="11">
        <f t="shared" ref="D20" si="5">C20/$C$5</f>
        <v>9.0709873910860647E-2</v>
      </c>
      <c r="E20" s="37">
        <f t="shared" ref="E20" si="6">F20/C20-1</f>
        <v>9.0946754222970938E-2</v>
      </c>
      <c r="F20" s="4">
        <f>439753</f>
        <v>439753</v>
      </c>
      <c r="G20" s="11">
        <f t="shared" ref="G20" si="7">F20/$F$5</f>
        <v>0.11774261305690403</v>
      </c>
      <c r="H20" s="37">
        <f>I20/F20-1</f>
        <v>0.26888275918526983</v>
      </c>
      <c r="I20" s="4">
        <v>557995</v>
      </c>
      <c r="J20" s="11">
        <f>I20/$I$5</f>
        <v>0.11198939503107834</v>
      </c>
      <c r="K20" s="2"/>
      <c r="L20" s="2"/>
      <c r="O20" s="2"/>
    </row>
    <row r="21" spans="2:15" x14ac:dyDescent="0.25">
      <c r="B21" s="28" t="s">
        <v>76</v>
      </c>
      <c r="C21" s="4">
        <v>276168</v>
      </c>
      <c r="D21" s="11">
        <f>C21/$C$5</f>
        <v>6.2147356709778043E-2</v>
      </c>
      <c r="E21" s="37">
        <f>F21/C21-1</f>
        <v>-0.31283494105037513</v>
      </c>
      <c r="F21" s="4">
        <f>189773</f>
        <v>189773</v>
      </c>
      <c r="G21" s="11">
        <f>F21/$F$5</f>
        <v>5.0811180157151511E-2</v>
      </c>
      <c r="H21" s="37">
        <f>I21/F21-1</f>
        <v>0.37941119126535394</v>
      </c>
      <c r="I21" s="4">
        <v>261775</v>
      </c>
      <c r="J21" s="11">
        <f>I21/$I$5</f>
        <v>5.2538147983871776E-2</v>
      </c>
      <c r="K21" s="2"/>
      <c r="L21" s="2"/>
      <c r="O21" s="2"/>
    </row>
    <row r="22" spans="2:15" x14ac:dyDescent="0.25">
      <c r="B22" s="28" t="s">
        <v>77</v>
      </c>
      <c r="C22" s="4">
        <f>228641+102570-C23</f>
        <v>311815</v>
      </c>
      <c r="D22" s="11">
        <f t="shared" ref="D22:D23" si="8">C22/$C$5</f>
        <v>7.0169165263388372E-2</v>
      </c>
      <c r="E22" s="37">
        <f t="shared" ref="E22:E23" si="9">F22/C22-1</f>
        <v>-0.35562753555794302</v>
      </c>
      <c r="F22" s="4">
        <f>199708+21657-20440</f>
        <v>200925</v>
      </c>
      <c r="G22" s="11">
        <f t="shared" ref="G22:G23" si="10">F22/$F$5</f>
        <v>5.3797096389242238E-2</v>
      </c>
      <c r="H22" s="37">
        <f t="shared" ref="H22:H23" si="11">I22/F22-1</f>
        <v>0.57481647380863499</v>
      </c>
      <c r="I22" s="4">
        <v>316420</v>
      </c>
      <c r="J22" s="11">
        <f t="shared" ref="J22:J23" si="12">I22/$I$5</f>
        <v>6.3505379753821825E-2</v>
      </c>
      <c r="K22" s="2"/>
      <c r="L22" s="2"/>
      <c r="O22" s="2"/>
    </row>
    <row r="23" spans="2:15" x14ac:dyDescent="0.25">
      <c r="B23" s="28" t="s">
        <v>61</v>
      </c>
      <c r="C23" s="4">
        <v>19396</v>
      </c>
      <c r="D23" s="11">
        <f t="shared" si="8"/>
        <v>4.3647711926901563E-3</v>
      </c>
      <c r="E23" s="37">
        <f t="shared" si="9"/>
        <v>3.062023097545886</v>
      </c>
      <c r="F23" s="4">
        <f>20440+45000+13347</f>
        <v>78787</v>
      </c>
      <c r="G23" s="11">
        <f t="shared" si="10"/>
        <v>2.1094994815076415E-2</v>
      </c>
      <c r="H23" s="37">
        <f t="shared" si="11"/>
        <v>8.344016144795452E-2</v>
      </c>
      <c r="I23" s="4">
        <v>85361</v>
      </c>
      <c r="J23" s="11">
        <f t="shared" si="12"/>
        <v>1.7131921879672538E-2</v>
      </c>
      <c r="K23" s="2"/>
      <c r="L23" s="2"/>
    </row>
    <row r="24" spans="2:15" x14ac:dyDescent="0.25">
      <c r="B24" s="48" t="s">
        <v>78</v>
      </c>
      <c r="C24" s="31">
        <f>C25+C26</f>
        <v>1524748</v>
      </c>
      <c r="D24" s="32">
        <f>C24/C5</f>
        <v>0.3431210634415307</v>
      </c>
      <c r="E24" s="36">
        <f>F24/C24-1</f>
        <v>-0.20358314947781531</v>
      </c>
      <c r="F24" s="31">
        <f>F25+F26</f>
        <v>1214335</v>
      </c>
      <c r="G24" s="32">
        <f>F24/$F$5</f>
        <v>0.32513473706024876</v>
      </c>
      <c r="H24" s="36">
        <f>I24/F24-1</f>
        <v>0.16872526938612498</v>
      </c>
      <c r="I24" s="31">
        <f>I25+I26</f>
        <v>1419224</v>
      </c>
      <c r="J24" s="32">
        <f>I24/$I$5</f>
        <v>0.28483774437689785</v>
      </c>
    </row>
    <row r="25" spans="2:15" x14ac:dyDescent="0.25">
      <c r="B25" s="28" t="s">
        <v>67</v>
      </c>
      <c r="C25" s="4">
        <f>2178618-C26-C19+356602</f>
        <v>1162052</v>
      </c>
      <c r="D25" s="11"/>
      <c r="E25" s="23"/>
      <c r="F25" s="4">
        <v>968528</v>
      </c>
      <c r="G25" s="21"/>
      <c r="H25" s="23"/>
      <c r="I25" s="4">
        <v>888440</v>
      </c>
      <c r="J25" s="11"/>
      <c r="K25" s="2"/>
    </row>
    <row r="26" spans="2:15" x14ac:dyDescent="0.25">
      <c r="B26" s="28" t="s">
        <v>68</v>
      </c>
      <c r="C26" s="4">
        <v>362696</v>
      </c>
      <c r="D26" s="11"/>
      <c r="E26" s="23"/>
      <c r="F26" s="4">
        <v>245807</v>
      </c>
      <c r="G26" s="21"/>
      <c r="H26" s="23"/>
      <c r="I26" s="4">
        <v>530784</v>
      </c>
      <c r="J26" s="11"/>
      <c r="K26" s="2"/>
    </row>
    <row r="27" spans="2:15" x14ac:dyDescent="0.25">
      <c r="B27" s="48" t="s">
        <v>66</v>
      </c>
      <c r="C27" s="31">
        <f>C28+C29+C30</f>
        <v>242275</v>
      </c>
      <c r="D27" s="32">
        <f>C27/C5</f>
        <v>5.4520258852805092E-2</v>
      </c>
      <c r="E27" s="36">
        <f>F27/C27-1</f>
        <v>0.47882777835104728</v>
      </c>
      <c r="F27" s="31">
        <f>F28+F29+F30</f>
        <v>358283</v>
      </c>
      <c r="G27" s="32">
        <f>F27/$F$5</f>
        <v>9.5929252634698911E-2</v>
      </c>
      <c r="H27" s="36">
        <f>I27/F27-1</f>
        <v>1.7922201165000851</v>
      </c>
      <c r="I27" s="31">
        <f>I28+I29+I30</f>
        <v>1000405</v>
      </c>
      <c r="J27" s="32">
        <f>I27/$I$5</f>
        <v>0.20078092229512079</v>
      </c>
      <c r="K27" s="2"/>
    </row>
    <row r="28" spans="2:15" x14ac:dyDescent="0.25">
      <c r="B28" s="28" t="s">
        <v>69</v>
      </c>
      <c r="C28" s="4">
        <v>108181</v>
      </c>
      <c r="D28" s="11">
        <f>C28/C10</f>
        <v>0.76662131326445282</v>
      </c>
      <c r="E28" s="23"/>
      <c r="F28" s="4">
        <v>275368</v>
      </c>
      <c r="G28" s="11">
        <f>F28/F10</f>
        <v>0.80408572070980344</v>
      </c>
      <c r="H28" s="23"/>
      <c r="I28" s="4">
        <v>347208</v>
      </c>
      <c r="J28" s="11">
        <f>I28/I10</f>
        <v>0.73236263771032262</v>
      </c>
      <c r="K28" s="2"/>
    </row>
    <row r="29" spans="2:15" x14ac:dyDescent="0.25">
      <c r="B29" s="28" t="s">
        <v>70</v>
      </c>
      <c r="C29" s="4">
        <v>134094</v>
      </c>
      <c r="D29" s="11">
        <f>C29/C11</f>
        <v>0.91188151130212447</v>
      </c>
      <c r="E29" s="23"/>
      <c r="F29" s="4">
        <v>70790</v>
      </c>
      <c r="G29" s="11">
        <f>F29/F11</f>
        <v>0.8954978431645394</v>
      </c>
      <c r="H29" s="23"/>
      <c r="I29" s="4">
        <v>653197</v>
      </c>
      <c r="J29" s="11">
        <f>I29/I11</f>
        <v>0.88802077314717254</v>
      </c>
      <c r="K29" s="2"/>
    </row>
    <row r="30" spans="2:15" x14ac:dyDescent="0.25">
      <c r="B30" s="28" t="s">
        <v>71</v>
      </c>
      <c r="C30" s="4">
        <v>0</v>
      </c>
      <c r="D30" s="11">
        <v>0</v>
      </c>
      <c r="E30" s="23"/>
      <c r="F30" s="4">
        <v>12125</v>
      </c>
      <c r="G30" s="11">
        <f>F30/F12</f>
        <v>0.74845679012345678</v>
      </c>
      <c r="H30" s="23"/>
      <c r="I30" s="4">
        <v>0</v>
      </c>
      <c r="J30" s="11">
        <v>0</v>
      </c>
      <c r="K30" s="2"/>
    </row>
    <row r="31" spans="2:15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2"/>
    </row>
    <row r="32" spans="2:15" x14ac:dyDescent="0.25">
      <c r="B32" s="56" t="s">
        <v>15</v>
      </c>
      <c r="C32" s="40">
        <f>C5-C15</f>
        <v>1666266</v>
      </c>
      <c r="D32" s="41">
        <f>C32/$C$5</f>
        <v>0.37496751062894695</v>
      </c>
      <c r="E32" s="42">
        <f>F32/C32-1</f>
        <v>-0.24801262223438514</v>
      </c>
      <c r="F32" s="40">
        <f>F5-F15</f>
        <v>1253011</v>
      </c>
      <c r="G32" s="41">
        <f>F32/$F$5</f>
        <v>0.33549012588667815</v>
      </c>
      <c r="H32" s="42">
        <f>I32/F32-1</f>
        <v>7.0533299388433113E-2</v>
      </c>
      <c r="I32" s="40">
        <f>I5-I15</f>
        <v>1341390</v>
      </c>
      <c r="J32" s="41">
        <f>I32/$I$5</f>
        <v>0.26921648867953685</v>
      </c>
    </row>
    <row r="33" spans="2:12" x14ac:dyDescent="0.25">
      <c r="B33" s="24" t="s">
        <v>16</v>
      </c>
      <c r="C33" s="25">
        <f>SUM(C36:C43)</f>
        <v>114977</v>
      </c>
      <c r="D33" s="26">
        <f>C33/$C$5</f>
        <v>2.5873803744170761E-2</v>
      </c>
      <c r="E33" s="27">
        <f>F33/C33-1</f>
        <v>0.20773719961383574</v>
      </c>
      <c r="F33" s="25">
        <f>SUM(F36:F43)</f>
        <v>138862</v>
      </c>
      <c r="G33" s="26">
        <f>F33/$F$5</f>
        <v>3.7179904933696432E-2</v>
      </c>
      <c r="H33" s="27">
        <f>I33/F33-1</f>
        <v>0.31199320188388469</v>
      </c>
      <c r="I33" s="25">
        <f>SUM(I36:I43)</f>
        <v>182186</v>
      </c>
      <c r="J33" s="26">
        <f>I33/$I$5</f>
        <v>3.6564664420168709E-2</v>
      </c>
      <c r="K33" s="12"/>
      <c r="L33" s="2"/>
    </row>
    <row r="34" spans="2:12" hidden="1" outlineLevel="1" x14ac:dyDescent="0.25">
      <c r="B34" s="28" t="s">
        <v>17</v>
      </c>
      <c r="C34" s="4">
        <v>89623</v>
      </c>
      <c r="D34" s="10"/>
      <c r="E34" s="13"/>
      <c r="F34" s="4">
        <v>121287</v>
      </c>
      <c r="G34" s="10"/>
      <c r="H34" s="13"/>
      <c r="I34" s="4">
        <v>159431</v>
      </c>
      <c r="J34" s="10"/>
      <c r="K34" s="12"/>
    </row>
    <row r="35" spans="2:12" hidden="1" outlineLevel="1" x14ac:dyDescent="0.25">
      <c r="B35" s="28" t="s">
        <v>18</v>
      </c>
      <c r="C35" s="4">
        <v>9355</v>
      </c>
      <c r="D35" s="10"/>
      <c r="E35" s="13"/>
      <c r="F35" s="4">
        <v>6470</v>
      </c>
      <c r="G35" s="10"/>
      <c r="H35" s="13"/>
      <c r="I35" s="4">
        <v>10558</v>
      </c>
      <c r="J35" s="10"/>
      <c r="K35" s="2"/>
    </row>
    <row r="36" spans="2:12" collapsed="1" x14ac:dyDescent="0.25">
      <c r="B36" s="48" t="s">
        <v>19</v>
      </c>
      <c r="C36" s="31">
        <f>C34+C35</f>
        <v>98978</v>
      </c>
      <c r="D36" s="32">
        <f t="shared" ref="D36:D44" si="13">C36/$C$33</f>
        <v>0.86085043095575642</v>
      </c>
      <c r="E36" s="36">
        <f>F36/C36-1</f>
        <v>0.29076158338216573</v>
      </c>
      <c r="F36" s="31">
        <f>F34+F35</f>
        <v>127757</v>
      </c>
      <c r="G36" s="32">
        <f>F36/$F$33</f>
        <v>0.92002851752099202</v>
      </c>
      <c r="H36" s="36">
        <f>I36/F36-1</f>
        <v>0.33056505710058937</v>
      </c>
      <c r="I36" s="31">
        <f>I34+I35</f>
        <v>169989</v>
      </c>
      <c r="J36" s="32">
        <f>I36/$I$33</f>
        <v>0.93305193593360636</v>
      </c>
      <c r="K36" s="2"/>
    </row>
    <row r="37" spans="2:12" x14ac:dyDescent="0.25">
      <c r="B37" s="28" t="s">
        <v>20</v>
      </c>
      <c r="C37" s="1">
        <v>6123</v>
      </c>
      <c r="D37" s="11">
        <f t="shared" si="13"/>
        <v>5.3254129086686905E-2</v>
      </c>
      <c r="E37" s="13"/>
      <c r="F37" s="4">
        <v>5620</v>
      </c>
      <c r="G37" s="11">
        <f>F37/$F$33</f>
        <v>4.0471835347323244E-2</v>
      </c>
      <c r="H37" s="13"/>
      <c r="I37" s="4">
        <v>4345</v>
      </c>
      <c r="J37" s="11">
        <f>I37/$I$33</f>
        <v>2.3849252961259372E-2</v>
      </c>
    </row>
    <row r="38" spans="2:12" hidden="1" outlineLevel="1" x14ac:dyDescent="0.25">
      <c r="B38" s="28" t="s">
        <v>21</v>
      </c>
      <c r="C38" s="1">
        <v>4415</v>
      </c>
      <c r="D38" s="11">
        <f t="shared" si="13"/>
        <v>3.8398984144655021E-2</v>
      </c>
      <c r="E38" s="13"/>
      <c r="F38" s="4">
        <v>1224</v>
      </c>
      <c r="G38" s="11">
        <f t="shared" ref="G38:G43" si="14">F38/$C$33</f>
        <v>1.0645607382346035E-2</v>
      </c>
      <c r="H38" s="13"/>
      <c r="I38" s="4">
        <v>0</v>
      </c>
      <c r="J38" s="11">
        <f t="shared" ref="J38:J43" si="15">I38/$C$33</f>
        <v>0</v>
      </c>
    </row>
    <row r="39" spans="2:12" hidden="1" outlineLevel="1" x14ac:dyDescent="0.25">
      <c r="B39" s="28" t="s">
        <v>22</v>
      </c>
      <c r="C39" s="45">
        <v>246</v>
      </c>
      <c r="D39" s="11">
        <f t="shared" si="13"/>
        <v>2.139558346451899E-3</v>
      </c>
      <c r="E39" s="13"/>
      <c r="F39" s="4">
        <v>0</v>
      </c>
      <c r="G39" s="11">
        <f t="shared" si="14"/>
        <v>0</v>
      </c>
      <c r="H39" s="13"/>
      <c r="I39" s="4">
        <v>0</v>
      </c>
      <c r="J39" s="11">
        <f t="shared" si="15"/>
        <v>0</v>
      </c>
    </row>
    <row r="40" spans="2:12" hidden="1" outlineLevel="1" x14ac:dyDescent="0.25">
      <c r="B40" s="28" t="s">
        <v>23</v>
      </c>
      <c r="C40" s="1">
        <v>651</v>
      </c>
      <c r="D40" s="11">
        <f t="shared" si="13"/>
        <v>5.6620019656105133E-3</v>
      </c>
      <c r="E40" s="13"/>
      <c r="F40" s="4">
        <v>646</v>
      </c>
      <c r="G40" s="11">
        <f t="shared" si="14"/>
        <v>5.6185150073492958E-3</v>
      </c>
      <c r="H40" s="13"/>
      <c r="I40" s="4">
        <v>3839</v>
      </c>
      <c r="J40" s="11">
        <f t="shared" si="15"/>
        <v>3.3389286552962763E-2</v>
      </c>
    </row>
    <row r="41" spans="2:12" hidden="1" outlineLevel="1" x14ac:dyDescent="0.25">
      <c r="B41" s="28" t="s">
        <v>24</v>
      </c>
      <c r="C41" s="45">
        <v>2363</v>
      </c>
      <c r="D41" s="11">
        <f t="shared" si="13"/>
        <v>2.0551936474251371E-2</v>
      </c>
      <c r="E41" s="13"/>
      <c r="F41" s="4">
        <v>1373</v>
      </c>
      <c r="G41" s="11">
        <f t="shared" si="14"/>
        <v>1.1941518738530315E-2</v>
      </c>
      <c r="H41" s="13"/>
      <c r="I41" s="4">
        <v>0</v>
      </c>
      <c r="J41" s="11">
        <f t="shared" si="15"/>
        <v>0</v>
      </c>
    </row>
    <row r="42" spans="2:12" hidden="1" outlineLevel="1" x14ac:dyDescent="0.25">
      <c r="B42" s="28" t="s">
        <v>25</v>
      </c>
      <c r="C42" s="1">
        <v>541</v>
      </c>
      <c r="D42" s="11">
        <f t="shared" si="13"/>
        <v>4.7052888838637289E-3</v>
      </c>
      <c r="E42" s="13"/>
      <c r="F42" s="4">
        <v>533</v>
      </c>
      <c r="G42" s="11">
        <f t="shared" si="14"/>
        <v>4.6357097506457817E-3</v>
      </c>
      <c r="H42" s="13"/>
      <c r="I42" s="4">
        <v>1268</v>
      </c>
      <c r="J42" s="11">
        <f t="shared" si="15"/>
        <v>1.1028292615044748E-2</v>
      </c>
    </row>
    <row r="43" spans="2:12" hidden="1" outlineLevel="1" x14ac:dyDescent="0.25">
      <c r="B43" s="28" t="s">
        <v>26</v>
      </c>
      <c r="C43" s="1">
        <v>1660</v>
      </c>
      <c r="D43" s="11">
        <f t="shared" si="13"/>
        <v>1.4437670142724197E-2</v>
      </c>
      <c r="E43" s="13"/>
      <c r="F43" s="4">
        <v>1709</v>
      </c>
      <c r="G43" s="11">
        <f t="shared" si="14"/>
        <v>1.4863842333684128E-2</v>
      </c>
      <c r="H43" s="13"/>
      <c r="I43" s="4">
        <v>2745</v>
      </c>
      <c r="J43" s="11">
        <f t="shared" si="15"/>
        <v>2.3874340085408386E-2</v>
      </c>
    </row>
    <row r="44" spans="2:12" collapsed="1" x14ac:dyDescent="0.25">
      <c r="B44" s="48" t="s">
        <v>27</v>
      </c>
      <c r="C44" s="5">
        <f>SUM(C38:C43)</f>
        <v>9876</v>
      </c>
      <c r="D44" s="32">
        <f t="shared" si="13"/>
        <v>8.5895439957556732E-2</v>
      </c>
      <c r="E44" s="43"/>
      <c r="F44" s="31">
        <f>SUM(F38:F43)</f>
        <v>5485</v>
      </c>
      <c r="G44" s="32">
        <f>F44/$F$33</f>
        <v>3.9499647131684697E-2</v>
      </c>
      <c r="H44" s="43"/>
      <c r="I44" s="31">
        <f>SUM(I38:I43)</f>
        <v>7852</v>
      </c>
      <c r="J44" s="32">
        <f>I44/$I$33</f>
        <v>4.3098811105134312E-2</v>
      </c>
      <c r="K44" s="2"/>
    </row>
    <row r="45" spans="2:12" x14ac:dyDescent="0.25">
      <c r="B45" s="24" t="s">
        <v>28</v>
      </c>
      <c r="C45" s="25">
        <f>SUM(C46:C55)</f>
        <v>158015</v>
      </c>
      <c r="D45" s="26">
        <f>C45/$C$5</f>
        <v>3.5558843061091722E-2</v>
      </c>
      <c r="E45" s="27">
        <f>F45/C45-1</f>
        <v>0.17457836281365702</v>
      </c>
      <c r="F45" s="25">
        <f>SUM(F46:F55)</f>
        <v>185601</v>
      </c>
      <c r="G45" s="26">
        <f>F45/$F$5</f>
        <v>4.9694139041631204E-2</v>
      </c>
      <c r="H45" s="27">
        <f>I45/F45-1</f>
        <v>0.3397934278371344</v>
      </c>
      <c r="I45" s="25">
        <f>SUM(I46:I55)</f>
        <v>248667</v>
      </c>
      <c r="J45" s="26">
        <f>I45/$I$5</f>
        <v>4.9907377116628564E-2</v>
      </c>
      <c r="K45" s="12"/>
    </row>
    <row r="46" spans="2:12" x14ac:dyDescent="0.25">
      <c r="B46" s="28" t="s">
        <v>17</v>
      </c>
      <c r="C46" s="1">
        <v>102837</v>
      </c>
      <c r="D46" s="11">
        <f t="shared" ref="D46:D56" si="16">C46/$C$45</f>
        <v>0.65080530329399111</v>
      </c>
      <c r="E46" s="37">
        <f>F46/C46-1</f>
        <v>0.36894308468741799</v>
      </c>
      <c r="F46" s="4">
        <v>140778</v>
      </c>
      <c r="G46" s="11">
        <f>F46/$F$45</f>
        <v>0.7584980684371313</v>
      </c>
      <c r="H46" s="37">
        <f>I46/F46-1</f>
        <v>0.17349301737487388</v>
      </c>
      <c r="I46" s="4">
        <v>165202</v>
      </c>
      <c r="J46" s="11">
        <f>I46/$I$45</f>
        <v>0.66435031588429505</v>
      </c>
      <c r="K46" s="12"/>
    </row>
    <row r="47" spans="2:12" x14ac:dyDescent="0.25">
      <c r="B47" s="28" t="s">
        <v>29</v>
      </c>
      <c r="C47" s="1">
        <v>31888</v>
      </c>
      <c r="D47" s="11">
        <f t="shared" si="16"/>
        <v>0.20180362623801537</v>
      </c>
      <c r="E47" s="37">
        <f>F47/C47-1</f>
        <v>-0.1355368790767687</v>
      </c>
      <c r="F47" s="4">
        <v>27566</v>
      </c>
      <c r="G47" s="11">
        <f t="shared" ref="G47:G56" si="17">F47/$F$45</f>
        <v>0.14852290666537357</v>
      </c>
      <c r="H47" s="37">
        <f>I47/F47-1</f>
        <v>0.35551041137633321</v>
      </c>
      <c r="I47" s="4">
        <v>37366</v>
      </c>
      <c r="J47" s="11">
        <f t="shared" ref="J47:J56" si="18">I47/$I$45</f>
        <v>0.15026521412169688</v>
      </c>
      <c r="K47" s="2"/>
    </row>
    <row r="48" spans="2:12" hidden="1" outlineLevel="1" x14ac:dyDescent="0.25">
      <c r="B48" s="28" t="s">
        <v>30</v>
      </c>
      <c r="C48" s="4">
        <v>0</v>
      </c>
      <c r="D48" s="11">
        <f t="shared" si="16"/>
        <v>0</v>
      </c>
      <c r="E48" s="13"/>
      <c r="F48" s="4">
        <v>1500</v>
      </c>
      <c r="G48" s="11">
        <f t="shared" si="17"/>
        <v>8.0818530072575036E-3</v>
      </c>
      <c r="H48" s="13"/>
      <c r="I48" s="4">
        <v>0</v>
      </c>
      <c r="J48" s="11">
        <f t="shared" si="18"/>
        <v>0</v>
      </c>
    </row>
    <row r="49" spans="2:11" hidden="1" outlineLevel="1" x14ac:dyDescent="0.25">
      <c r="B49" s="28" t="s">
        <v>57</v>
      </c>
      <c r="C49" s="4">
        <v>0</v>
      </c>
      <c r="D49" s="11">
        <f t="shared" si="16"/>
        <v>0</v>
      </c>
      <c r="E49" s="13"/>
      <c r="F49" s="4">
        <v>490</v>
      </c>
      <c r="G49" s="11">
        <f t="shared" si="17"/>
        <v>2.6400719823707845E-3</v>
      </c>
      <c r="H49" s="13"/>
      <c r="I49" s="4">
        <v>726</v>
      </c>
      <c r="J49" s="11">
        <f t="shared" si="18"/>
        <v>2.9195671319475441E-3</v>
      </c>
    </row>
    <row r="50" spans="2:11" hidden="1" outlineLevel="1" x14ac:dyDescent="0.25">
      <c r="B50" s="28" t="s">
        <v>79</v>
      </c>
      <c r="C50" s="4">
        <v>0</v>
      </c>
      <c r="D50" s="11">
        <f t="shared" si="16"/>
        <v>0</v>
      </c>
      <c r="E50" s="13"/>
      <c r="F50" s="4">
        <v>240</v>
      </c>
      <c r="G50" s="11">
        <f t="shared" si="17"/>
        <v>1.2930964811612006E-3</v>
      </c>
      <c r="H50" s="13"/>
      <c r="I50" s="4">
        <v>0</v>
      </c>
      <c r="J50" s="11">
        <f t="shared" si="18"/>
        <v>0</v>
      </c>
    </row>
    <row r="51" spans="2:11" hidden="1" outlineLevel="1" x14ac:dyDescent="0.25">
      <c r="B51" s="28" t="s">
        <v>31</v>
      </c>
      <c r="C51" s="1">
        <v>0</v>
      </c>
      <c r="D51" s="11">
        <f t="shared" si="16"/>
        <v>0</v>
      </c>
      <c r="E51" s="13"/>
      <c r="F51" s="4">
        <v>0</v>
      </c>
      <c r="G51" s="11">
        <f t="shared" si="17"/>
        <v>0</v>
      </c>
      <c r="H51" s="13"/>
      <c r="I51" s="4">
        <v>0</v>
      </c>
      <c r="J51" s="11">
        <f t="shared" si="18"/>
        <v>0</v>
      </c>
    </row>
    <row r="52" spans="2:11" hidden="1" outlineLevel="1" x14ac:dyDescent="0.25">
      <c r="B52" s="28" t="s">
        <v>32</v>
      </c>
      <c r="C52" s="1">
        <v>0</v>
      </c>
      <c r="D52" s="11">
        <f t="shared" si="16"/>
        <v>0</v>
      </c>
      <c r="E52" s="13"/>
      <c r="F52" s="4">
        <v>628</v>
      </c>
      <c r="G52" s="11">
        <f t="shared" si="17"/>
        <v>3.3836024590384751E-3</v>
      </c>
      <c r="H52" s="13"/>
      <c r="I52" s="4">
        <v>654</v>
      </c>
      <c r="J52" s="11">
        <f t="shared" si="18"/>
        <v>2.6300232841510937E-3</v>
      </c>
    </row>
    <row r="53" spans="2:11" hidden="1" outlineLevel="1" x14ac:dyDescent="0.25">
      <c r="B53" s="28" t="s">
        <v>33</v>
      </c>
      <c r="C53" s="1">
        <v>7193</v>
      </c>
      <c r="D53" s="11">
        <f t="shared" si="16"/>
        <v>4.5520994842261811E-2</v>
      </c>
      <c r="E53" s="13"/>
      <c r="F53" s="4">
        <v>6529</v>
      </c>
      <c r="G53" s="11">
        <f t="shared" si="17"/>
        <v>3.5177612189589494E-2</v>
      </c>
      <c r="H53" s="13"/>
      <c r="I53" s="4">
        <v>13681</v>
      </c>
      <c r="J53" s="11">
        <f t="shared" si="18"/>
        <v>5.5017352523656138E-2</v>
      </c>
    </row>
    <row r="54" spans="2:11" hidden="1" outlineLevel="1" x14ac:dyDescent="0.25">
      <c r="B54" s="28" t="s">
        <v>20</v>
      </c>
      <c r="C54" s="1">
        <v>1225</v>
      </c>
      <c r="D54" s="11">
        <f t="shared" si="16"/>
        <v>7.7524285669082049E-3</v>
      </c>
      <c r="E54" s="13"/>
      <c r="F54" s="4">
        <v>1417</v>
      </c>
      <c r="G54" s="11">
        <f t="shared" si="17"/>
        <v>7.634657140855922E-3</v>
      </c>
      <c r="H54" s="13"/>
      <c r="I54" s="4">
        <v>1417</v>
      </c>
      <c r="J54" s="11">
        <f t="shared" si="18"/>
        <v>5.6983837823273691E-3</v>
      </c>
    </row>
    <row r="55" spans="2:11" hidden="1" outlineLevel="1" x14ac:dyDescent="0.25">
      <c r="B55" s="28" t="s">
        <v>26</v>
      </c>
      <c r="C55" s="4">
        <v>14872</v>
      </c>
      <c r="D55" s="11">
        <f t="shared" si="16"/>
        <v>9.4117647058823528E-2</v>
      </c>
      <c r="E55" s="13"/>
      <c r="F55" s="4">
        <v>6453</v>
      </c>
      <c r="G55" s="11">
        <f t="shared" si="17"/>
        <v>3.4768131637221783E-2</v>
      </c>
      <c r="H55" s="13"/>
      <c r="I55" s="4">
        <v>29621</v>
      </c>
      <c r="J55" s="11">
        <f t="shared" si="18"/>
        <v>0.11911914327192591</v>
      </c>
      <c r="K55" s="2"/>
    </row>
    <row r="56" spans="2:11" collapsed="1" x14ac:dyDescent="0.25">
      <c r="B56" s="48" t="s">
        <v>34</v>
      </c>
      <c r="C56" s="31">
        <f>SUM(C48:C55)</f>
        <v>23290</v>
      </c>
      <c r="D56" s="32">
        <f t="shared" si="16"/>
        <v>0.14739107046799355</v>
      </c>
      <c r="E56" s="43"/>
      <c r="F56" s="31">
        <f>SUM(F48:F55)</f>
        <v>17257</v>
      </c>
      <c r="G56" s="32">
        <f t="shared" si="17"/>
        <v>9.2979024897495169E-2</v>
      </c>
      <c r="H56" s="43"/>
      <c r="I56" s="31">
        <f>SUM(I48:I55)</f>
        <v>46099</v>
      </c>
      <c r="J56" s="32">
        <f t="shared" si="18"/>
        <v>0.18538446999400804</v>
      </c>
    </row>
    <row r="57" spans="2:11" x14ac:dyDescent="0.25">
      <c r="B57" s="24" t="s">
        <v>59</v>
      </c>
      <c r="C57" s="25">
        <f>SUM(C58:C62)</f>
        <v>153480</v>
      </c>
      <c r="D57" s="26">
        <f>C57/$C$5</f>
        <v>3.4538311128793832E-2</v>
      </c>
      <c r="E57" s="27">
        <f>F57/C57-1</f>
        <v>0.18401094605160284</v>
      </c>
      <c r="F57" s="25">
        <f>SUM(F58:F62)</f>
        <v>181722</v>
      </c>
      <c r="G57" s="26">
        <f>F57/$F$5</f>
        <v>4.8655547841462629E-2</v>
      </c>
      <c r="H57" s="27">
        <f t="shared" ref="H57:H64" si="19">I57/F57-1</f>
        <v>9.9233994783240353E-2</v>
      </c>
      <c r="I57" s="25">
        <f>SUM(I58:I62)</f>
        <v>199755</v>
      </c>
      <c r="J57" s="26">
        <f>I57/$I$5</f>
        <v>4.0090756376729278E-2</v>
      </c>
      <c r="K57" s="12"/>
    </row>
    <row r="58" spans="2:11" x14ac:dyDescent="0.25">
      <c r="B58" s="28" t="s">
        <v>17</v>
      </c>
      <c r="C58" s="4">
        <v>37236</v>
      </c>
      <c r="D58" s="11">
        <f>C58/$C$57</f>
        <v>0.24261141516810009</v>
      </c>
      <c r="E58" s="37"/>
      <c r="F58" s="4">
        <v>40516</v>
      </c>
      <c r="G58" s="11">
        <f>F58/$F$57</f>
        <v>0.22295594369421423</v>
      </c>
      <c r="H58" s="37"/>
      <c r="I58" s="4">
        <v>52339</v>
      </c>
      <c r="J58" s="11">
        <f>I58/$I$57</f>
        <v>0.26201596956271433</v>
      </c>
      <c r="K58" s="2"/>
    </row>
    <row r="59" spans="2:11" x14ac:dyDescent="0.25">
      <c r="B59" s="28" t="s">
        <v>35</v>
      </c>
      <c r="C59" s="4">
        <v>2487</v>
      </c>
      <c r="D59" s="11">
        <f>C59/$C$57</f>
        <v>1.6204065676309616E-2</v>
      </c>
      <c r="E59" s="37"/>
      <c r="F59" s="4">
        <v>2518</v>
      </c>
      <c r="G59" s="11">
        <f>F59/$F$57</f>
        <v>1.3856329998569243E-2</v>
      </c>
      <c r="H59" s="37"/>
      <c r="I59" s="4">
        <v>2715</v>
      </c>
      <c r="J59" s="11">
        <f>I59/$I$57</f>
        <v>1.3591649770969438E-2</v>
      </c>
      <c r="K59" s="2"/>
    </row>
    <row r="60" spans="2:11" x14ac:dyDescent="0.25">
      <c r="B60" s="28" t="s">
        <v>36</v>
      </c>
      <c r="C60" s="4">
        <v>104509</v>
      </c>
      <c r="D60" s="11">
        <f>C60/$C$57</f>
        <v>0.680929111284858</v>
      </c>
      <c r="E60" s="37"/>
      <c r="F60" s="4">
        <v>138180</v>
      </c>
      <c r="G60" s="11">
        <f>F60/$F$57</f>
        <v>0.76039224749892698</v>
      </c>
      <c r="H60" s="37"/>
      <c r="I60" s="4">
        <v>144258</v>
      </c>
      <c r="J60" s="11">
        <f>I60/$I$57</f>
        <v>0.72217466396335506</v>
      </c>
      <c r="K60" s="12"/>
    </row>
    <row r="61" spans="2:11" x14ac:dyDescent="0.25">
      <c r="B61" s="28" t="s">
        <v>37</v>
      </c>
      <c r="C61" s="1">
        <v>8652</v>
      </c>
      <c r="D61" s="11"/>
      <c r="E61" s="37"/>
      <c r="F61" s="4">
        <v>0</v>
      </c>
      <c r="G61" s="11"/>
      <c r="H61" s="37"/>
      <c r="I61" s="4"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v>596</v>
      </c>
      <c r="D62" s="11"/>
      <c r="E62" s="37"/>
      <c r="F62" s="4">
        <v>508</v>
      </c>
      <c r="G62" s="11"/>
      <c r="H62" s="37"/>
      <c r="I62" s="4">
        <v>443</v>
      </c>
      <c r="J62" s="11">
        <f>I62/$I$57</f>
        <v>2.2177167029611275E-3</v>
      </c>
    </row>
    <row r="63" spans="2:11" x14ac:dyDescent="0.25">
      <c r="B63" s="56" t="s">
        <v>38</v>
      </c>
      <c r="C63" s="40">
        <f>C32-C33-C45-C57</f>
        <v>1239794</v>
      </c>
      <c r="D63" s="41">
        <f>C63/$C$5</f>
        <v>0.27899655269489065</v>
      </c>
      <c r="E63" s="42">
        <f>F63/C63-1</f>
        <v>-0.3976208950841833</v>
      </c>
      <c r="F63" s="40">
        <f>F32-F33-F45-F57</f>
        <v>746826</v>
      </c>
      <c r="G63" s="41">
        <f>F63/$F$5</f>
        <v>0.1999605340698879</v>
      </c>
      <c r="H63" s="42">
        <f t="shared" si="19"/>
        <v>-4.8262915324319144E-2</v>
      </c>
      <c r="I63" s="40">
        <f>I32-I33-I45-I57</f>
        <v>710782</v>
      </c>
      <c r="J63" s="41">
        <f>I63/$I$5</f>
        <v>0.14265369076601031</v>
      </c>
      <c r="K63" s="2"/>
    </row>
    <row r="64" spans="2:11" x14ac:dyDescent="0.25">
      <c r="B64" s="24" t="s">
        <v>39</v>
      </c>
      <c r="C64" s="25">
        <f>SUM(C65:C70)</f>
        <v>117167</v>
      </c>
      <c r="D64" s="26">
        <f>C64/$C$5</f>
        <v>2.6366629528455737E-2</v>
      </c>
      <c r="E64" s="27">
        <f>F64/C64-1</f>
        <v>-0.22683008014201955</v>
      </c>
      <c r="F64" s="25">
        <f>SUM(F65:F70)</f>
        <v>90590</v>
      </c>
      <c r="G64" s="26">
        <f>F64/$F$5</f>
        <v>2.4255214442709741E-2</v>
      </c>
      <c r="H64" s="27">
        <f t="shared" si="19"/>
        <v>-1.8662324759907274</v>
      </c>
      <c r="I64" s="25">
        <f>SUM(I65:I70)</f>
        <v>-78472</v>
      </c>
      <c r="J64" s="26">
        <f>I64/$I$5</f>
        <v>-1.5749302067005581E-2</v>
      </c>
    </row>
    <row r="65" spans="2:12" hidden="1" outlineLevel="1" x14ac:dyDescent="0.25">
      <c r="B65" s="28" t="s">
        <v>40</v>
      </c>
      <c r="C65" s="4">
        <v>63427</v>
      </c>
      <c r="D65" s="21"/>
      <c r="E65" s="23"/>
      <c r="F65" s="4">
        <v>43190</v>
      </c>
      <c r="G65" s="21"/>
      <c r="H65" s="23"/>
      <c r="I65" s="4">
        <v>-121541</v>
      </c>
      <c r="J65" s="21"/>
    </row>
    <row r="66" spans="2:12" hidden="1" outlineLevel="1" x14ac:dyDescent="0.25">
      <c r="B66" s="28" t="s">
        <v>41</v>
      </c>
      <c r="C66" s="4">
        <v>0</v>
      </c>
      <c r="D66" s="21"/>
      <c r="E66" s="23"/>
      <c r="F66" s="4">
        <v>18070</v>
      </c>
      <c r="G66" s="21"/>
      <c r="H66" s="23"/>
      <c r="I66" s="4">
        <v>2130</v>
      </c>
      <c r="J66" s="21"/>
    </row>
    <row r="67" spans="2:12" hidden="1" outlineLevel="1" x14ac:dyDescent="0.25">
      <c r="B67" s="28" t="s">
        <v>80</v>
      </c>
      <c r="C67" s="4">
        <v>51524</v>
      </c>
      <c r="D67" s="21"/>
      <c r="E67" s="23"/>
      <c r="F67" s="4">
        <v>29183</v>
      </c>
      <c r="G67" s="21"/>
      <c r="H67" s="23"/>
      <c r="I67" s="4">
        <v>40000</v>
      </c>
      <c r="J67" s="21"/>
    </row>
    <row r="68" spans="2:12" hidden="1" outlineLevel="1" x14ac:dyDescent="0.25">
      <c r="B68" s="28" t="s">
        <v>42</v>
      </c>
      <c r="C68" s="4">
        <v>0</v>
      </c>
      <c r="D68" s="21"/>
      <c r="E68" s="23"/>
      <c r="F68" s="4">
        <v>0</v>
      </c>
      <c r="G68" s="21"/>
      <c r="H68" s="23"/>
      <c r="I68" s="4">
        <v>0</v>
      </c>
      <c r="J68" s="21"/>
    </row>
    <row r="69" spans="2:12" hidden="1" outlineLevel="1" x14ac:dyDescent="0.25">
      <c r="B69" s="28" t="s">
        <v>81</v>
      </c>
      <c r="C69" s="4">
        <v>0</v>
      </c>
      <c r="D69" s="21"/>
      <c r="E69" s="23"/>
      <c r="F69" s="4">
        <v>0</v>
      </c>
      <c r="G69" s="21"/>
      <c r="H69" s="23"/>
      <c r="I69" s="4">
        <v>0</v>
      </c>
      <c r="J69" s="21"/>
    </row>
    <row r="70" spans="2:12" hidden="1" outlineLevel="1" x14ac:dyDescent="0.25">
      <c r="B70" s="28" t="s">
        <v>26</v>
      </c>
      <c r="C70" s="4">
        <v>2216</v>
      </c>
      <c r="D70" s="21"/>
      <c r="E70" s="23"/>
      <c r="F70" s="4">
        <v>147</v>
      </c>
      <c r="G70" s="21"/>
      <c r="H70" s="23"/>
      <c r="I70" s="4">
        <v>939</v>
      </c>
      <c r="J70" s="21"/>
    </row>
    <row r="71" spans="2:12" collapsed="1" x14ac:dyDescent="0.25">
      <c r="B71" s="24" t="s">
        <v>43</v>
      </c>
      <c r="C71" s="25">
        <f>SUM(C72:C78)</f>
        <v>49016</v>
      </c>
      <c r="D71" s="26">
        <f>C71/$C$5</f>
        <v>1.1030296183795663E-2</v>
      </c>
      <c r="E71" s="27">
        <f>F71/C71-1</f>
        <v>-0.57760731189815573</v>
      </c>
      <c r="F71" s="25">
        <f>SUM(F72:F78)</f>
        <v>20704</v>
      </c>
      <c r="G71" s="26">
        <f>F71/$F$5</f>
        <v>5.5434370219876634E-3</v>
      </c>
      <c r="H71" s="27">
        <f>I71/F71-1</f>
        <v>-8.4332496136012374</v>
      </c>
      <c r="I71" s="25">
        <f>SUM(I72:I78)</f>
        <v>-153898</v>
      </c>
      <c r="J71" s="26">
        <f>I71/$I$5</f>
        <v>-3.0887273033795813E-2</v>
      </c>
    </row>
    <row r="72" spans="2:12" hidden="1" outlineLevel="1" x14ac:dyDescent="0.25">
      <c r="B72" s="28" t="s">
        <v>44</v>
      </c>
      <c r="C72" s="4">
        <v>1154</v>
      </c>
      <c r="D72" s="10"/>
      <c r="E72" s="13"/>
      <c r="F72" s="4">
        <v>1121</v>
      </c>
      <c r="G72" s="10"/>
      <c r="H72" s="13"/>
      <c r="I72" s="4">
        <v>1104</v>
      </c>
      <c r="J72" s="10"/>
    </row>
    <row r="73" spans="2:12" hidden="1" outlineLevel="1" x14ac:dyDescent="0.25">
      <c r="B73" s="28" t="s">
        <v>82</v>
      </c>
      <c r="C73" s="4">
        <v>0</v>
      </c>
      <c r="D73" s="10"/>
      <c r="E73" s="13"/>
      <c r="F73" s="4">
        <v>0</v>
      </c>
      <c r="G73" s="10"/>
      <c r="H73" s="13"/>
      <c r="I73" s="4">
        <v>-338862</v>
      </c>
      <c r="J73" s="10"/>
      <c r="K73" s="2"/>
    </row>
    <row r="74" spans="2:12" hidden="1" outlineLevel="1" x14ac:dyDescent="0.25">
      <c r="B74" s="28" t="s">
        <v>41</v>
      </c>
      <c r="C74" s="4">
        <v>13957</v>
      </c>
      <c r="D74" s="10"/>
      <c r="E74" s="13"/>
      <c r="F74" s="4">
        <v>405</v>
      </c>
      <c r="G74" s="10"/>
      <c r="H74" s="13"/>
      <c r="I74" s="4">
        <v>960</v>
      </c>
      <c r="J74" s="10"/>
      <c r="K74" s="2"/>
    </row>
    <row r="75" spans="2:12" hidden="1" outlineLevel="1" x14ac:dyDescent="0.25">
      <c r="B75" s="28" t="s">
        <v>45</v>
      </c>
      <c r="C75" s="4">
        <v>0</v>
      </c>
      <c r="D75" s="10"/>
      <c r="E75" s="13"/>
      <c r="F75" s="4">
        <v>0</v>
      </c>
      <c r="G75" s="10"/>
      <c r="H75" s="13"/>
      <c r="I75" s="4">
        <v>0</v>
      </c>
      <c r="J75" s="10"/>
      <c r="K75" s="2"/>
    </row>
    <row r="76" spans="2:12" hidden="1" outlineLevel="1" x14ac:dyDescent="0.25">
      <c r="B76" s="28" t="s">
        <v>46</v>
      </c>
      <c r="C76" s="1">
        <v>17458</v>
      </c>
      <c r="D76" s="10"/>
      <c r="E76" s="13"/>
      <c r="F76" s="4">
        <v>12312</v>
      </c>
      <c r="G76" s="10"/>
      <c r="H76" s="13"/>
      <c r="I76" s="4">
        <v>22338</v>
      </c>
      <c r="J76" s="10"/>
    </row>
    <row r="77" spans="2:12" hidden="1" outlineLevel="1" x14ac:dyDescent="0.25">
      <c r="B77" s="28" t="s">
        <v>63</v>
      </c>
      <c r="C77" s="1">
        <v>13161</v>
      </c>
      <c r="D77" s="10"/>
      <c r="E77" s="13"/>
      <c r="F77" s="4">
        <v>6254</v>
      </c>
      <c r="G77" s="10"/>
      <c r="H77" s="13"/>
      <c r="I77" s="4">
        <f>10599+1177</f>
        <v>11776</v>
      </c>
      <c r="J77" s="10"/>
    </row>
    <row r="78" spans="2:12" hidden="1" outlineLevel="1" x14ac:dyDescent="0.25">
      <c r="B78" s="28" t="s">
        <v>47</v>
      </c>
      <c r="C78" s="3">
        <v>3286</v>
      </c>
      <c r="D78" s="10"/>
      <c r="E78" s="13"/>
      <c r="F78" s="4">
        <v>612</v>
      </c>
      <c r="G78" s="10"/>
      <c r="H78" s="13"/>
      <c r="I78" s="4">
        <f>148392+394</f>
        <v>148786</v>
      </c>
      <c r="J78" s="10"/>
    </row>
    <row r="79" spans="2:12" collapsed="1" x14ac:dyDescent="0.25">
      <c r="B79" s="56" t="s">
        <v>48</v>
      </c>
      <c r="C79" s="40">
        <f>C63-C71+C64</f>
        <v>1307945</v>
      </c>
      <c r="D79" s="41">
        <f>C79/C5</f>
        <v>0.29433288603955071</v>
      </c>
      <c r="E79" s="42">
        <f>F79/C79-1</f>
        <v>-0.37557619013031895</v>
      </c>
      <c r="F79" s="40">
        <f>F63-F71+F64</f>
        <v>816712</v>
      </c>
      <c r="G79" s="41">
        <f>F79/F5</f>
        <v>0.21867231149060998</v>
      </c>
      <c r="H79" s="42">
        <f>I79/F79-1</f>
        <v>-3.7349763441702821E-2</v>
      </c>
      <c r="I79" s="40">
        <f>I63-I71+I64</f>
        <v>786208</v>
      </c>
      <c r="J79" s="41">
        <f>I79/$I$5</f>
        <v>0.15779166173280054</v>
      </c>
      <c r="K79" s="8"/>
      <c r="L79" s="15"/>
    </row>
    <row r="80" spans="2:12" x14ac:dyDescent="0.25">
      <c r="B80" s="24" t="s">
        <v>49</v>
      </c>
      <c r="C80" s="25">
        <f>SUM(C81:C90)</f>
        <v>50943</v>
      </c>
      <c r="D80" s="26">
        <f>C80/$C$5</f>
        <v>1.1463937867045505E-2</v>
      </c>
      <c r="E80" s="27">
        <f>F80/C80-1</f>
        <v>0.80670553363563191</v>
      </c>
      <c r="F80" s="25">
        <f>SUM(F81:F90)</f>
        <v>92039</v>
      </c>
      <c r="G80" s="26">
        <f>F80/$F$5</f>
        <v>2.4643180065046493E-2</v>
      </c>
      <c r="H80" s="27">
        <f>I80/F80-1</f>
        <v>2.1188517910885603</v>
      </c>
      <c r="I80" s="25">
        <f>SUM(I81:I90)</f>
        <v>287056</v>
      </c>
      <c r="J80" s="26">
        <f>I80/$I$5</f>
        <v>5.7612035555948037E-2</v>
      </c>
      <c r="K80" s="19"/>
    </row>
    <row r="81" spans="2:12" hidden="1" outlineLevel="1" x14ac:dyDescent="0.25">
      <c r="B81" s="28" t="s">
        <v>17</v>
      </c>
      <c r="C81" s="1">
        <v>31077</v>
      </c>
      <c r="D81" s="10"/>
      <c r="E81" s="13"/>
      <c r="F81" s="4">
        <v>39161</v>
      </c>
      <c r="G81" s="10"/>
      <c r="H81" s="13"/>
      <c r="I81" s="4">
        <v>266683</v>
      </c>
      <c r="J81" s="10"/>
    </row>
    <row r="82" spans="2:12" hidden="1" outlineLevel="1" x14ac:dyDescent="0.25">
      <c r="B82" s="28" t="s">
        <v>50</v>
      </c>
      <c r="C82" s="4">
        <v>9457</v>
      </c>
      <c r="D82" s="10"/>
      <c r="E82" s="13"/>
      <c r="F82" s="4">
        <v>9347</v>
      </c>
      <c r="G82" s="10"/>
      <c r="H82" s="13"/>
      <c r="I82" s="4">
        <v>7705</v>
      </c>
      <c r="J82" s="10"/>
    </row>
    <row r="83" spans="2:12" hidden="1" outlineLevel="1" x14ac:dyDescent="0.25">
      <c r="B83" s="28" t="s">
        <v>51</v>
      </c>
      <c r="C83" s="1">
        <v>1800</v>
      </c>
      <c r="D83" s="10"/>
      <c r="E83" s="13"/>
      <c r="F83" s="4">
        <v>1972</v>
      </c>
      <c r="G83" s="10"/>
      <c r="H83" s="13"/>
      <c r="I83" s="4">
        <v>0</v>
      </c>
      <c r="J83" s="10"/>
      <c r="K83" s="2"/>
    </row>
    <row r="84" spans="2:12" hidden="1" outlineLevel="1" x14ac:dyDescent="0.25">
      <c r="B84" s="28" t="s">
        <v>52</v>
      </c>
      <c r="C84" s="4">
        <v>0</v>
      </c>
      <c r="D84" s="10"/>
      <c r="E84" s="13"/>
      <c r="F84" s="4">
        <v>22639</v>
      </c>
      <c r="G84" s="10"/>
      <c r="H84" s="13"/>
      <c r="I84" s="4">
        <v>0</v>
      </c>
      <c r="J84" s="10"/>
      <c r="K84" s="2"/>
    </row>
    <row r="85" spans="2:12" hidden="1" outlineLevel="1" x14ac:dyDescent="0.25">
      <c r="B85" s="28" t="s">
        <v>84</v>
      </c>
      <c r="C85" s="1">
        <v>5054</v>
      </c>
      <c r="D85" s="10"/>
      <c r="E85" s="13"/>
      <c r="F85" s="4">
        <v>794</v>
      </c>
      <c r="G85" s="10"/>
      <c r="H85" s="13"/>
      <c r="I85" s="4">
        <v>0</v>
      </c>
      <c r="J85" s="10"/>
    </row>
    <row r="86" spans="2:12" hidden="1" outlineLevel="1" x14ac:dyDescent="0.25">
      <c r="B86" s="28" t="s">
        <v>54</v>
      </c>
      <c r="C86" s="3">
        <v>0</v>
      </c>
      <c r="D86" s="10"/>
      <c r="E86" s="13"/>
      <c r="F86" s="4">
        <v>365</v>
      </c>
      <c r="G86" s="10"/>
      <c r="H86" s="13"/>
      <c r="I86" s="4">
        <v>400</v>
      </c>
      <c r="J86" s="10"/>
    </row>
    <row r="87" spans="2:12" hidden="1" outlineLevel="1" x14ac:dyDescent="0.25">
      <c r="B87" s="28" t="s">
        <v>83</v>
      </c>
      <c r="C87" s="4">
        <v>0</v>
      </c>
      <c r="D87" s="10"/>
      <c r="E87" s="13"/>
      <c r="F87" s="4">
        <v>5665</v>
      </c>
      <c r="G87" s="10"/>
      <c r="H87" s="13"/>
      <c r="I87" s="4">
        <v>0</v>
      </c>
      <c r="J87" s="10"/>
    </row>
    <row r="88" spans="2:12" hidden="1" outlineLevel="1" x14ac:dyDescent="0.25">
      <c r="B88" s="28" t="s">
        <v>55</v>
      </c>
      <c r="C88" s="4">
        <v>0</v>
      </c>
      <c r="D88" s="10"/>
      <c r="E88" s="13"/>
      <c r="F88" s="4">
        <v>0</v>
      </c>
      <c r="G88" s="10"/>
      <c r="H88" s="13"/>
      <c r="I88" s="4">
        <v>0</v>
      </c>
      <c r="J88" s="10"/>
    </row>
    <row r="89" spans="2:12" hidden="1" outlineLevel="1" x14ac:dyDescent="0.25">
      <c r="B89" s="28" t="s">
        <v>56</v>
      </c>
      <c r="C89" s="3">
        <v>3555</v>
      </c>
      <c r="D89" s="10"/>
      <c r="E89" s="13"/>
      <c r="F89" s="4">
        <v>3555</v>
      </c>
      <c r="G89" s="10"/>
      <c r="H89" s="13"/>
      <c r="I89" s="4">
        <v>3555</v>
      </c>
      <c r="J89" s="10"/>
    </row>
    <row r="90" spans="2:12" hidden="1" outlineLevel="1" x14ac:dyDescent="0.25">
      <c r="B90" s="28" t="s">
        <v>26</v>
      </c>
      <c r="C90" s="3">
        <v>0</v>
      </c>
      <c r="D90" s="10"/>
      <c r="E90" s="13"/>
      <c r="F90" s="4">
        <v>8541</v>
      </c>
      <c r="G90" s="10"/>
      <c r="H90" s="13"/>
      <c r="I90" s="4">
        <v>8713</v>
      </c>
      <c r="J90" s="10"/>
    </row>
    <row r="91" spans="2:12" collapsed="1" x14ac:dyDescent="0.25">
      <c r="B91" s="56" t="s">
        <v>85</v>
      </c>
      <c r="C91" s="44">
        <f>C79-C80</f>
        <v>1257002</v>
      </c>
      <c r="D91" s="41">
        <f>C91/C5</f>
        <v>0.28286894817250524</v>
      </c>
      <c r="E91" s="42">
        <f>F91/C91-1</f>
        <v>-0.4234909729658346</v>
      </c>
      <c r="F91" s="44">
        <f>F79-F80</f>
        <v>724673</v>
      </c>
      <c r="G91" s="41">
        <f>F91/F5</f>
        <v>0.19402913142556347</v>
      </c>
      <c r="H91" s="42">
        <f>I91/F91-1</f>
        <v>-0.31120381192620672</v>
      </c>
      <c r="I91" s="44">
        <f>I79-I80</f>
        <v>499152</v>
      </c>
      <c r="J91" s="41">
        <f>I91/$I$5</f>
        <v>0.10017962617685251</v>
      </c>
      <c r="K91" s="8"/>
      <c r="L91" s="15"/>
    </row>
    <row r="92" spans="2:12" x14ac:dyDescent="0.25">
      <c r="B92" s="61" t="s">
        <v>92</v>
      </c>
      <c r="C92" s="62">
        <f>C91</f>
        <v>1257002</v>
      </c>
      <c r="D92" s="63"/>
      <c r="E92" s="64"/>
      <c r="F92" s="62">
        <v>783020</v>
      </c>
      <c r="G92" s="63"/>
      <c r="H92" s="64"/>
      <c r="I92" s="62">
        <f>I91</f>
        <v>499152</v>
      </c>
      <c r="J92" s="63"/>
    </row>
    <row r="93" spans="2:12" x14ac:dyDescent="0.25">
      <c r="C93" s="2"/>
      <c r="F93" s="2">
        <f>F92-F91</f>
        <v>58347</v>
      </c>
      <c r="I93" s="2"/>
    </row>
    <row r="94" spans="2:12" x14ac:dyDescent="0.25">
      <c r="B94" t="s">
        <v>86</v>
      </c>
      <c r="C94" s="2">
        <v>113641</v>
      </c>
      <c r="D94" s="2">
        <v>69447</v>
      </c>
      <c r="E94" s="2">
        <v>196472</v>
      </c>
      <c r="I94" s="2"/>
    </row>
    <row r="95" spans="2:12" x14ac:dyDescent="0.25">
      <c r="B95" t="s">
        <v>87</v>
      </c>
      <c r="C95" s="2">
        <v>101793</v>
      </c>
      <c r="D95" s="2">
        <v>70853</v>
      </c>
      <c r="E95" s="2">
        <v>212832</v>
      </c>
    </row>
    <row r="96" spans="2:12" x14ac:dyDescent="0.25">
      <c r="C96" s="22">
        <v>2024</v>
      </c>
      <c r="D96" s="22">
        <v>2025</v>
      </c>
      <c r="E96" s="22">
        <v>2026</v>
      </c>
    </row>
  </sheetData>
  <mergeCells count="3">
    <mergeCell ref="B2:J2"/>
    <mergeCell ref="C3:D3"/>
    <mergeCell ref="E3:F3"/>
  </mergeCells>
  <dataValidations disablePrompts="1" count="1">
    <dataValidation type="list" allowBlank="1" showInputMessage="1" showErrorMessage="1" sqref="E3:F3" xr:uid="{D2916E6A-6F62-46A3-A393-8C65F7778D9F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68" orientation="portrait" horizontalDpi="4294967293" verticalDpi="7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AD67-49D1-45ED-B078-2C4ACCF8BD86}">
  <sheetPr codeName="Hoja23">
    <pageSetUpPr fitToPage="1"/>
  </sheetPr>
  <dimension ref="B1:P100"/>
  <sheetViews>
    <sheetView showGridLines="0" zoomScaleNormal="100" workbookViewId="0">
      <pane ySplit="4" topLeftCell="A5" activePane="bottomLeft" state="frozen"/>
      <selection activeCell="J29" sqref="J29"/>
      <selection pane="bottomLeft" activeCell="C5" sqref="C5:J92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" style="14" customWidth="1"/>
    <col min="9" max="9" width="11.33203125" customWidth="1"/>
    <col min="10" max="10" width="7.6640625" style="8" bestFit="1" customWidth="1"/>
    <col min="11" max="11" width="13.21875" hidden="1" customWidth="1"/>
    <col min="12" max="12" width="0" hidden="1" customWidth="1"/>
    <col min="13" max="13" width="13" hidden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121</v>
      </c>
      <c r="F3" s="115"/>
      <c r="G3" s="17"/>
      <c r="H3" s="20"/>
      <c r="I3" s="17"/>
      <c r="J3" s="18"/>
      <c r="L3" s="19"/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15500895</v>
      </c>
      <c r="D5" s="10">
        <v>1</v>
      </c>
      <c r="E5" s="10">
        <f>F5/C5-1</f>
        <v>0.10345318770303269</v>
      </c>
      <c r="F5" s="33">
        <f>F6+F9+F13+F14</f>
        <v>17104512</v>
      </c>
      <c r="G5" s="10">
        <v>1</v>
      </c>
      <c r="H5" s="10">
        <f t="shared" ref="H5" si="0">I5/F5-1</f>
        <v>0.11318913980124079</v>
      </c>
      <c r="I5" s="33">
        <f>I6+I9+I13+I14</f>
        <v>19040557</v>
      </c>
      <c r="J5" s="10">
        <v>1</v>
      </c>
      <c r="K5" s="2">
        <f>I5-F5</f>
        <v>1936045</v>
      </c>
    </row>
    <row r="6" spans="2:16" x14ac:dyDescent="0.25">
      <c r="B6" s="48" t="s">
        <v>64</v>
      </c>
      <c r="C6" s="31">
        <f>C7+C8</f>
        <v>14176962</v>
      </c>
      <c r="D6" s="32">
        <f>C6/$C$5</f>
        <v>0.91458989948644898</v>
      </c>
      <c r="E6" s="32">
        <f>F6/C6-1</f>
        <v>0.10314254915827514</v>
      </c>
      <c r="F6" s="31">
        <f>F7+F8</f>
        <v>15639210</v>
      </c>
      <c r="G6" s="32">
        <f>F6/$F$5</f>
        <v>0.91433242877668774</v>
      </c>
      <c r="H6" s="32">
        <f>I6/F6-1</f>
        <v>-9.9022265191144321E-3</v>
      </c>
      <c r="I6" s="31">
        <f>I7+I8</f>
        <v>15484347</v>
      </c>
      <c r="J6" s="32">
        <f>I6/$I$5</f>
        <v>0.81322972852107211</v>
      </c>
      <c r="K6" s="2">
        <f>I6-F6</f>
        <v>-154863</v>
      </c>
      <c r="L6" s="12">
        <f>K6/F6</f>
        <v>-9.9022265191144564E-3</v>
      </c>
    </row>
    <row r="7" spans="2:16" x14ac:dyDescent="0.25">
      <c r="B7" s="28" t="s">
        <v>67</v>
      </c>
      <c r="C7" s="1">
        <f>Ene!C7+Feb!C7+Mar!C7+Abr!C7</f>
        <v>12139377</v>
      </c>
      <c r="D7" s="11">
        <f>C7/C5</f>
        <v>0.78314039286118642</v>
      </c>
      <c r="E7" s="11">
        <f t="shared" ref="E7:E14" si="1">F7/C7-1</f>
        <v>0.11567875353076196</v>
      </c>
      <c r="F7" s="4">
        <f>Ene!F7+Feb!F7+Mar!F7+Abr!F7</f>
        <v>13543645</v>
      </c>
      <c r="G7" s="11">
        <f>F7/$F$5</f>
        <v>0.79181709481100659</v>
      </c>
      <c r="H7" s="11">
        <f t="shared" ref="H7:H14" si="2">I7/F7-1</f>
        <v>-2.7642558557906649E-2</v>
      </c>
      <c r="I7" s="4">
        <f>Ene!I7+Feb!I7+Mar!I7+Abr!I7</f>
        <v>13169264</v>
      </c>
      <c r="J7" s="11">
        <f t="shared" ref="J7:J14" si="3">I7/$I$5</f>
        <v>0.6916427917523631</v>
      </c>
      <c r="K7" s="2">
        <f>I7-F7</f>
        <v>-374381</v>
      </c>
      <c r="L7" s="2"/>
    </row>
    <row r="8" spans="2:16" x14ac:dyDescent="0.25">
      <c r="B8" s="28" t="s">
        <v>68</v>
      </c>
      <c r="C8" s="1">
        <f>Ene!C8+Feb!C8+Mar!C8+Abr!C8</f>
        <v>2037585</v>
      </c>
      <c r="D8" s="11">
        <f t="shared" ref="D8:D14" si="4">C8/$C$5</f>
        <v>0.13144950662526261</v>
      </c>
      <c r="E8" s="11">
        <f t="shared" si="1"/>
        <v>2.8455254627414384E-2</v>
      </c>
      <c r="F8" s="4">
        <f>Ene!F8+Feb!F8+Mar!F8+Abr!F8</f>
        <v>2095565</v>
      </c>
      <c r="G8" s="11">
        <f>F8/$F$5</f>
        <v>0.12251533396568111</v>
      </c>
      <c r="H8" s="11">
        <f t="shared" si="2"/>
        <v>0.10475361060143684</v>
      </c>
      <c r="I8" s="4">
        <f>Ene!I8+Feb!I8+Mar!I8+Abr!I8</f>
        <v>2315083</v>
      </c>
      <c r="J8" s="11">
        <f t="shared" si="3"/>
        <v>0.12158693676870902</v>
      </c>
      <c r="K8" s="2">
        <f>I8-F8</f>
        <v>219518</v>
      </c>
    </row>
    <row r="9" spans="2:16" x14ac:dyDescent="0.25">
      <c r="B9" s="48" t="s">
        <v>65</v>
      </c>
      <c r="C9" s="31">
        <f>C10+C11+C12</f>
        <v>1518435</v>
      </c>
      <c r="D9" s="32">
        <f t="shared" si="4"/>
        <v>9.7957892108810493E-2</v>
      </c>
      <c r="E9" s="32">
        <f t="shared" si="1"/>
        <v>0.16391613733877319</v>
      </c>
      <c r="F9" s="31">
        <f>F10+F11+F12</f>
        <v>1767331</v>
      </c>
      <c r="G9" s="32">
        <f>F9/$F$5</f>
        <v>0.10332542664765881</v>
      </c>
      <c r="H9" s="32">
        <f>I9/F9-1</f>
        <v>1.2496210387301532</v>
      </c>
      <c r="I9" s="31">
        <f>I10+I11+I12</f>
        <v>3975825</v>
      </c>
      <c r="J9" s="32">
        <f>I9/$I$5</f>
        <v>0.2088082297172294</v>
      </c>
    </row>
    <row r="10" spans="2:16" x14ac:dyDescent="0.25">
      <c r="B10" s="28" t="s">
        <v>69</v>
      </c>
      <c r="C10" s="1">
        <f>Ene!C10+Feb!C10+Mar!C10+Abr!C10</f>
        <v>1019139</v>
      </c>
      <c r="D10" s="11">
        <f t="shared" si="4"/>
        <v>6.5747106860603852E-2</v>
      </c>
      <c r="E10" s="11">
        <f t="shared" si="1"/>
        <v>0.30004837416682117</v>
      </c>
      <c r="F10" s="4">
        <f>Ene!F10+Feb!F10+Mar!F10+Abr!F10</f>
        <v>1324930</v>
      </c>
      <c r="G10" s="11">
        <f>F10/$F$5</f>
        <v>7.7460847757597526E-2</v>
      </c>
      <c r="H10" s="11">
        <f>I10/F10-1</f>
        <v>0.29317699803008468</v>
      </c>
      <c r="I10" s="4">
        <f>Ene!I10+Feb!I10+Mar!I10+Abr!I10</f>
        <v>1713369</v>
      </c>
      <c r="J10" s="11">
        <f t="shared" si="3"/>
        <v>8.998523520083998E-2</v>
      </c>
    </row>
    <row r="11" spans="2:16" x14ac:dyDescent="0.25">
      <c r="B11" s="28" t="s">
        <v>70</v>
      </c>
      <c r="C11" s="1">
        <f>Ene!C11+Feb!C11+Mar!C11+Abr!C11</f>
        <v>499296</v>
      </c>
      <c r="D11" s="11">
        <f t="shared" si="4"/>
        <v>3.2210785248206635E-2</v>
      </c>
      <c r="E11" s="11">
        <f t="shared" si="1"/>
        <v>-0.45787468756008465</v>
      </c>
      <c r="F11" s="4">
        <f>Ene!F11+Feb!F11+Mar!F11+Abr!F11</f>
        <v>270681</v>
      </c>
      <c r="G11" s="11">
        <f t="shared" ref="G11:G12" si="5">F11/$F$5</f>
        <v>1.5825122634308422E-2</v>
      </c>
      <c r="H11" s="11">
        <f t="shared" si="2"/>
        <v>7.3171186747499828</v>
      </c>
      <c r="I11" s="4">
        <f>Ene!I11+Feb!I11+Mar!I11+Abr!I11</f>
        <v>2251286</v>
      </c>
      <c r="J11" s="11">
        <f>I11/$I$5</f>
        <v>0.11823635201428194</v>
      </c>
    </row>
    <row r="12" spans="2:16" x14ac:dyDescent="0.25">
      <c r="B12" s="28" t="s">
        <v>71</v>
      </c>
      <c r="C12" s="1">
        <f>Ene!C12+Feb!C12+Mar!C12+Abr!C12</f>
        <v>0</v>
      </c>
      <c r="D12" s="11">
        <f t="shared" si="4"/>
        <v>0</v>
      </c>
      <c r="E12" s="11">
        <v>0</v>
      </c>
      <c r="F12" s="4">
        <f>Ene!F12+Feb!F12+Mar!F12+Abr!F12</f>
        <v>171720</v>
      </c>
      <c r="G12" s="11">
        <f t="shared" si="5"/>
        <v>1.0039456255752867E-2</v>
      </c>
      <c r="H12" s="11">
        <f t="shared" si="2"/>
        <v>-0.9349522478453296</v>
      </c>
      <c r="I12" s="4">
        <f>Ene!I12+Feb!I12+Mar!I12+Abr!I12</f>
        <v>11170</v>
      </c>
      <c r="J12" s="11">
        <f t="shared" si="3"/>
        <v>5.8664250210747513E-4</v>
      </c>
    </row>
    <row r="13" spans="2:16" x14ac:dyDescent="0.25">
      <c r="B13" s="48" t="s">
        <v>74</v>
      </c>
      <c r="C13" s="5">
        <f>Ene!C13+Feb!C13+Mar!C13+Abr!C13</f>
        <v>80821</v>
      </c>
      <c r="D13" s="32">
        <f t="shared" si="4"/>
        <v>5.2139570005473876E-3</v>
      </c>
      <c r="E13" s="32">
        <f t="shared" si="1"/>
        <v>-3.3134952549461194E-2</v>
      </c>
      <c r="F13" s="31">
        <f>Ene!F13+Feb!F13+Mar!F13+Abr!F13</f>
        <v>78143</v>
      </c>
      <c r="G13" s="32">
        <f>F13/$F$5</f>
        <v>4.5685606230683462E-3</v>
      </c>
      <c r="H13" s="32">
        <f t="shared" si="2"/>
        <v>-0.51225317686804961</v>
      </c>
      <c r="I13" s="31">
        <f>Ene!I13+Feb!I13+Mar!I13+Abr!I13</f>
        <v>38114</v>
      </c>
      <c r="J13" s="32">
        <f t="shared" si="3"/>
        <v>2.001727155355802E-3</v>
      </c>
      <c r="K13" s="12"/>
      <c r="O13" s="2"/>
      <c r="P13" s="9"/>
    </row>
    <row r="14" spans="2:16" x14ac:dyDescent="0.25">
      <c r="B14" s="48" t="s">
        <v>8</v>
      </c>
      <c r="C14" s="5">
        <f>Ene!C14+Feb!C14+Mar!C14+Abr!C14</f>
        <v>-275323</v>
      </c>
      <c r="D14" s="32">
        <f t="shared" si="4"/>
        <v>-1.7761748595806887E-2</v>
      </c>
      <c r="E14" s="32">
        <f t="shared" si="1"/>
        <v>0.38082179839679209</v>
      </c>
      <c r="F14" s="31">
        <f>Ene!F14+Feb!F14+Mar!F14+Abr!F14</f>
        <v>-380172</v>
      </c>
      <c r="G14" s="32">
        <f>F14/$F$5</f>
        <v>-2.2226416047414859E-2</v>
      </c>
      <c r="H14" s="32">
        <f t="shared" si="2"/>
        <v>0.20400502930252618</v>
      </c>
      <c r="I14" s="31">
        <f>Ene!I14+Feb!I14+Mar!I14+Abr!I14</f>
        <v>-457729</v>
      </c>
      <c r="J14" s="32">
        <f t="shared" si="3"/>
        <v>-2.4039685393657338E-2</v>
      </c>
      <c r="K14" s="2">
        <f>I14-F14</f>
        <v>-77557</v>
      </c>
    </row>
    <row r="15" spans="2:16" x14ac:dyDescent="0.25">
      <c r="B15" s="49" t="s">
        <v>9</v>
      </c>
      <c r="C15" s="38">
        <f>C19+C24+C27</f>
        <v>10074386</v>
      </c>
      <c r="D15" s="10">
        <f>C15/C5</f>
        <v>0.64992285929296345</v>
      </c>
      <c r="E15" s="10">
        <f>F15/C15-1</f>
        <v>0.10264883636580935</v>
      </c>
      <c r="F15" s="38">
        <f>F19+F24+F27</f>
        <v>11108510</v>
      </c>
      <c r="G15" s="10">
        <f>F15/$F$5</f>
        <v>0.64944910442344106</v>
      </c>
      <c r="H15" s="10">
        <f>I15/F15-1</f>
        <v>0.22656341849626993</v>
      </c>
      <c r="I15" s="38">
        <f>I19+I24+I27</f>
        <v>13625292</v>
      </c>
      <c r="J15" s="10">
        <f>I15/$I$5</f>
        <v>0.71559314152416864</v>
      </c>
      <c r="K15" s="2">
        <f>I15-F15</f>
        <v>2516782</v>
      </c>
      <c r="L15" s="12">
        <f>J15-G15</f>
        <v>6.6144037100727582E-2</v>
      </c>
      <c r="M15" s="59"/>
    </row>
    <row r="16" spans="2:16" x14ac:dyDescent="0.25">
      <c r="B16" s="50" t="s">
        <v>10</v>
      </c>
      <c r="C16" s="51">
        <f>Ene!C16</f>
        <v>6344158</v>
      </c>
      <c r="D16" s="52"/>
      <c r="E16" s="53"/>
      <c r="F16" s="51">
        <f>Ene!F16</f>
        <v>10079749</v>
      </c>
      <c r="G16" s="52"/>
      <c r="H16" s="53"/>
      <c r="I16" s="51">
        <f>[1]ENE!I16</f>
        <v>8278719</v>
      </c>
      <c r="J16" s="54"/>
      <c r="K16" s="9"/>
    </row>
    <row r="17" spans="2:15" x14ac:dyDescent="0.25">
      <c r="B17" s="28" t="s">
        <v>11</v>
      </c>
      <c r="C17" s="1">
        <f>Ene!C17+Feb!C17+Mar!C17+Abr!C17</f>
        <v>7584190</v>
      </c>
      <c r="D17" s="10"/>
      <c r="E17" s="58">
        <f>F17/C17-1</f>
        <v>-0.14613070083950952</v>
      </c>
      <c r="F17" s="4">
        <f>Ene!F17+Feb!F17+Mar!F17+Abr!F17</f>
        <v>6475907</v>
      </c>
      <c r="G17" s="10"/>
      <c r="H17" s="58">
        <f>I17/F17-1</f>
        <v>0.41571443197068758</v>
      </c>
      <c r="I17" s="4">
        <f>Ene!I17+Feb!I17+Mar!I17+Abr!I17</f>
        <v>9168035</v>
      </c>
      <c r="J17" s="39"/>
      <c r="K17" s="2"/>
    </row>
    <row r="18" spans="2:15" x14ac:dyDescent="0.25">
      <c r="B18" s="28" t="s">
        <v>13</v>
      </c>
      <c r="C18" s="1">
        <f>Ene!C18+Feb!C18+Mar!C18+Abr!C18</f>
        <v>-89640</v>
      </c>
      <c r="D18" s="11"/>
      <c r="E18" s="13"/>
      <c r="F18" s="4">
        <f>Ene!F18+Feb!F18+Mar!F18+Abr!F18</f>
        <v>-31484</v>
      </c>
      <c r="G18" s="11"/>
      <c r="H18" s="13"/>
      <c r="I18" s="4">
        <f>Ene!I18+Feb!I18+Mar!I18+Abr!I18</f>
        <v>-77426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3674914</v>
      </c>
      <c r="D19" s="32">
        <f>C19/C5</f>
        <v>0.2370775364906349</v>
      </c>
      <c r="E19" s="32">
        <f>F19/C19-1</f>
        <v>2.3715929134668245E-2</v>
      </c>
      <c r="F19" s="31">
        <f>SUM(F20:F23)</f>
        <v>3762068</v>
      </c>
      <c r="G19" s="32">
        <f>F19/$F$5</f>
        <v>0.2199459417491712</v>
      </c>
      <c r="H19" s="32">
        <f>I19/F19-1</f>
        <v>0.1807657384183381</v>
      </c>
      <c r="I19" s="31">
        <f>SUM(I20:I23)</f>
        <v>4442121</v>
      </c>
      <c r="J19" s="32">
        <f>I19/$I$5</f>
        <v>0.23329784942740908</v>
      </c>
      <c r="K19" s="60">
        <f t="shared" ref="K19:K27" si="6">I19-F19</f>
        <v>680053</v>
      </c>
      <c r="L19" s="2"/>
      <c r="O19" s="2"/>
    </row>
    <row r="20" spans="2:15" x14ac:dyDescent="0.25">
      <c r="B20" s="28" t="s">
        <v>75</v>
      </c>
      <c r="C20" s="1">
        <f>Ene!C20+Feb!C20+Mar!C20+Abr!C20</f>
        <v>1597991</v>
      </c>
      <c r="D20" s="11">
        <f t="shared" ref="D20" si="7">C20/$C$5</f>
        <v>0.10309024091834697</v>
      </c>
      <c r="E20" s="11">
        <f t="shared" ref="E20" si="8">F20/C20-1</f>
        <v>0.13688437544391685</v>
      </c>
      <c r="F20" s="4">
        <f>Ene!F20+Feb!F20+Mar!F20+Abr!F20</f>
        <v>1816731</v>
      </c>
      <c r="G20" s="11">
        <f t="shared" ref="G20" si="9">F20/$F$5</f>
        <v>0.10621355347641605</v>
      </c>
      <c r="H20" s="11">
        <f>I20/F20-1</f>
        <v>0.14784742485266111</v>
      </c>
      <c r="I20" s="4">
        <f>Ene!I20+Feb!I20+Mar!I20+Abr!I20</f>
        <v>2085330</v>
      </c>
      <c r="J20" s="11">
        <f>I20/$I$5</f>
        <v>0.1095204305210189</v>
      </c>
      <c r="K20" s="2">
        <f t="shared" si="6"/>
        <v>268599</v>
      </c>
      <c r="L20" s="2"/>
      <c r="O20" s="2"/>
    </row>
    <row r="21" spans="2:15" x14ac:dyDescent="0.25">
      <c r="B21" s="28" t="s">
        <v>76</v>
      </c>
      <c r="C21" s="1">
        <f>Ene!C21+Feb!C21+Mar!C21+Abr!C21</f>
        <v>865602</v>
      </c>
      <c r="D21" s="11">
        <f>C21/$C$5</f>
        <v>5.5842065893614533E-2</v>
      </c>
      <c r="E21" s="11">
        <f>F21/C21-1</f>
        <v>-8.2251427330343518E-2</v>
      </c>
      <c r="F21" s="4">
        <f>Ene!F21+Feb!F21+Mar!F21+Abr!F21</f>
        <v>794405</v>
      </c>
      <c r="G21" s="11">
        <f>F21/$F$5</f>
        <v>4.6444178004026074E-2</v>
      </c>
      <c r="H21" s="11">
        <f>I21/F21-1</f>
        <v>0.24511049149992759</v>
      </c>
      <c r="I21" s="4">
        <f>Ene!I21+Feb!I21+Mar!I21+Abr!I21</f>
        <v>989122</v>
      </c>
      <c r="J21" s="11">
        <f>I21/$I$5</f>
        <v>5.1948165171848699E-2</v>
      </c>
      <c r="K21" s="2">
        <f t="shared" si="6"/>
        <v>194717</v>
      </c>
      <c r="L21" s="2"/>
      <c r="O21" s="2"/>
    </row>
    <row r="22" spans="2:15" x14ac:dyDescent="0.25">
      <c r="B22" s="28" t="s">
        <v>77</v>
      </c>
      <c r="C22" s="1">
        <f>Ene!C22+Feb!C22+Mar!C22+Abr!C22</f>
        <v>1135502</v>
      </c>
      <c r="D22" s="11">
        <f t="shared" ref="D22:D23" si="10">C22/$C$5</f>
        <v>7.3253963722739887E-2</v>
      </c>
      <c r="E22" s="11">
        <f t="shared" ref="E22:E23" si="11">F22/C22-1</f>
        <v>-0.26245044042194554</v>
      </c>
      <c r="F22" s="4">
        <f>Ene!F22+Feb!F22+Mar!F22+Abr!F22</f>
        <v>837489</v>
      </c>
      <c r="G22" s="11">
        <f t="shared" ref="G22:G23" si="12">F22/$F$5</f>
        <v>4.8963045540264462E-2</v>
      </c>
      <c r="H22" s="11">
        <f t="shared" ref="H22:H23" si="13">I22/F22-1</f>
        <v>0.23320903319327169</v>
      </c>
      <c r="I22" s="4">
        <f>Ene!I22+Feb!I22+Mar!I22+Abr!I22</f>
        <v>1032799</v>
      </c>
      <c r="J22" s="11">
        <f t="shared" ref="J22:J23" si="14">I22/$I$5</f>
        <v>5.4242058149874504E-2</v>
      </c>
      <c r="K22" s="2">
        <f t="shared" si="6"/>
        <v>195310</v>
      </c>
      <c r="L22" s="2"/>
      <c r="O22" s="2"/>
    </row>
    <row r="23" spans="2:15" x14ac:dyDescent="0.25">
      <c r="B23" s="28" t="s">
        <v>61</v>
      </c>
      <c r="C23" s="1">
        <f>Ene!C23+Feb!C23+Mar!C23+Abr!C23</f>
        <v>75819</v>
      </c>
      <c r="D23" s="11">
        <f t="shared" si="10"/>
        <v>4.8912659559335126E-3</v>
      </c>
      <c r="E23" s="11">
        <f t="shared" si="11"/>
        <v>3.1340956752265265</v>
      </c>
      <c r="F23" s="4">
        <f>Ene!F23+Feb!F23+Mar!F23+Abr!F23</f>
        <v>313443</v>
      </c>
      <c r="G23" s="11">
        <f t="shared" si="12"/>
        <v>1.832516472846463E-2</v>
      </c>
      <c r="H23" s="11">
        <f t="shared" si="13"/>
        <v>6.8360116512412139E-2</v>
      </c>
      <c r="I23" s="4">
        <f>Ene!I23+Feb!I23+Mar!I23+Abr!I23</f>
        <v>334870</v>
      </c>
      <c r="J23" s="11">
        <f t="shared" si="14"/>
        <v>1.7587195584666981E-2</v>
      </c>
      <c r="K23" s="2">
        <f t="shared" si="6"/>
        <v>21427</v>
      </c>
    </row>
    <row r="24" spans="2:15" x14ac:dyDescent="0.25">
      <c r="B24" s="48" t="s">
        <v>78</v>
      </c>
      <c r="C24" s="31">
        <f>C25+C26</f>
        <v>5186569</v>
      </c>
      <c r="D24" s="32">
        <f>C24/C5</f>
        <v>0.3345980345005885</v>
      </c>
      <c r="E24" s="32">
        <f>F24/C24-1</f>
        <v>0.14097759038778812</v>
      </c>
      <c r="F24" s="31">
        <f>F25+F26</f>
        <v>5917759</v>
      </c>
      <c r="G24" s="32">
        <f>F24/$F$5</f>
        <v>0.34597648854290608</v>
      </c>
      <c r="H24" s="32">
        <f>I24/F24-1</f>
        <v>-9.2315351132075119E-3</v>
      </c>
      <c r="I24" s="31">
        <f>I25+I26</f>
        <v>5863129</v>
      </c>
      <c r="J24" s="32">
        <f>I24/$I$5</f>
        <v>0.30792843927832575</v>
      </c>
      <c r="K24" s="2">
        <f t="shared" si="6"/>
        <v>-54630</v>
      </c>
      <c r="L24" s="12">
        <f>I24/I15</f>
        <v>0.4303121723923421</v>
      </c>
      <c r="M24" s="12">
        <f>F24/F15</f>
        <v>0.53272302045908948</v>
      </c>
    </row>
    <row r="25" spans="2:15" x14ac:dyDescent="0.25">
      <c r="B25" s="28" t="s">
        <v>67</v>
      </c>
      <c r="C25" s="1">
        <f>Ene!C25+Feb!C25+Mar!C25+Abr!C25</f>
        <v>3874842</v>
      </c>
      <c r="D25" s="11"/>
      <c r="E25" s="11"/>
      <c r="F25" s="4">
        <f>Ene!F25+Feb!F25+Mar!F25+Abr!F25</f>
        <v>4556369</v>
      </c>
      <c r="G25" s="11"/>
      <c r="H25" s="11"/>
      <c r="I25" s="4">
        <f>Ene!I25+Feb!I25+Mar!I25+Abr!I25</f>
        <v>3973557</v>
      </c>
      <c r="J25" s="11"/>
      <c r="K25" s="2">
        <f t="shared" si="6"/>
        <v>-582812</v>
      </c>
    </row>
    <row r="26" spans="2:15" x14ac:dyDescent="0.25">
      <c r="B26" s="28" t="s">
        <v>68</v>
      </c>
      <c r="C26" s="1">
        <f>Ene!C26+Feb!C26+Mar!C26+Abr!C26</f>
        <v>1311727</v>
      </c>
      <c r="D26" s="11"/>
      <c r="E26" s="11"/>
      <c r="F26" s="4">
        <f>Ene!F26+Feb!F26+Mar!F26+Abr!F26</f>
        <v>1361390</v>
      </c>
      <c r="G26" s="11"/>
      <c r="H26" s="11"/>
      <c r="I26" s="4">
        <f>Ene!I26+Feb!I26+Mar!I26+Abr!I26</f>
        <v>1889572</v>
      </c>
      <c r="J26" s="11"/>
      <c r="K26" s="2">
        <f t="shared" si="6"/>
        <v>528182</v>
      </c>
    </row>
    <row r="27" spans="2:15" x14ac:dyDescent="0.25">
      <c r="B27" s="48" t="s">
        <v>66</v>
      </c>
      <c r="C27" s="31">
        <f>C28+C29+C30</f>
        <v>1212903</v>
      </c>
      <c r="D27" s="32">
        <f>C27/C5</f>
        <v>7.8247288301739992E-2</v>
      </c>
      <c r="E27" s="32">
        <f>F27/C27-1</f>
        <v>0.17790375652463553</v>
      </c>
      <c r="F27" s="31">
        <f>F28+F29+F30</f>
        <v>1428683</v>
      </c>
      <c r="G27" s="32">
        <f>F27/$F$5</f>
        <v>8.3526674131363707E-2</v>
      </c>
      <c r="H27" s="32">
        <f>I27/F27-1</f>
        <v>1.323847907478426</v>
      </c>
      <c r="I27" s="31">
        <f>I28+I29+I30</f>
        <v>3320042</v>
      </c>
      <c r="J27" s="32">
        <f>I27/$I$5</f>
        <v>0.17436685281843384</v>
      </c>
      <c r="K27" s="2">
        <f t="shared" si="6"/>
        <v>1891359</v>
      </c>
    </row>
    <row r="28" spans="2:15" x14ac:dyDescent="0.25">
      <c r="B28" s="28" t="s">
        <v>69</v>
      </c>
      <c r="C28" s="1">
        <f>Ene!C28+Feb!C28+Mar!C28+Abr!C28</f>
        <v>766385</v>
      </c>
      <c r="D28" s="11">
        <f>C28/C10</f>
        <v>0.75199261337266066</v>
      </c>
      <c r="E28" s="11"/>
      <c r="F28" s="4">
        <f>Ene!F28+Feb!F28+Mar!F28+Abr!F28</f>
        <v>1055519</v>
      </c>
      <c r="G28" s="11">
        <f>F28/F10</f>
        <v>0.79666020091627487</v>
      </c>
      <c r="H28" s="11"/>
      <c r="I28" s="4">
        <f>Ene!I28+Feb!I28+Mar!I28+Abr!I28</f>
        <v>1265674</v>
      </c>
      <c r="J28" s="11">
        <f>I28/I10</f>
        <v>0.73870485575494826</v>
      </c>
      <c r="K28" s="2"/>
    </row>
    <row r="29" spans="2:15" x14ac:dyDescent="0.25">
      <c r="B29" s="28" t="s">
        <v>70</v>
      </c>
      <c r="C29" s="1">
        <f>Ene!C29+Feb!C29+Mar!C29+Abr!C29</f>
        <v>446518</v>
      </c>
      <c r="D29" s="11">
        <f>C29/C11</f>
        <v>0.89429516759597516</v>
      </c>
      <c r="E29" s="11"/>
      <c r="F29" s="4">
        <f>Ene!F29+Feb!F29+Mar!F29+Abr!F29</f>
        <v>238889</v>
      </c>
      <c r="G29" s="11">
        <f>F29/F11</f>
        <v>0.88254809166509651</v>
      </c>
      <c r="H29" s="11"/>
      <c r="I29" s="4">
        <f>Ene!I29+Feb!I29+Mar!I29+Abr!I29</f>
        <v>2046848</v>
      </c>
      <c r="J29" s="11">
        <f>I29/I11</f>
        <v>0.90919056930127939</v>
      </c>
      <c r="K29" s="2"/>
    </row>
    <row r="30" spans="2:15" x14ac:dyDescent="0.25">
      <c r="B30" s="28" t="s">
        <v>71</v>
      </c>
      <c r="C30" s="1">
        <f>Ene!C30+Feb!C30+Mar!C30+Abr!C30</f>
        <v>0</v>
      </c>
      <c r="D30" s="11">
        <v>0</v>
      </c>
      <c r="E30" s="11"/>
      <c r="F30" s="4">
        <f>Ene!F30+Feb!F30+Mar!F30+Abr!F30</f>
        <v>134275</v>
      </c>
      <c r="G30" s="11">
        <f>F30/F12</f>
        <v>0.78194153272769629</v>
      </c>
      <c r="H30" s="11"/>
      <c r="I30" s="4">
        <f>Ene!I30+Feb!I30+Mar!I30+Abr!I30</f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2"/>
    </row>
    <row r="32" spans="2:15" x14ac:dyDescent="0.25">
      <c r="B32" s="56" t="s">
        <v>15</v>
      </c>
      <c r="C32" s="40">
        <f>C5-C15</f>
        <v>5426509</v>
      </c>
      <c r="D32" s="41">
        <f>C32/$C$5</f>
        <v>0.3500771407070366</v>
      </c>
      <c r="E32" s="41">
        <f>F32/C32-1</f>
        <v>0.10494647663903267</v>
      </c>
      <c r="F32" s="40">
        <f>F5-F15</f>
        <v>5996002</v>
      </c>
      <c r="G32" s="41">
        <f>F32/$F$5</f>
        <v>0.350550895576559</v>
      </c>
      <c r="H32" s="41">
        <f>I32/F32-1</f>
        <v>-9.6854037073369925E-2</v>
      </c>
      <c r="I32" s="40">
        <f>I5-I15</f>
        <v>5415265</v>
      </c>
      <c r="J32" s="41">
        <f>I32/$I$5</f>
        <v>0.28440685847583136</v>
      </c>
      <c r="K32" s="2">
        <f>I32-F32</f>
        <v>-580737</v>
      </c>
      <c r="L32" s="8">
        <v>0.17150000000000001</v>
      </c>
      <c r="M32" s="57" t="s">
        <v>88</v>
      </c>
    </row>
    <row r="33" spans="2:14" x14ac:dyDescent="0.25">
      <c r="B33" s="24" t="s">
        <v>16</v>
      </c>
      <c r="C33" s="25">
        <f>SUM(C36:C43)</f>
        <v>457932</v>
      </c>
      <c r="D33" s="26">
        <f>C33/$C$5</f>
        <v>2.9542294170755948E-2</v>
      </c>
      <c r="E33" s="26">
        <f>F33/C33-1</f>
        <v>0.27923578173178543</v>
      </c>
      <c r="F33" s="25">
        <f>SUM(F36:F43)</f>
        <v>585803</v>
      </c>
      <c r="G33" s="26">
        <f>F33/$F$5</f>
        <v>3.4248448596487291E-2</v>
      </c>
      <c r="H33" s="26">
        <f>I33/F33-1</f>
        <v>0.15184456207974351</v>
      </c>
      <c r="I33" s="25">
        <f>SUM(I36:I43)</f>
        <v>674754</v>
      </c>
      <c r="J33" s="26">
        <f>I33/$I$5</f>
        <v>3.5437723801882474E-2</v>
      </c>
      <c r="K33" s="12">
        <f>245000/F6</f>
        <v>1.5665752937648384E-2</v>
      </c>
      <c r="L33" s="2"/>
      <c r="N33" s="2"/>
    </row>
    <row r="34" spans="2:14" hidden="1" outlineLevel="1" x14ac:dyDescent="0.25">
      <c r="B34" s="28" t="s">
        <v>17</v>
      </c>
      <c r="C34" s="1">
        <f>Ene!C34+Feb!C34+Mar!C34+Abr!C34</f>
        <v>372796</v>
      </c>
      <c r="D34" s="10"/>
      <c r="E34" s="10"/>
      <c r="F34" s="4">
        <f>Ene!F34+Feb!F34+Mar!F34+Abr!F34</f>
        <v>492718</v>
      </c>
      <c r="G34" s="10"/>
      <c r="H34" s="10"/>
      <c r="I34" s="4">
        <f>Ene!I34+Feb!I34+Mar!I34+Abr!I34</f>
        <v>557773</v>
      </c>
      <c r="J34" s="10"/>
      <c r="K34" s="12"/>
    </row>
    <row r="35" spans="2:14" hidden="1" outlineLevel="1" x14ac:dyDescent="0.25">
      <c r="B35" s="28" t="s">
        <v>18</v>
      </c>
      <c r="C35" s="1">
        <f>Ene!C35+Feb!C35+Mar!C35+Abr!C35</f>
        <v>25782</v>
      </c>
      <c r="D35" s="10"/>
      <c r="E35" s="10"/>
      <c r="F35" s="4">
        <f>Ene!F35+Feb!F35+Mar!F35+Abr!F35</f>
        <v>27409</v>
      </c>
      <c r="G35" s="10"/>
      <c r="H35" s="10"/>
      <c r="I35" s="4">
        <f>Ene!I35+Feb!I35+Mar!I35+Abr!I35</f>
        <v>41267</v>
      </c>
      <c r="J35" s="10"/>
      <c r="K35" s="2"/>
    </row>
    <row r="36" spans="2:14" collapsed="1" x14ac:dyDescent="0.25">
      <c r="B36" s="48" t="s">
        <v>19</v>
      </c>
      <c r="C36" s="31">
        <f>C34+C35</f>
        <v>398578</v>
      </c>
      <c r="D36" s="32">
        <f t="shared" ref="D36:D44" si="15">C36/$C$33</f>
        <v>0.87038686966623868</v>
      </c>
      <c r="E36" s="32">
        <f>F36/C36-1</f>
        <v>0.30495662078689745</v>
      </c>
      <c r="F36" s="31">
        <f>F34+F35</f>
        <v>520127</v>
      </c>
      <c r="G36" s="32">
        <f>F36/$F$33</f>
        <v>0.88788722488618188</v>
      </c>
      <c r="H36" s="32">
        <f>I36/F36-1</f>
        <v>0.15171871485233424</v>
      </c>
      <c r="I36" s="31">
        <f>I34+I35</f>
        <v>599040</v>
      </c>
      <c r="J36" s="32">
        <f>I36/$I$33</f>
        <v>0.88779021687904036</v>
      </c>
      <c r="K36" s="2"/>
    </row>
    <row r="37" spans="2:14" x14ac:dyDescent="0.25">
      <c r="B37" s="28" t="s">
        <v>20</v>
      </c>
      <c r="C37" s="1">
        <f>Ene!C37+Feb!C37+Mar!C37+Abr!C37</f>
        <v>25321</v>
      </c>
      <c r="D37" s="11">
        <f t="shared" si="15"/>
        <v>5.5294235825406393E-2</v>
      </c>
      <c r="E37" s="11">
        <f>F37/C37-1</f>
        <v>8.3014098969234951E-2</v>
      </c>
      <c r="F37" s="4">
        <f>Ene!F37+Feb!F37+Mar!F37+Abr!F37</f>
        <v>27423</v>
      </c>
      <c r="G37" s="11">
        <f>F37/$F$33</f>
        <v>4.6812665691367238E-2</v>
      </c>
      <c r="H37" s="11">
        <f>I37/F37-1</f>
        <v>-0.18247456514604532</v>
      </c>
      <c r="I37" s="4">
        <f>Ene!I37+Feb!I37+Mar!I37+Abr!I37</f>
        <v>22419</v>
      </c>
      <c r="J37" s="11">
        <f>I37/$I$33</f>
        <v>3.3225442161143169E-2</v>
      </c>
    </row>
    <row r="38" spans="2:14" hidden="1" outlineLevel="1" x14ac:dyDescent="0.25">
      <c r="B38" s="28" t="s">
        <v>21</v>
      </c>
      <c r="C38" s="1">
        <f>Ene!C38+Feb!C38+Mar!C38+Abr!C38</f>
        <v>4415</v>
      </c>
      <c r="D38" s="11">
        <f t="shared" si="15"/>
        <v>9.6411694312692718E-3</v>
      </c>
      <c r="E38" s="11"/>
      <c r="F38" s="4">
        <f>Ene!F38+Feb!F38+Mar!F38+Abr!F38</f>
        <v>1224</v>
      </c>
      <c r="G38" s="11">
        <f t="shared" ref="G38:G43" si="16">F38/$C$33</f>
        <v>2.6728859306621943E-3</v>
      </c>
      <c r="H38" s="11"/>
      <c r="I38" s="4">
        <f>Ene!I38+Feb!I38+Mar!I38+Abr!I38</f>
        <v>0</v>
      </c>
      <c r="J38" s="11">
        <f t="shared" ref="J38:J43" si="17">I38/$C$33</f>
        <v>0</v>
      </c>
    </row>
    <row r="39" spans="2:14" hidden="1" outlineLevel="1" x14ac:dyDescent="0.25">
      <c r="B39" s="28" t="s">
        <v>22</v>
      </c>
      <c r="C39" s="1">
        <f>Ene!C39+Feb!C39+Mar!C39+Abr!C39</f>
        <v>998</v>
      </c>
      <c r="D39" s="11">
        <f t="shared" si="15"/>
        <v>2.1793628748373122E-3</v>
      </c>
      <c r="E39" s="11"/>
      <c r="F39" s="4">
        <f>Ene!F39+Feb!F39+Mar!F39+Abr!F39</f>
        <v>0</v>
      </c>
      <c r="G39" s="11">
        <f t="shared" si="16"/>
        <v>0</v>
      </c>
      <c r="H39" s="11"/>
      <c r="I39" s="4">
        <f>Ene!I39+Feb!I39+Mar!I39+Abr!I39</f>
        <v>0</v>
      </c>
      <c r="J39" s="11">
        <f t="shared" si="17"/>
        <v>0</v>
      </c>
    </row>
    <row r="40" spans="2:14" hidden="1" outlineLevel="1" x14ac:dyDescent="0.25">
      <c r="B40" s="28" t="s">
        <v>23</v>
      </c>
      <c r="C40" s="1">
        <f>Ene!C40+Feb!C40+Mar!C40+Abr!C40</f>
        <v>4390</v>
      </c>
      <c r="D40" s="11">
        <f t="shared" si="15"/>
        <v>9.5865761728815627E-3</v>
      </c>
      <c r="E40" s="11"/>
      <c r="F40" s="4">
        <f>Ene!F40+Feb!F40+Mar!F40+Abr!F40</f>
        <v>3346</v>
      </c>
      <c r="G40" s="11">
        <f t="shared" si="16"/>
        <v>7.3067617026108681E-3</v>
      </c>
      <c r="H40" s="11"/>
      <c r="I40" s="4">
        <f>Ene!I40+Feb!I40+Mar!I40+Abr!I40</f>
        <v>15286</v>
      </c>
      <c r="J40" s="11">
        <f t="shared" si="17"/>
        <v>3.3380501908580315E-2</v>
      </c>
    </row>
    <row r="41" spans="2:14" hidden="1" outlineLevel="1" x14ac:dyDescent="0.25">
      <c r="B41" s="28" t="s">
        <v>24</v>
      </c>
      <c r="C41" s="1">
        <f>Ene!C41+Feb!C41+Mar!C41+Abr!C41</f>
        <v>13185</v>
      </c>
      <c r="D41" s="11">
        <f t="shared" si="15"/>
        <v>2.8792484473677316E-2</v>
      </c>
      <c r="E41" s="11"/>
      <c r="F41" s="4">
        <f>Ene!F41+Feb!F41+Mar!F41+Abr!F41</f>
        <v>17043</v>
      </c>
      <c r="G41" s="11">
        <f t="shared" si="16"/>
        <v>3.721731610806845E-2</v>
      </c>
      <c r="H41" s="11"/>
      <c r="I41" s="4">
        <f>Ene!I41+Feb!I41+Mar!I41+Abr!I41</f>
        <v>14338</v>
      </c>
      <c r="J41" s="11">
        <f t="shared" si="17"/>
        <v>3.1310325550518416E-2</v>
      </c>
    </row>
    <row r="42" spans="2:14" hidden="1" outlineLevel="1" x14ac:dyDescent="0.25">
      <c r="B42" s="28" t="s">
        <v>25</v>
      </c>
      <c r="C42" s="1">
        <f>Ene!C42+Feb!C42+Mar!C42+Abr!C42</f>
        <v>6468</v>
      </c>
      <c r="D42" s="11">
        <f t="shared" si="15"/>
        <v>1.4124367810067871E-2</v>
      </c>
      <c r="E42" s="11"/>
      <c r="F42" s="4">
        <f>Ene!F42+Feb!F42+Mar!F42+Abr!F42</f>
        <v>8359</v>
      </c>
      <c r="G42" s="11">
        <f t="shared" si="16"/>
        <v>1.8253801874514121E-2</v>
      </c>
      <c r="H42" s="11"/>
      <c r="I42" s="4">
        <f>Ene!I42+Feb!I42+Mar!I42+Abr!I42</f>
        <v>12712</v>
      </c>
      <c r="J42" s="11">
        <f t="shared" si="17"/>
        <v>2.7759580024981877E-2</v>
      </c>
    </row>
    <row r="43" spans="2:14" hidden="1" outlineLevel="1" x14ac:dyDescent="0.25">
      <c r="B43" s="28" t="s">
        <v>26</v>
      </c>
      <c r="C43" s="1">
        <f>Ene!C43+Feb!C43+Mar!C43+Abr!C43</f>
        <v>4577</v>
      </c>
      <c r="D43" s="11">
        <f t="shared" si="15"/>
        <v>9.994933745621621E-3</v>
      </c>
      <c r="E43" s="11"/>
      <c r="F43" s="4">
        <f>Ene!F43+Feb!F43+Mar!F43+Abr!F43</f>
        <v>8281</v>
      </c>
      <c r="G43" s="11">
        <f t="shared" si="16"/>
        <v>1.808347090834447E-2</v>
      </c>
      <c r="H43" s="11"/>
      <c r="I43" s="4">
        <f>Ene!I43+Feb!I43+Mar!I43+Abr!I43</f>
        <v>10959</v>
      </c>
      <c r="J43" s="11">
        <f t="shared" si="17"/>
        <v>2.3931500746835775E-2</v>
      </c>
    </row>
    <row r="44" spans="2:14" collapsed="1" x14ac:dyDescent="0.25">
      <c r="B44" s="48" t="s">
        <v>27</v>
      </c>
      <c r="C44" s="5">
        <f>SUM(C38:C43)</f>
        <v>34033</v>
      </c>
      <c r="D44" s="32">
        <f t="shared" si="15"/>
        <v>7.4318894508354952E-2</v>
      </c>
      <c r="E44" s="32">
        <f>F44/C44-1</f>
        <v>0.12399729674139803</v>
      </c>
      <c r="F44" s="31">
        <f>SUM(F38:F43)</f>
        <v>38253</v>
      </c>
      <c r="G44" s="32">
        <f>F44/$F$33</f>
        <v>6.5300109422450889E-2</v>
      </c>
      <c r="H44" s="32">
        <f>I44/F44-1</f>
        <v>0.39322406085797201</v>
      </c>
      <c r="I44" s="31">
        <f>SUM(I38:I43)</f>
        <v>53295</v>
      </c>
      <c r="J44" s="32">
        <f>I44/$I$33</f>
        <v>7.8984340959816463E-2</v>
      </c>
      <c r="K44" s="2"/>
    </row>
    <row r="45" spans="2:14" x14ac:dyDescent="0.25">
      <c r="B45" s="24" t="s">
        <v>28</v>
      </c>
      <c r="C45" s="25">
        <f>SUM(C46:C55)</f>
        <v>650104</v>
      </c>
      <c r="D45" s="26">
        <f>C45/$C$5</f>
        <v>4.1939771864785869E-2</v>
      </c>
      <c r="E45" s="26">
        <f>F45/C45-1</f>
        <v>0.20827744483959498</v>
      </c>
      <c r="F45" s="25">
        <f>SUM(F46:F55)</f>
        <v>785506</v>
      </c>
      <c r="G45" s="26">
        <f>F45/$F$5</f>
        <v>4.592390592610885E-2</v>
      </c>
      <c r="H45" s="26">
        <f>I45/F45-1</f>
        <v>0.20834468482735979</v>
      </c>
      <c r="I45" s="25">
        <f>SUM(I46:I55)</f>
        <v>949162</v>
      </c>
      <c r="J45" s="26">
        <f>I45/$I$5</f>
        <v>4.9849487071202798E-2</v>
      </c>
      <c r="K45" s="12"/>
    </row>
    <row r="46" spans="2:14" x14ac:dyDescent="0.25">
      <c r="B46" s="28" t="s">
        <v>17</v>
      </c>
      <c r="C46" s="1">
        <f>Ene!C46+Feb!C46+Mar!C46+Abr!C46</f>
        <v>446983</v>
      </c>
      <c r="D46" s="11">
        <f t="shared" ref="D46:D56" si="18">C46/$C$45</f>
        <v>0.68755614486297578</v>
      </c>
      <c r="E46" s="11">
        <f>F46/C46-1</f>
        <v>0.20817346521008639</v>
      </c>
      <c r="F46" s="4">
        <f>Ene!F46+Feb!F46+Mar!F46+Abr!F46</f>
        <v>540033</v>
      </c>
      <c r="G46" s="11">
        <f>F46/$F$45</f>
        <v>0.68749697647121732</v>
      </c>
      <c r="H46" s="11">
        <f>I46/F46-1</f>
        <v>0.19541398396023957</v>
      </c>
      <c r="I46" s="4">
        <f>Ene!I46+Feb!I46+Mar!I46+Abr!I46</f>
        <v>645563</v>
      </c>
      <c r="J46" s="11">
        <f>I46/$I$45</f>
        <v>0.68013995503401947</v>
      </c>
      <c r="K46" s="12"/>
    </row>
    <row r="47" spans="2:14" x14ac:dyDescent="0.25">
      <c r="B47" s="28" t="s">
        <v>29</v>
      </c>
      <c r="C47" s="1">
        <f>Ene!C47+Feb!C47+Mar!C47+Abr!C47</f>
        <v>114227</v>
      </c>
      <c r="D47" s="11">
        <f t="shared" si="18"/>
        <v>0.1757057332365283</v>
      </c>
      <c r="E47" s="11">
        <f>F47/C47-1</f>
        <v>9.958241046337557E-2</v>
      </c>
      <c r="F47" s="4">
        <f>Ene!F47+Feb!F47+Mar!F47+Abr!F47</f>
        <v>125602</v>
      </c>
      <c r="G47" s="11">
        <f t="shared" ref="G47:G56" si="19">F47/$F$45</f>
        <v>0.15989947880729111</v>
      </c>
      <c r="H47" s="11">
        <f>I47/F47-1</f>
        <v>0.11967166127927897</v>
      </c>
      <c r="I47" s="4">
        <f>Ene!I47+Feb!I47+Mar!I47+Abr!I47</f>
        <v>140633</v>
      </c>
      <c r="J47" s="11">
        <f t="shared" ref="J47:J56" si="20">I47/$I$45</f>
        <v>0.14816543435156485</v>
      </c>
      <c r="K47" s="2"/>
    </row>
    <row r="48" spans="2:14" hidden="1" outlineLevel="1" x14ac:dyDescent="0.25">
      <c r="B48" s="28" t="s">
        <v>30</v>
      </c>
      <c r="C48" s="1">
        <f>Ene!C48+Feb!C48+Mar!C48+Abr!C48</f>
        <v>0</v>
      </c>
      <c r="D48" s="11">
        <f t="shared" si="18"/>
        <v>0</v>
      </c>
      <c r="E48" s="11"/>
      <c r="F48" s="4">
        <f>Ene!F48+Feb!F48+Mar!F48+Abr!F48</f>
        <v>1935</v>
      </c>
      <c r="G48" s="11">
        <f t="shared" si="19"/>
        <v>2.4633802924484346E-3</v>
      </c>
      <c r="H48" s="11"/>
      <c r="I48" s="4">
        <f>Ene!I48+Feb!I48+Mar!I48+Abr!I48</f>
        <v>0</v>
      </c>
      <c r="J48" s="11">
        <f t="shared" si="20"/>
        <v>0</v>
      </c>
    </row>
    <row r="49" spans="2:11" hidden="1" outlineLevel="1" x14ac:dyDescent="0.25">
      <c r="B49" s="28" t="s">
        <v>57</v>
      </c>
      <c r="C49" s="1">
        <f>Ene!C49+Feb!C49+Mar!C49+Abr!C49</f>
        <v>198</v>
      </c>
      <c r="D49" s="11">
        <f t="shared" si="18"/>
        <v>3.0456665395075247E-4</v>
      </c>
      <c r="E49" s="11"/>
      <c r="F49" s="4">
        <f>Ene!F49+Feb!F49+Mar!F49+Abr!F49</f>
        <v>2120</v>
      </c>
      <c r="G49" s="11">
        <f t="shared" si="19"/>
        <v>2.6988972713130137E-3</v>
      </c>
      <c r="H49" s="11"/>
      <c r="I49" s="4">
        <f>Ene!I49+Feb!I49+Mar!I49+Abr!I49</f>
        <v>1467</v>
      </c>
      <c r="J49" s="11">
        <f t="shared" si="20"/>
        <v>1.5455738851745014E-3</v>
      </c>
    </row>
    <row r="50" spans="2:11" hidden="1" outlineLevel="1" x14ac:dyDescent="0.25">
      <c r="B50" s="28" t="s">
        <v>79</v>
      </c>
      <c r="C50" s="1">
        <f>Ene!C50+Feb!C50+Mar!C50+Abr!C50</f>
        <v>0</v>
      </c>
      <c r="D50" s="11">
        <f t="shared" si="18"/>
        <v>0</v>
      </c>
      <c r="E50" s="11"/>
      <c r="F50" s="4">
        <f>Ene!F50+Feb!F50+Mar!F50+Abr!F50</f>
        <v>20776</v>
      </c>
      <c r="G50" s="11">
        <f t="shared" si="19"/>
        <v>2.6449193258867531E-2</v>
      </c>
      <c r="H50" s="11"/>
      <c r="I50" s="4">
        <f>Ene!I50+Feb!I50+Mar!I50+Abr!I50</f>
        <v>26652</v>
      </c>
      <c r="J50" s="11">
        <f t="shared" si="20"/>
        <v>2.8079505922065991E-2</v>
      </c>
    </row>
    <row r="51" spans="2:11" hidden="1" outlineLevel="1" x14ac:dyDescent="0.25">
      <c r="B51" s="28" t="s">
        <v>31</v>
      </c>
      <c r="C51" s="1">
        <f>Ene!C51+Feb!C51+Mar!C51+Abr!C51</f>
        <v>0</v>
      </c>
      <c r="D51" s="11">
        <f t="shared" si="18"/>
        <v>0</v>
      </c>
      <c r="E51" s="11"/>
      <c r="F51" s="4">
        <f>Ene!F51+Feb!F51+Mar!F51+Abr!F51</f>
        <v>1172</v>
      </c>
      <c r="G51" s="11">
        <f t="shared" si="19"/>
        <v>1.4920318877258735E-3</v>
      </c>
      <c r="H51" s="11"/>
      <c r="I51" s="4">
        <f>Ene!I51+Feb!I51+Mar!I51+Abr!I51</f>
        <v>0</v>
      </c>
      <c r="J51" s="11">
        <f t="shared" si="20"/>
        <v>0</v>
      </c>
    </row>
    <row r="52" spans="2:11" hidden="1" outlineLevel="1" x14ac:dyDescent="0.25">
      <c r="B52" s="28" t="s">
        <v>32</v>
      </c>
      <c r="C52" s="1">
        <f>Ene!C52+Feb!C52+Mar!C52+Abr!C52</f>
        <v>2917</v>
      </c>
      <c r="D52" s="11">
        <f t="shared" si="18"/>
        <v>4.4869743917896211E-3</v>
      </c>
      <c r="E52" s="11"/>
      <c r="F52" s="4">
        <f>Ene!F52+Feb!F52+Mar!F52+Abr!F52</f>
        <v>2094</v>
      </c>
      <c r="G52" s="11">
        <f t="shared" si="19"/>
        <v>2.6657975877969107E-3</v>
      </c>
      <c r="H52" s="11"/>
      <c r="I52" s="4">
        <f>Ene!I52+Feb!I52+Mar!I52+Abr!I52</f>
        <v>2563</v>
      </c>
      <c r="J52" s="11">
        <f t="shared" si="20"/>
        <v>2.7002766651003729E-3</v>
      </c>
    </row>
    <row r="53" spans="2:11" hidden="1" outlineLevel="1" x14ac:dyDescent="0.25">
      <c r="B53" s="28" t="s">
        <v>33</v>
      </c>
      <c r="C53" s="1">
        <f>Ene!C53+Feb!C53+Mar!C53+Abr!C53</f>
        <v>24376</v>
      </c>
      <c r="D53" s="11">
        <f t="shared" si="18"/>
        <v>3.7495539175270418E-2</v>
      </c>
      <c r="E53" s="11"/>
      <c r="F53" s="4">
        <f>Ene!F53+Feb!F53+Mar!F53+Abr!F53</f>
        <v>28443</v>
      </c>
      <c r="G53" s="11">
        <f t="shared" si="19"/>
        <v>3.6209780701866055E-2</v>
      </c>
      <c r="H53" s="11"/>
      <c r="I53" s="4">
        <f>Ene!I53+Feb!I53+Mar!I53+Abr!I53</f>
        <v>37475</v>
      </c>
      <c r="J53" s="11">
        <f t="shared" si="20"/>
        <v>3.9482195873833968E-2</v>
      </c>
    </row>
    <row r="54" spans="2:11" hidden="1" outlineLevel="1" x14ac:dyDescent="0.25">
      <c r="B54" s="28" t="s">
        <v>20</v>
      </c>
      <c r="C54" s="1">
        <f>Ene!C54+Feb!C54+Mar!C54+Abr!C54</f>
        <v>5729</v>
      </c>
      <c r="D54" s="11">
        <f t="shared" si="18"/>
        <v>8.8124361640599044E-3</v>
      </c>
      <c r="E54" s="11"/>
      <c r="F54" s="4">
        <f>Ene!F54+Feb!F54+Mar!F54+Abr!F54</f>
        <v>5668</v>
      </c>
      <c r="G54" s="11">
        <f t="shared" si="19"/>
        <v>7.2157310065104532E-3</v>
      </c>
      <c r="H54" s="11"/>
      <c r="I54" s="4">
        <f>Ene!I54+Feb!I54+Mar!I54+Abr!I54</f>
        <v>5668</v>
      </c>
      <c r="J54" s="11">
        <f t="shared" si="20"/>
        <v>5.9715833545801456E-3</v>
      </c>
    </row>
    <row r="55" spans="2:11" hidden="1" outlineLevel="1" x14ac:dyDescent="0.25">
      <c r="B55" s="28" t="s">
        <v>26</v>
      </c>
      <c r="C55" s="1">
        <f>Ene!C55+Feb!C55+Mar!C55+Abr!C55</f>
        <v>55674</v>
      </c>
      <c r="D55" s="11">
        <f t="shared" si="18"/>
        <v>8.5638605515425223E-2</v>
      </c>
      <c r="E55" s="11"/>
      <c r="F55" s="4">
        <f>Ene!F55+Feb!F55+Mar!F55+Abr!F55</f>
        <v>57663</v>
      </c>
      <c r="G55" s="11">
        <f t="shared" si="19"/>
        <v>7.3408732714963343E-2</v>
      </c>
      <c r="H55" s="11"/>
      <c r="I55" s="4">
        <f>Ene!I55+Feb!I55+Mar!I55+Abr!I55</f>
        <v>89141</v>
      </c>
      <c r="J55" s="11">
        <f t="shared" si="20"/>
        <v>9.3915474913660688E-2</v>
      </c>
      <c r="K55" s="2"/>
    </row>
    <row r="56" spans="2:11" collapsed="1" x14ac:dyDescent="0.25">
      <c r="B56" s="48" t="s">
        <v>34</v>
      </c>
      <c r="C56" s="31">
        <f>SUM(C48:C55)</f>
        <v>88894</v>
      </c>
      <c r="D56" s="32">
        <f t="shared" si="18"/>
        <v>0.13673812190049592</v>
      </c>
      <c r="E56" s="32">
        <f>F56/C56-1</f>
        <v>0.34847121290525784</v>
      </c>
      <c r="F56" s="31">
        <f>SUM(F48:F55)</f>
        <v>119871</v>
      </c>
      <c r="G56" s="32">
        <f t="shared" si="19"/>
        <v>0.15260354472149162</v>
      </c>
      <c r="H56" s="32">
        <f>I56/F56-1</f>
        <v>0.35951147483544821</v>
      </c>
      <c r="I56" s="31">
        <f>SUM(I48:I55)</f>
        <v>162966</v>
      </c>
      <c r="J56" s="32">
        <f t="shared" si="20"/>
        <v>0.17169461061441565</v>
      </c>
    </row>
    <row r="57" spans="2:11" x14ac:dyDescent="0.25">
      <c r="B57" s="24" t="s">
        <v>59</v>
      </c>
      <c r="C57" s="25">
        <f>SUM(C58:C62)</f>
        <v>683297</v>
      </c>
      <c r="D57" s="26">
        <f>C57/$C$5</f>
        <v>4.408113208946967E-2</v>
      </c>
      <c r="E57" s="26">
        <f>F57/C57-1</f>
        <v>8.2145831168584094E-2</v>
      </c>
      <c r="F57" s="25">
        <f>SUM(F58:F62)</f>
        <v>739427</v>
      </c>
      <c r="G57" s="26">
        <f>F57/$F$5</f>
        <v>4.3229938392863827E-2</v>
      </c>
      <c r="H57" s="26">
        <f t="shared" ref="H57:H64" si="21">I57/F57-1</f>
        <v>0.1792171505774065</v>
      </c>
      <c r="I57" s="25">
        <f>SUM(I58:I62)</f>
        <v>871945</v>
      </c>
      <c r="J57" s="26">
        <f>I57/$I$5</f>
        <v>4.579409100269493E-2</v>
      </c>
      <c r="K57" s="12"/>
    </row>
    <row r="58" spans="2:11" x14ac:dyDescent="0.25">
      <c r="B58" s="28" t="s">
        <v>17</v>
      </c>
      <c r="C58" s="1">
        <f>Ene!C58+Feb!C58+Mar!C58+Abr!C58</f>
        <v>154482</v>
      </c>
      <c r="D58" s="11">
        <f>C58/$C$57</f>
        <v>0.22608324052352052</v>
      </c>
      <c r="E58" s="11">
        <f>F58/C58-1</f>
        <v>4.129930995196851E-2</v>
      </c>
      <c r="F58" s="4">
        <f>Ene!F58+Feb!F58+Mar!F58+Abr!F58</f>
        <v>160862</v>
      </c>
      <c r="G58" s="11">
        <f>F58/$F$57</f>
        <v>0.21754953497775981</v>
      </c>
      <c r="H58" s="11">
        <f>I58/F58-1</f>
        <v>0.30109659211000728</v>
      </c>
      <c r="I58" s="4">
        <f>Ene!I58+Feb!I58+Mar!I58+Abr!I58</f>
        <v>209297</v>
      </c>
      <c r="J58" s="11">
        <f>I58/$I$57</f>
        <v>0.24003463521208332</v>
      </c>
      <c r="K58" s="2"/>
    </row>
    <row r="59" spans="2:11" x14ac:dyDescent="0.25">
      <c r="B59" s="28" t="s">
        <v>35</v>
      </c>
      <c r="C59" s="1">
        <f>Ene!C59+Feb!C59+Mar!C59+Abr!C59</f>
        <v>9370</v>
      </c>
      <c r="D59" s="11">
        <f>C59/$C$57</f>
        <v>1.3712924248167342E-2</v>
      </c>
      <c r="E59" s="11">
        <f t="shared" ref="E59:E62" si="22">F59/C59-1</f>
        <v>-0.14866595517609393</v>
      </c>
      <c r="F59" s="4">
        <f>Ene!F59+Feb!F59+Mar!F59+Abr!F59</f>
        <v>7977</v>
      </c>
      <c r="G59" s="11">
        <f>F59/$F$57</f>
        <v>1.0788083204968171E-2</v>
      </c>
      <c r="H59" s="11">
        <f t="shared" ref="H59:H62" si="23">I59/F59-1</f>
        <v>0.1493042497179391</v>
      </c>
      <c r="I59" s="4">
        <f>Ene!I59+Feb!I59+Mar!I59+Abr!I59</f>
        <v>9168</v>
      </c>
      <c r="J59" s="11">
        <f>I59/$I$57</f>
        <v>1.0514424648343646E-2</v>
      </c>
      <c r="K59" s="2"/>
    </row>
    <row r="60" spans="2:11" x14ac:dyDescent="0.25">
      <c r="B60" s="28" t="s">
        <v>36</v>
      </c>
      <c r="C60" s="1">
        <f>Ene!C60+Feb!C60+Mar!C60+Abr!C60</f>
        <v>500176</v>
      </c>
      <c r="D60" s="11">
        <f>C60/$C$57</f>
        <v>0.73200379922639791</v>
      </c>
      <c r="E60" s="11">
        <f t="shared" si="22"/>
        <v>0.13151370717507427</v>
      </c>
      <c r="F60" s="4">
        <f>Ene!F60+Feb!F60+Mar!F60+Abr!F60</f>
        <v>565956</v>
      </c>
      <c r="G60" s="11">
        <f>F60/$F$57</f>
        <v>0.76539807175015251</v>
      </c>
      <c r="H60" s="11">
        <f t="shared" si="23"/>
        <v>0.14945154747012146</v>
      </c>
      <c r="I60" s="4">
        <f>Ene!I60+Feb!I60+Mar!I60+Abr!I60</f>
        <v>650539</v>
      </c>
      <c r="J60" s="11">
        <f>I60/$I$57</f>
        <v>0.74607802097609366</v>
      </c>
      <c r="K60" s="12"/>
    </row>
    <row r="61" spans="2:11" x14ac:dyDescent="0.25">
      <c r="B61" s="28" t="s">
        <v>37</v>
      </c>
      <c r="C61" s="1">
        <f>Ene!C61+Feb!C61+Mar!C61+Abr!C61</f>
        <v>14798</v>
      </c>
      <c r="D61" s="11">
        <f t="shared" ref="D61:D62" si="24">C61/$C$57</f>
        <v>2.1656761261940268E-2</v>
      </c>
      <c r="E61" s="11">
        <f t="shared" si="22"/>
        <v>-1</v>
      </c>
      <c r="F61" s="4">
        <f>Ene!F61+Feb!F61+Mar!F61+Abr!F61</f>
        <v>0</v>
      </c>
      <c r="G61" s="11">
        <f t="shared" ref="G61:G62" si="25">F61/$F$57</f>
        <v>0</v>
      </c>
      <c r="H61" s="11">
        <v>0</v>
      </c>
      <c r="I61" s="4">
        <f>Ene!I61+Feb!I61+Mar!I61+Abr!I61</f>
        <v>0</v>
      </c>
      <c r="J61" s="11">
        <f>I61/$I$57</f>
        <v>0</v>
      </c>
      <c r="K61" s="2"/>
    </row>
    <row r="62" spans="2:11" x14ac:dyDescent="0.25">
      <c r="B62" s="28" t="s">
        <v>26</v>
      </c>
      <c r="C62" s="1">
        <f>Ene!C62+Feb!C62+Mar!C62+Abr!C62</f>
        <v>4471</v>
      </c>
      <c r="D62" s="11">
        <f t="shared" si="24"/>
        <v>6.5432747399739788E-3</v>
      </c>
      <c r="E62" s="11">
        <f t="shared" si="22"/>
        <v>3.6009841198836989E-2</v>
      </c>
      <c r="F62" s="4">
        <f>Ene!F62+Feb!F62+Mar!F62+Abr!F62</f>
        <v>4632</v>
      </c>
      <c r="G62" s="11">
        <f t="shared" si="25"/>
        <v>6.2643100671195395E-3</v>
      </c>
      <c r="H62" s="11">
        <f t="shared" si="23"/>
        <v>-0.36506908462867016</v>
      </c>
      <c r="I62" s="4">
        <f>Ene!I62+Feb!I62+Mar!I62+Abr!I62</f>
        <v>2941</v>
      </c>
      <c r="J62" s="11">
        <f>I62/$I$57</f>
        <v>3.3729191634793479E-3</v>
      </c>
    </row>
    <row r="63" spans="2:11" x14ac:dyDescent="0.25">
      <c r="B63" s="56" t="s">
        <v>38</v>
      </c>
      <c r="C63" s="40">
        <f>C32-C33-C45-C57</f>
        <v>3635176</v>
      </c>
      <c r="D63" s="41">
        <f>C63/$C$5</f>
        <v>0.2345139425820251</v>
      </c>
      <c r="E63" s="41">
        <f>F63/C63-1</f>
        <v>6.879721917178161E-2</v>
      </c>
      <c r="F63" s="40">
        <f>F32-F33-F45-F57</f>
        <v>3885266</v>
      </c>
      <c r="G63" s="41">
        <f>F63/$F$5</f>
        <v>0.22714860266109901</v>
      </c>
      <c r="H63" s="41">
        <f t="shared" si="21"/>
        <v>-0.24859610641845376</v>
      </c>
      <c r="I63" s="40">
        <f>I32-I33-I45-I57</f>
        <v>2919404</v>
      </c>
      <c r="J63" s="41">
        <f>I63/$I$5</f>
        <v>0.15332555660005115</v>
      </c>
      <c r="K63" s="2"/>
    </row>
    <row r="64" spans="2:11" x14ac:dyDescent="0.25">
      <c r="B64" s="24" t="s">
        <v>39</v>
      </c>
      <c r="C64" s="25">
        <f>SUM(C65:C70)</f>
        <v>493511</v>
      </c>
      <c r="D64" s="26">
        <f>C64/$C$5</f>
        <v>3.1837580991291151E-2</v>
      </c>
      <c r="E64" s="26">
        <f>F64/C64-1</f>
        <v>-9.7999841948811728E-2</v>
      </c>
      <c r="F64" s="25">
        <f>SUM(F65:F70)</f>
        <v>445147</v>
      </c>
      <c r="G64" s="26">
        <f>F64/$F$5</f>
        <v>2.602512132471245E-2</v>
      </c>
      <c r="H64" s="26">
        <f t="shared" si="21"/>
        <v>-0.4151078183161967</v>
      </c>
      <c r="I64" s="25">
        <f>SUM(I65:I70)</f>
        <v>260363</v>
      </c>
      <c r="J64" s="26">
        <f>I64/$I$5</f>
        <v>1.3674127285246959E-2</v>
      </c>
    </row>
    <row r="65" spans="2:12" hidden="1" outlineLevel="1" x14ac:dyDescent="0.25">
      <c r="B65" s="28" t="s">
        <v>40</v>
      </c>
      <c r="C65" s="1">
        <f>Ene!C65+Feb!C65+Mar!C65+Abr!C65</f>
        <v>336927</v>
      </c>
      <c r="D65" s="21"/>
      <c r="E65" s="21"/>
      <c r="F65" s="4">
        <f>Ene!F65+Feb!F65+Mar!F65+Abr!F65</f>
        <v>172939</v>
      </c>
      <c r="G65" s="21"/>
      <c r="H65" s="21"/>
      <c r="I65" s="4">
        <f>Ene!I65+Feb!I65+Mar!I65+Abr!I65</f>
        <v>84705</v>
      </c>
      <c r="J65" s="21"/>
    </row>
    <row r="66" spans="2:12" hidden="1" outlineLevel="1" x14ac:dyDescent="0.25">
      <c r="B66" s="28" t="s">
        <v>41</v>
      </c>
      <c r="C66" s="1">
        <f>Ene!C66+Feb!C66+Mar!C66+Abr!C66</f>
        <v>9211</v>
      </c>
      <c r="D66" s="21"/>
      <c r="E66" s="21"/>
      <c r="F66" s="4">
        <f>Ene!F66+Feb!F66+Mar!F66+Abr!F66</f>
        <v>62714</v>
      </c>
      <c r="G66" s="21"/>
      <c r="H66" s="21"/>
      <c r="I66" s="4">
        <f>Ene!I66+Feb!I66+Mar!I66+Abr!I66</f>
        <v>19214</v>
      </c>
      <c r="J66" s="21"/>
    </row>
    <row r="67" spans="2:12" hidden="1" outlineLevel="1" x14ac:dyDescent="0.25">
      <c r="B67" s="28" t="s">
        <v>80</v>
      </c>
      <c r="C67" s="1">
        <f>Ene!C67+Feb!C67+Mar!C67+Abr!C67</f>
        <v>128810</v>
      </c>
      <c r="D67" s="21"/>
      <c r="E67" s="21"/>
      <c r="F67" s="4">
        <f>Ene!F67+Feb!F67+Mar!F67+Abr!F67</f>
        <v>116732</v>
      </c>
      <c r="G67" s="21"/>
      <c r="H67" s="21"/>
      <c r="I67" s="4">
        <f>Ene!I67+Feb!I67+Mar!I67+Abr!I67</f>
        <v>154667</v>
      </c>
      <c r="J67" s="21"/>
    </row>
    <row r="68" spans="2:12" hidden="1" outlineLevel="1" x14ac:dyDescent="0.25">
      <c r="B68" s="28" t="s">
        <v>42</v>
      </c>
      <c r="C68" s="1">
        <f>Ene!C68+Feb!C68+Mar!C68+Abr!C68</f>
        <v>12022</v>
      </c>
      <c r="D68" s="21"/>
      <c r="E68" s="21"/>
      <c r="F68" s="4">
        <f>Ene!F68+Feb!F68+Mar!F68+Abr!F68</f>
        <v>0</v>
      </c>
      <c r="G68" s="21"/>
      <c r="H68" s="21"/>
      <c r="I68" s="4">
        <f>Ene!I68+Feb!I68+Mar!I68+Abr!I68</f>
        <v>0</v>
      </c>
      <c r="J68" s="21"/>
    </row>
    <row r="69" spans="2:12" hidden="1" outlineLevel="1" x14ac:dyDescent="0.25">
      <c r="B69" s="28" t="s">
        <v>81</v>
      </c>
      <c r="C69" s="1">
        <f>Ene!C69+Feb!C69+Mar!C69+Abr!C69</f>
        <v>0</v>
      </c>
      <c r="D69" s="21"/>
      <c r="E69" s="21"/>
      <c r="F69" s="4">
        <f>Ene!F69+Feb!F69+Mar!F69+Abr!F69</f>
        <v>88135</v>
      </c>
      <c r="G69" s="21"/>
      <c r="H69" s="21"/>
      <c r="I69" s="4">
        <f>Ene!I69+Feb!I69+Mar!I69+Abr!I69</f>
        <v>300</v>
      </c>
      <c r="J69" s="21"/>
    </row>
    <row r="70" spans="2:12" hidden="1" outlineLevel="1" x14ac:dyDescent="0.25">
      <c r="B70" s="28" t="s">
        <v>26</v>
      </c>
      <c r="C70" s="1">
        <f>Ene!C70+Feb!C70+Mar!C70+Abr!C70</f>
        <v>6541</v>
      </c>
      <c r="D70" s="21"/>
      <c r="E70" s="21"/>
      <c r="F70" s="4">
        <f>Ene!F70+Feb!F70+Mar!F70+Abr!F70</f>
        <v>4627</v>
      </c>
      <c r="G70" s="21"/>
      <c r="H70" s="21"/>
      <c r="I70" s="4">
        <f>Ene!I70+Feb!I70+Mar!I70+Abr!I70</f>
        <v>1477</v>
      </c>
      <c r="J70" s="21"/>
    </row>
    <row r="71" spans="2:12" collapsed="1" x14ac:dyDescent="0.25">
      <c r="B71" s="24" t="s">
        <v>43</v>
      </c>
      <c r="C71" s="25">
        <f>SUM(C72:C78)</f>
        <v>160264</v>
      </c>
      <c r="D71" s="26">
        <f>C71/$C$5</f>
        <v>1.0339015908436255E-2</v>
      </c>
      <c r="E71" s="26">
        <f>F71/C71-1</f>
        <v>1.2961925323216694</v>
      </c>
      <c r="F71" s="25">
        <f>SUM(F72:F78)</f>
        <v>367997</v>
      </c>
      <c r="G71" s="26">
        <f>F71/$F$5</f>
        <v>2.1514615558748475E-2</v>
      </c>
      <c r="H71" s="26">
        <f>I71/F71-1</f>
        <v>0.41891374114462887</v>
      </c>
      <c r="I71" s="25">
        <f>SUM(I72:I78)</f>
        <v>522156</v>
      </c>
      <c r="J71" s="26">
        <f>I71/$I$5</f>
        <v>2.7423357415436955E-2</v>
      </c>
    </row>
    <row r="72" spans="2:12" hidden="1" outlineLevel="1" x14ac:dyDescent="0.25">
      <c r="B72" s="28" t="s">
        <v>44</v>
      </c>
      <c r="C72" s="1">
        <f>Ene!C72+Feb!C72+Mar!C72+Abr!C72</f>
        <v>3952</v>
      </c>
      <c r="D72" s="10"/>
      <c r="E72" s="10"/>
      <c r="F72" s="4">
        <f>Ene!F72+Feb!F72+Mar!F72+Abr!F72</f>
        <v>3880</v>
      </c>
      <c r="G72" s="10"/>
      <c r="H72" s="10"/>
      <c r="I72" s="4">
        <f>Ene!I72+Feb!I72+Mar!I72+Abr!I72</f>
        <v>5009</v>
      </c>
      <c r="J72" s="10"/>
    </row>
    <row r="73" spans="2:12" hidden="1" outlineLevel="1" x14ac:dyDescent="0.25">
      <c r="B73" s="28" t="s">
        <v>82</v>
      </c>
      <c r="C73" s="1">
        <f>Ene!C73+Feb!C73+Mar!C73+Abr!C73</f>
        <v>0</v>
      </c>
      <c r="D73" s="10"/>
      <c r="E73" s="10"/>
      <c r="F73" s="4">
        <f>Ene!F73+Feb!F73+Mar!F73+Abr!F73</f>
        <v>147280</v>
      </c>
      <c r="G73" s="10"/>
      <c r="H73" s="10"/>
      <c r="I73" s="4">
        <f>Ene!I73+Feb!I73+Mar!I73+Abr!I73</f>
        <v>69541</v>
      </c>
      <c r="J73" s="10"/>
      <c r="K73" s="2"/>
    </row>
    <row r="74" spans="2:12" hidden="1" outlineLevel="1" x14ac:dyDescent="0.25">
      <c r="B74" s="28" t="s">
        <v>41</v>
      </c>
      <c r="C74" s="1">
        <f>Ene!C74+Feb!C74+Mar!C74+Abr!C74</f>
        <v>16911</v>
      </c>
      <c r="D74" s="10"/>
      <c r="E74" s="10"/>
      <c r="F74" s="4">
        <f>Ene!F74+Feb!F74+Mar!F74+Abr!F74</f>
        <v>9075</v>
      </c>
      <c r="G74" s="10"/>
      <c r="H74" s="10"/>
      <c r="I74" s="4">
        <f>Ene!I74+Feb!I74+Mar!I74+Abr!I74</f>
        <v>34197</v>
      </c>
      <c r="J74" s="10"/>
      <c r="K74" s="2"/>
    </row>
    <row r="75" spans="2:12" hidden="1" outlineLevel="1" x14ac:dyDescent="0.25">
      <c r="B75" s="28" t="s">
        <v>45</v>
      </c>
      <c r="C75" s="1">
        <f>Ene!C75+Feb!C75+Mar!C75+Abr!C75</f>
        <v>0</v>
      </c>
      <c r="D75" s="10"/>
      <c r="E75" s="10"/>
      <c r="F75" s="4">
        <f>Ene!F75+Feb!F75+Mar!F75+Abr!F75</f>
        <v>0</v>
      </c>
      <c r="G75" s="10"/>
      <c r="H75" s="10"/>
      <c r="I75" s="4">
        <f>Ene!I75+Feb!I75+Mar!I75+Abr!I75</f>
        <v>0</v>
      </c>
      <c r="J75" s="10"/>
      <c r="K75" s="2"/>
    </row>
    <row r="76" spans="2:12" hidden="1" outlineLevel="1" x14ac:dyDescent="0.25">
      <c r="B76" s="28" t="s">
        <v>46</v>
      </c>
      <c r="C76" s="1">
        <f>Ene!C76+Feb!C76+Mar!C76+Abr!C76</f>
        <v>70083</v>
      </c>
      <c r="D76" s="10"/>
      <c r="E76" s="10"/>
      <c r="F76" s="4">
        <f>Ene!F76+Feb!F76+Mar!F76+Abr!F76</f>
        <v>63124</v>
      </c>
      <c r="G76" s="10"/>
      <c r="H76" s="10"/>
      <c r="I76" s="4">
        <f>Ene!I76+Feb!I76+Mar!I76+Abr!I76</f>
        <v>109690</v>
      </c>
      <c r="J76" s="10"/>
    </row>
    <row r="77" spans="2:12" hidden="1" outlineLevel="1" x14ac:dyDescent="0.25">
      <c r="B77" s="28" t="s">
        <v>63</v>
      </c>
      <c r="C77" s="1">
        <f>Ene!C77+Feb!C77+Mar!C77+Abr!C77</f>
        <v>65824</v>
      </c>
      <c r="D77" s="10"/>
      <c r="E77" s="10"/>
      <c r="F77" s="4">
        <f>Ene!F77+Feb!F77+Mar!F77+Abr!F77</f>
        <v>143781</v>
      </c>
      <c r="G77" s="10"/>
      <c r="H77" s="10"/>
      <c r="I77" s="4">
        <f>Ene!I77+Feb!I77+Mar!I77+Abr!I77</f>
        <v>118928</v>
      </c>
      <c r="J77" s="10"/>
    </row>
    <row r="78" spans="2:12" hidden="1" outlineLevel="1" x14ac:dyDescent="0.25">
      <c r="B78" s="28" t="s">
        <v>47</v>
      </c>
      <c r="C78" s="1">
        <f>Ene!C78+Feb!C78+Mar!C78+Abr!C78</f>
        <v>3494</v>
      </c>
      <c r="D78" s="10"/>
      <c r="E78" s="10"/>
      <c r="F78" s="4">
        <f>Ene!F78+Feb!F78+Mar!F78+Abr!F78</f>
        <v>857</v>
      </c>
      <c r="G78" s="10"/>
      <c r="H78" s="10"/>
      <c r="I78" s="4">
        <f>Ene!I78+Feb!I78+Mar!I78+Abr!I78</f>
        <v>184791</v>
      </c>
      <c r="J78" s="10"/>
    </row>
    <row r="79" spans="2:12" collapsed="1" x14ac:dyDescent="0.25">
      <c r="B79" s="56" t="s">
        <v>48</v>
      </c>
      <c r="C79" s="40">
        <f>C63-C71+C64</f>
        <v>3968423</v>
      </c>
      <c r="D79" s="41">
        <f>C79/C5</f>
        <v>0.25601250766487998</v>
      </c>
      <c r="E79" s="41">
        <f>F79/C79-1</f>
        <v>-1.5136995224551697E-3</v>
      </c>
      <c r="F79" s="40">
        <f>F63-F71+F64</f>
        <v>3962416</v>
      </c>
      <c r="G79" s="41">
        <f>F79/F5</f>
        <v>0.231659108427063</v>
      </c>
      <c r="H79" s="41">
        <f>I79/F79-1</f>
        <v>-0.32929530872074009</v>
      </c>
      <c r="I79" s="40">
        <f>I63-I71+I64</f>
        <v>2657611</v>
      </c>
      <c r="J79" s="41">
        <f>I79/$I$5</f>
        <v>0.13957632646986115</v>
      </c>
      <c r="K79" s="8"/>
      <c r="L79" s="15"/>
    </row>
    <row r="80" spans="2:12" x14ac:dyDescent="0.25">
      <c r="B80" s="24" t="s">
        <v>49</v>
      </c>
      <c r="C80" s="25">
        <f>SUM(C81:C90)</f>
        <v>215570</v>
      </c>
      <c r="D80" s="26">
        <f>C80/$C$5</f>
        <v>1.3906938921913864E-2</v>
      </c>
      <c r="E80" s="26">
        <f>F80/C80-1</f>
        <v>0.16338544324349402</v>
      </c>
      <c r="F80" s="25">
        <f>SUM(F81:F90)</f>
        <v>250791</v>
      </c>
      <c r="G80" s="26">
        <f>F80/$F$5</f>
        <v>1.4662271569045641E-2</v>
      </c>
      <c r="H80" s="26">
        <f>I80/F80-1</f>
        <v>3.1130463214389668</v>
      </c>
      <c r="I80" s="25">
        <f>SUM(I81:I90)</f>
        <v>1031515</v>
      </c>
      <c r="J80" s="26">
        <f>I80/$I$5</f>
        <v>5.4174623147841737E-2</v>
      </c>
      <c r="K80" s="19"/>
    </row>
    <row r="81" spans="2:12" hidden="1" outlineLevel="1" x14ac:dyDescent="0.25">
      <c r="B81" s="28" t="s">
        <v>17</v>
      </c>
      <c r="C81" s="1">
        <f>Ene!C81+Feb!C81+Mar!C81+Abr!C81</f>
        <v>137288</v>
      </c>
      <c r="D81" s="10"/>
      <c r="E81" s="10"/>
      <c r="F81" s="4">
        <f>Ene!F81+Feb!F81+Mar!F81+Abr!F81</f>
        <v>164052</v>
      </c>
      <c r="G81" s="10"/>
      <c r="H81" s="10"/>
      <c r="I81" s="4">
        <f>Ene!I81+Feb!I81+Mar!I81+Abr!I81</f>
        <v>968142</v>
      </c>
      <c r="J81" s="10"/>
    </row>
    <row r="82" spans="2:12" hidden="1" outlineLevel="1" x14ac:dyDescent="0.25">
      <c r="B82" s="28" t="s">
        <v>50</v>
      </c>
      <c r="C82" s="1">
        <f>Ene!C82+Feb!C82+Mar!C82+Abr!C82</f>
        <v>9457</v>
      </c>
      <c r="D82" s="10"/>
      <c r="E82" s="10"/>
      <c r="F82" s="4">
        <f>Ene!F82+Feb!F82+Mar!F82+Abr!F82</f>
        <v>9347</v>
      </c>
      <c r="G82" s="10"/>
      <c r="H82" s="10"/>
      <c r="I82" s="4">
        <f>Ene!I82+Feb!I82+Mar!I82+Abr!I82</f>
        <v>7705</v>
      </c>
      <c r="J82" s="10"/>
    </row>
    <row r="83" spans="2:12" hidden="1" outlineLevel="1" x14ac:dyDescent="0.25">
      <c r="B83" s="28" t="s">
        <v>51</v>
      </c>
      <c r="C83" s="1">
        <f>Ene!C83+Feb!C83+Mar!C83+Abr!C83</f>
        <v>7200</v>
      </c>
      <c r="D83" s="10"/>
      <c r="E83" s="10"/>
      <c r="F83" s="4">
        <f>Ene!F83+Feb!F83+Mar!F83+Abr!F83</f>
        <v>7888</v>
      </c>
      <c r="G83" s="10"/>
      <c r="H83" s="10"/>
      <c r="I83" s="4">
        <f>Ene!I83+Feb!I83+Mar!I83+Abr!I83</f>
        <v>0</v>
      </c>
      <c r="J83" s="10"/>
      <c r="K83" s="2"/>
    </row>
    <row r="84" spans="2:12" hidden="1" outlineLevel="1" x14ac:dyDescent="0.25">
      <c r="B84" s="28" t="s">
        <v>52</v>
      </c>
      <c r="C84" s="1">
        <f>Ene!C84+Feb!C84+Mar!C84+Abr!C84</f>
        <v>21728</v>
      </c>
      <c r="D84" s="10"/>
      <c r="E84" s="10"/>
      <c r="F84" s="4">
        <f>Ene!F84+Feb!F84+Mar!F84+Abr!F84</f>
        <v>22639</v>
      </c>
      <c r="G84" s="10"/>
      <c r="H84" s="10"/>
      <c r="I84" s="4">
        <f>Ene!I84+Feb!I84+Mar!I84+Abr!I84</f>
        <v>26463</v>
      </c>
      <c r="J84" s="10"/>
      <c r="K84" s="2"/>
    </row>
    <row r="85" spans="2:12" hidden="1" outlineLevel="1" x14ac:dyDescent="0.25">
      <c r="B85" s="28" t="s">
        <v>84</v>
      </c>
      <c r="C85" s="1">
        <f>Ene!C85+Feb!C85+Mar!C85+Abr!C85</f>
        <v>22005</v>
      </c>
      <c r="D85" s="10"/>
      <c r="E85" s="10"/>
      <c r="F85" s="4">
        <f>Ene!F85+Feb!F85+Mar!F85+Abr!F85</f>
        <v>16660</v>
      </c>
      <c r="G85" s="10"/>
      <c r="H85" s="10"/>
      <c r="I85" s="4">
        <f>Ene!I85+Feb!I85+Mar!I85+Abr!I85</f>
        <v>1907</v>
      </c>
      <c r="J85" s="10"/>
    </row>
    <row r="86" spans="2:12" hidden="1" outlineLevel="1" x14ac:dyDescent="0.25">
      <c r="B86" s="28" t="s">
        <v>54</v>
      </c>
      <c r="C86" s="1">
        <f>Ene!C86+Feb!C86+Mar!C86+Abr!C86</f>
        <v>1462</v>
      </c>
      <c r="D86" s="10"/>
      <c r="E86" s="10"/>
      <c r="F86" s="4">
        <f>Ene!F86+Feb!F86+Mar!F86+Abr!F86</f>
        <v>1400</v>
      </c>
      <c r="G86" s="10"/>
      <c r="H86" s="10"/>
      <c r="I86" s="4">
        <f>Ene!I86+Feb!I86+Mar!I86+Abr!I86</f>
        <v>1211</v>
      </c>
      <c r="J86" s="10"/>
    </row>
    <row r="87" spans="2:12" hidden="1" outlineLevel="1" x14ac:dyDescent="0.25">
      <c r="B87" s="28" t="s">
        <v>83</v>
      </c>
      <c r="C87" s="1">
        <f>Ene!C87+Feb!C87+Mar!C87+Abr!C87</f>
        <v>2066</v>
      </c>
      <c r="D87" s="10"/>
      <c r="E87" s="10"/>
      <c r="F87" s="4">
        <f>Ene!F87+Feb!F87+Mar!F87+Abr!F87</f>
        <v>5946</v>
      </c>
      <c r="G87" s="10"/>
      <c r="H87" s="10"/>
      <c r="I87" s="4">
        <f>Ene!I87+Feb!I87+Mar!I87+Abr!I87</f>
        <v>0</v>
      </c>
      <c r="J87" s="10"/>
    </row>
    <row r="88" spans="2:12" hidden="1" outlineLevel="1" x14ac:dyDescent="0.25">
      <c r="B88" s="28" t="s">
        <v>55</v>
      </c>
      <c r="C88" s="1">
        <f>Ene!C88+Feb!C88+Mar!C88+Abr!C88</f>
        <v>0</v>
      </c>
      <c r="D88" s="10"/>
      <c r="E88" s="10"/>
      <c r="F88" s="4">
        <f>Ene!F88+Feb!F88+Mar!F88+Abr!F88</f>
        <v>0</v>
      </c>
      <c r="G88" s="10"/>
      <c r="H88" s="10"/>
      <c r="I88" s="4">
        <f>Ene!I88+Feb!I88+Mar!I88+Abr!I88</f>
        <v>0</v>
      </c>
      <c r="J88" s="10"/>
    </row>
    <row r="89" spans="2:12" hidden="1" outlineLevel="1" x14ac:dyDescent="0.25">
      <c r="B89" s="28" t="s">
        <v>56</v>
      </c>
      <c r="C89" s="1">
        <f>Ene!C89+Feb!C89+Mar!C89+Abr!C89</f>
        <v>14220</v>
      </c>
      <c r="D89" s="10"/>
      <c r="E89" s="10"/>
      <c r="F89" s="4">
        <f>Ene!F89+Feb!F89+Mar!F89+Abr!F89</f>
        <v>14220</v>
      </c>
      <c r="G89" s="10"/>
      <c r="H89" s="10"/>
      <c r="I89" s="4">
        <f>Ene!I89+Feb!I89+Mar!I89+Abr!I89</f>
        <v>14220</v>
      </c>
      <c r="J89" s="10"/>
    </row>
    <row r="90" spans="2:12" hidden="1" outlineLevel="1" x14ac:dyDescent="0.25">
      <c r="B90" s="28" t="s">
        <v>26</v>
      </c>
      <c r="C90" s="1">
        <f>Ene!C90+Feb!C90+Mar!C90+Abr!C90</f>
        <v>144</v>
      </c>
      <c r="D90" s="10"/>
      <c r="E90" s="10"/>
      <c r="F90" s="4">
        <f>Ene!F90+Feb!F90+Mar!F90+Abr!F90</f>
        <v>8639</v>
      </c>
      <c r="G90" s="10"/>
      <c r="H90" s="10"/>
      <c r="I90" s="4">
        <f>Ene!I90+Feb!I90+Mar!I90+Abr!I90</f>
        <v>11867</v>
      </c>
      <c r="J90" s="10"/>
    </row>
    <row r="91" spans="2:12" collapsed="1" x14ac:dyDescent="0.25">
      <c r="B91" s="56" t="s">
        <v>85</v>
      </c>
      <c r="C91" s="44">
        <f>C79-C80</f>
        <v>3752853</v>
      </c>
      <c r="D91" s="41">
        <f>C91/C5</f>
        <v>0.24210556874296613</v>
      </c>
      <c r="E91" s="41">
        <f>F91/C91-1</f>
        <v>-1.0985775355442873E-2</v>
      </c>
      <c r="F91" s="44">
        <f>F79-F80</f>
        <v>3711625</v>
      </c>
      <c r="G91" s="41">
        <f>F91/F5</f>
        <v>0.21699683685801735</v>
      </c>
      <c r="H91" s="41">
        <f>I91/F91-1</f>
        <v>-0.56189108544101307</v>
      </c>
      <c r="I91" s="44">
        <f>I79-I80</f>
        <v>1626096</v>
      </c>
      <c r="J91" s="41">
        <f>I91/$I$5</f>
        <v>8.540170332201942E-2</v>
      </c>
      <c r="K91" s="8"/>
      <c r="L91" s="15"/>
    </row>
    <row r="92" spans="2:12" x14ac:dyDescent="0.25">
      <c r="B92" s="61" t="s">
        <v>92</v>
      </c>
      <c r="C92" s="62">
        <f>C91</f>
        <v>3752853</v>
      </c>
      <c r="D92" s="63"/>
      <c r="E92" s="64"/>
      <c r="F92" s="62">
        <f>Ene!F92+Feb!F92+Mar!F92+Abr!F92</f>
        <v>3944352</v>
      </c>
      <c r="G92" s="63"/>
      <c r="H92" s="64"/>
      <c r="I92" s="62">
        <f>I91</f>
        <v>1626096</v>
      </c>
      <c r="J92" s="63"/>
    </row>
    <row r="93" spans="2:12" x14ac:dyDescent="0.25">
      <c r="C93" s="2"/>
      <c r="F93" s="2"/>
      <c r="I93" s="2"/>
    </row>
    <row r="94" spans="2:12" x14ac:dyDescent="0.25">
      <c r="B94" t="s">
        <v>86</v>
      </c>
      <c r="C94" s="2">
        <f>Ene!C94+Feb!C94+Mar!C94+Abr!C94</f>
        <v>515137</v>
      </c>
      <c r="D94" s="2">
        <f>Ene!D94+Feb!D94+Mar!D94++Abr!D94</f>
        <v>501127</v>
      </c>
      <c r="E94" s="2">
        <f>Ene!E94+Feb!E94+Mar!E94+Abr!E94</f>
        <v>646708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f>Ene!C95+Feb!C95+Mar!C95+Abr!C95</f>
        <v>474227</v>
      </c>
      <c r="D95" s="2">
        <f>Ene!D95+Feb!D95+Mar!D95+Abr!D95</f>
        <v>466156</v>
      </c>
      <c r="E95" s="2">
        <f>Ene!E95+Feb!E95+Mar!E95+Abr!E95</f>
        <v>676544</v>
      </c>
    </row>
    <row r="97" spans="2:10" x14ac:dyDescent="0.25">
      <c r="B97" t="s">
        <v>70</v>
      </c>
      <c r="C97">
        <v>352244</v>
      </c>
      <c r="D97" s="8">
        <v>3.1856718024761206E-2</v>
      </c>
      <c r="E97" s="14">
        <v>-0.45597370004882976</v>
      </c>
      <c r="F97">
        <v>191630</v>
      </c>
      <c r="G97" s="8">
        <v>1.4333215279837273E-2</v>
      </c>
      <c r="H97" s="14">
        <v>6.9096227104315604</v>
      </c>
      <c r="I97">
        <v>1515721</v>
      </c>
      <c r="J97" s="8">
        <v>0.10781920626331494</v>
      </c>
    </row>
    <row r="98" spans="2:10" x14ac:dyDescent="0.25">
      <c r="C98">
        <v>312424</v>
      </c>
      <c r="D98" s="8">
        <v>0.88695336187415541</v>
      </c>
      <c r="F98">
        <v>168099</v>
      </c>
      <c r="G98" s="8">
        <v>0.87720607420550023</v>
      </c>
      <c r="I98">
        <v>1393651</v>
      </c>
      <c r="J98" s="8">
        <v>0.91946407023456167</v>
      </c>
    </row>
    <row r="100" spans="2:10" x14ac:dyDescent="0.25">
      <c r="I100" s="2"/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B711AE0E-3774-40A4-B6B1-EE9E728D577E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52" orientation="portrait" horizontalDpi="4294967293" verticalDpi="7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3EE7-CC90-43BD-9214-F64DE9861ECB}">
  <sheetPr codeName="Hoja22">
    <pageSetUpPr fitToPage="1"/>
  </sheetPr>
  <dimension ref="B1:X95"/>
  <sheetViews>
    <sheetView showGridLines="0" tabSelected="1" zoomScaleNormal="100" workbookViewId="0">
      <pane ySplit="4" topLeftCell="A5" activePane="bottomLeft" state="frozen"/>
      <selection activeCell="J29" sqref="J29"/>
      <selection pane="bottomLeft" activeCell="C5" sqref="C5:J92"/>
    </sheetView>
  </sheetViews>
  <sheetFormatPr baseColWidth="10" defaultColWidth="11.44140625" defaultRowHeight="13.2" outlineLevelRow="1" x14ac:dyDescent="0.25"/>
  <cols>
    <col min="1" max="1" width="1.88671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.5546875" style="14" bestFit="1" customWidth="1"/>
    <col min="9" max="9" width="11.33203125" customWidth="1"/>
    <col min="10" max="10" width="7.6640625" style="8" bestFit="1" customWidth="1"/>
    <col min="13" max="13" width="11.77734375" bestFit="1" customWidth="1"/>
    <col min="16" max="16" width="13" bestFit="1" customWidth="1"/>
    <col min="17" max="18" width="11.5546875" bestFit="1" customWidth="1"/>
  </cols>
  <sheetData>
    <row r="1" spans="2:24" ht="13.8" thickBot="1" x14ac:dyDescent="0.3">
      <c r="B1" s="22" t="s">
        <v>60</v>
      </c>
    </row>
    <row r="2" spans="2:24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24" ht="13.8" thickBot="1" x14ac:dyDescent="0.3">
      <c r="B3" s="16"/>
      <c r="C3" s="113" t="s">
        <v>1</v>
      </c>
      <c r="D3" s="113"/>
      <c r="E3" s="114" t="s">
        <v>121</v>
      </c>
      <c r="F3" s="115"/>
      <c r="G3" s="17"/>
      <c r="H3" s="20"/>
      <c r="I3" s="17"/>
      <c r="J3" s="18"/>
      <c r="L3" s="19"/>
    </row>
    <row r="4" spans="2:24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24" x14ac:dyDescent="0.25">
      <c r="B5" s="49" t="s">
        <v>7</v>
      </c>
      <c r="C5" s="33">
        <f>C6+C9+C13+C14</f>
        <v>15500895</v>
      </c>
      <c r="D5" s="10">
        <v>1</v>
      </c>
      <c r="E5" s="10">
        <f>F5/C5-1</f>
        <v>0.10345318770303269</v>
      </c>
      <c r="F5" s="33">
        <f>F6+F9+F13+F14</f>
        <v>17104512</v>
      </c>
      <c r="G5" s="10">
        <v>1</v>
      </c>
      <c r="H5" s="10">
        <f t="shared" ref="H5" si="0">I5/F5-1</f>
        <v>0.11318913980124079</v>
      </c>
      <c r="I5" s="33">
        <f>I6+I9+I13+I14</f>
        <v>19040557</v>
      </c>
      <c r="J5" s="10">
        <v>1</v>
      </c>
      <c r="K5" s="2"/>
    </row>
    <row r="6" spans="2:24" x14ac:dyDescent="0.25">
      <c r="B6" s="48" t="s">
        <v>64</v>
      </c>
      <c r="C6" s="31">
        <f>C7+C8</f>
        <v>14176962</v>
      </c>
      <c r="D6" s="32">
        <f>C6/$C$5</f>
        <v>0.91458989948644898</v>
      </c>
      <c r="E6" s="32">
        <f>F6/C6-1</f>
        <v>0.10314254915827514</v>
      </c>
      <c r="F6" s="31">
        <f>F7+F8</f>
        <v>15639210</v>
      </c>
      <c r="G6" s="32">
        <f>F6/$F$5</f>
        <v>0.91433242877668774</v>
      </c>
      <c r="H6" s="32">
        <f>I6/F6-1</f>
        <v>-9.9022265191144321E-3</v>
      </c>
      <c r="I6" s="31">
        <f>I7+I8</f>
        <v>15484347</v>
      </c>
      <c r="J6" s="32">
        <f>I6/$I$5</f>
        <v>0.81322972852107211</v>
      </c>
      <c r="K6" s="2"/>
    </row>
    <row r="7" spans="2:24" x14ac:dyDescent="0.25">
      <c r="B7" s="28" t="s">
        <v>67</v>
      </c>
      <c r="C7" s="1">
        <f>Ene!C7+Feb!C7+Mar!C7+Abr!C7</f>
        <v>12139377</v>
      </c>
      <c r="D7" s="11">
        <f>C7/C5</f>
        <v>0.78314039286118642</v>
      </c>
      <c r="E7" s="11">
        <f t="shared" ref="E7:E14" si="1">F7/C7-1</f>
        <v>0.11567875353076196</v>
      </c>
      <c r="F7" s="4">
        <f>Ene!F7+Feb!F7+Mar!F7+Abr!F7</f>
        <v>13543645</v>
      </c>
      <c r="G7" s="11">
        <f>F7/$F$5</f>
        <v>0.79181709481100659</v>
      </c>
      <c r="H7" s="11">
        <f t="shared" ref="H7:H14" si="2">I7/F7-1</f>
        <v>-2.7642558557906649E-2</v>
      </c>
      <c r="I7" s="4">
        <f>Ene!I7+Feb!I7+Mar!I7+Abr!I7</f>
        <v>13169264</v>
      </c>
      <c r="J7" s="11">
        <f t="shared" ref="J7:J14" si="3">I7/$I$5</f>
        <v>0.6916427917523631</v>
      </c>
      <c r="K7" s="2"/>
    </row>
    <row r="8" spans="2:24" x14ac:dyDescent="0.25">
      <c r="B8" s="28" t="s">
        <v>68</v>
      </c>
      <c r="C8" s="1">
        <f>Ene!C8+Feb!C8+Mar!C8+Abr!C8</f>
        <v>2037585</v>
      </c>
      <c r="D8" s="11">
        <f t="shared" ref="D8:D14" si="4">C8/$C$5</f>
        <v>0.13144950662526261</v>
      </c>
      <c r="E8" s="11">
        <f t="shared" si="1"/>
        <v>2.8455254627414384E-2</v>
      </c>
      <c r="F8" s="4">
        <f>Ene!F8+Feb!F8+Mar!F8+Abr!F8</f>
        <v>2095565</v>
      </c>
      <c r="G8" s="11">
        <f>F8/$F$5</f>
        <v>0.12251533396568111</v>
      </c>
      <c r="H8" s="11">
        <f t="shared" si="2"/>
        <v>0.10475361060143684</v>
      </c>
      <c r="I8" s="4">
        <f>Ene!I8+Feb!I8+Mar!I8+Abr!I8</f>
        <v>2315083</v>
      </c>
      <c r="J8" s="11">
        <f t="shared" si="3"/>
        <v>0.12158693676870902</v>
      </c>
      <c r="K8" s="2"/>
    </row>
    <row r="9" spans="2:24" x14ac:dyDescent="0.25">
      <c r="B9" s="48" t="s">
        <v>65</v>
      </c>
      <c r="C9" s="31">
        <f>C10+C11+C12</f>
        <v>1518435</v>
      </c>
      <c r="D9" s="32">
        <f t="shared" si="4"/>
        <v>9.7957892108810493E-2</v>
      </c>
      <c r="E9" s="32">
        <f t="shared" si="1"/>
        <v>0.16391613733877319</v>
      </c>
      <c r="F9" s="31">
        <f>F10+F11+F12</f>
        <v>1767331</v>
      </c>
      <c r="G9" s="32">
        <f>F9/$F$5</f>
        <v>0.10332542664765881</v>
      </c>
      <c r="H9" s="32">
        <f>I9/F9-1</f>
        <v>1.2496210387301532</v>
      </c>
      <c r="I9" s="31">
        <f>I10+I11+I12</f>
        <v>3975825</v>
      </c>
      <c r="J9" s="32">
        <f>I9/$I$5</f>
        <v>0.2088082297172294</v>
      </c>
      <c r="K9" s="19"/>
      <c r="L9" s="19"/>
      <c r="M9" s="19"/>
      <c r="N9" s="19"/>
      <c r="O9" s="19"/>
      <c r="P9" s="19"/>
      <c r="Q9" s="19"/>
      <c r="R9" s="19"/>
      <c r="S9" s="19"/>
      <c r="T9" s="67">
        <f>ABS($I$14*($I$7/($I$6+$I$9)))</f>
        <v>309758.51813930523</v>
      </c>
      <c r="U9" s="68">
        <f>ABS($M$19)/ABS($I$14)</f>
        <v>0.67672906488185203</v>
      </c>
      <c r="V9" s="19"/>
      <c r="W9" s="19"/>
      <c r="X9" s="19"/>
    </row>
    <row r="10" spans="2:24" x14ac:dyDescent="0.25">
      <c r="B10" s="28" t="s">
        <v>69</v>
      </c>
      <c r="C10" s="1">
        <f>Ene!C10+Feb!C10+Mar!C10+Abr!C10</f>
        <v>1019139</v>
      </c>
      <c r="D10" s="11">
        <f t="shared" si="4"/>
        <v>6.5747106860603852E-2</v>
      </c>
      <c r="E10" s="11">
        <f t="shared" si="1"/>
        <v>0.30004837416682117</v>
      </c>
      <c r="F10" s="4">
        <f>Ene!F10+Feb!F10+Mar!F10+Abr!F10</f>
        <v>1324930</v>
      </c>
      <c r="G10" s="11">
        <f>F10/$F$5</f>
        <v>7.7460847757597526E-2</v>
      </c>
      <c r="H10" s="11">
        <f>I10/F10-1</f>
        <v>0.29317699803008468</v>
      </c>
      <c r="I10" s="4">
        <f>Ene!I10+Feb!I10+Mar!I10+Abr!I10</f>
        <v>1713369</v>
      </c>
      <c r="J10" s="11">
        <f t="shared" si="3"/>
        <v>8.998523520083998E-2</v>
      </c>
      <c r="K10" s="19"/>
      <c r="L10" s="19"/>
      <c r="M10" s="19"/>
      <c r="N10" s="19"/>
      <c r="O10" s="19"/>
      <c r="P10" s="19"/>
      <c r="Q10" s="19"/>
      <c r="R10" s="19"/>
      <c r="S10" s="19"/>
      <c r="T10" s="67">
        <f>ABS($I$14*($I$8/($I$6+$I$9)))</f>
        <v>54453.816056045136</v>
      </c>
      <c r="U10" s="68">
        <f>ABS($M$20)/ABS($I$14)</f>
        <v>0.11896518694696018</v>
      </c>
      <c r="V10" s="19"/>
      <c r="W10" s="19"/>
      <c r="X10" s="19"/>
    </row>
    <row r="11" spans="2:24" x14ac:dyDescent="0.25">
      <c r="B11" s="28" t="s">
        <v>70</v>
      </c>
      <c r="C11" s="1">
        <f>Ene!C11+Feb!C11+Mar!C11+Abr!C11</f>
        <v>499296</v>
      </c>
      <c r="D11" s="11">
        <f t="shared" si="4"/>
        <v>3.2210785248206635E-2</v>
      </c>
      <c r="E11" s="11">
        <f t="shared" si="1"/>
        <v>-0.45787468756008465</v>
      </c>
      <c r="F11" s="4">
        <f>Ene!F11+Feb!F11+Mar!F11+Abr!F11</f>
        <v>270681</v>
      </c>
      <c r="G11" s="11">
        <f t="shared" ref="G11:G12" si="5">F11/$F$5</f>
        <v>1.5825122634308422E-2</v>
      </c>
      <c r="H11" s="11">
        <f t="shared" si="2"/>
        <v>7.3171186747499828</v>
      </c>
      <c r="I11" s="4">
        <f>Ene!I11+Feb!I11+Mar!I11+Abr!I11</f>
        <v>2251286</v>
      </c>
      <c r="J11" s="11">
        <f>I11/$I$5</f>
        <v>0.11823635201428194</v>
      </c>
      <c r="K11" s="19"/>
      <c r="L11" s="19"/>
      <c r="M11" s="19"/>
      <c r="N11" s="19"/>
      <c r="O11" s="19"/>
      <c r="P11" s="19"/>
      <c r="Q11" s="19"/>
      <c r="R11" s="19"/>
      <c r="S11" s="19"/>
      <c r="T11" s="67">
        <f>ABS($I$14*($I$9/($I$6+$I$9)))</f>
        <v>93516.665804649616</v>
      </c>
      <c r="U11" s="68">
        <f>ABS($M$21)/ABS($I$14)</f>
        <v>0.2043057481711878</v>
      </c>
      <c r="V11" s="19"/>
      <c r="W11" s="19"/>
      <c r="X11" s="19"/>
    </row>
    <row r="12" spans="2:24" x14ac:dyDescent="0.25">
      <c r="B12" s="28" t="s">
        <v>71</v>
      </c>
      <c r="C12" s="1">
        <f>Ene!C12+Feb!C12+Mar!C12+Abr!C12</f>
        <v>0</v>
      </c>
      <c r="D12" s="11">
        <f t="shared" si="4"/>
        <v>0</v>
      </c>
      <c r="E12" s="11">
        <v>0</v>
      </c>
      <c r="F12" s="4">
        <f>Ene!F12+Feb!F12+Mar!F12+Abr!F12</f>
        <v>171720</v>
      </c>
      <c r="G12" s="11">
        <f t="shared" si="5"/>
        <v>1.0039456255752867E-2</v>
      </c>
      <c r="H12" s="11">
        <f t="shared" si="2"/>
        <v>-0.9349522478453296</v>
      </c>
      <c r="I12" s="4">
        <f>Ene!I12+Feb!I12+Mar!I12+Abr!I12</f>
        <v>11170</v>
      </c>
      <c r="J12" s="11">
        <f t="shared" si="3"/>
        <v>5.8664250210747513E-4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</row>
    <row r="13" spans="2:24" x14ac:dyDescent="0.25">
      <c r="B13" s="48" t="s">
        <v>74</v>
      </c>
      <c r="C13" s="5">
        <f>Ene!C13+Feb!C13+Mar!C13+Abr!C13</f>
        <v>80821</v>
      </c>
      <c r="D13" s="32">
        <f t="shared" si="4"/>
        <v>5.2139570005473876E-3</v>
      </c>
      <c r="E13" s="32">
        <f t="shared" si="1"/>
        <v>-3.3134952549461194E-2</v>
      </c>
      <c r="F13" s="31">
        <f>Ene!F13+Feb!F13+Mar!F13+Abr!F13</f>
        <v>78143</v>
      </c>
      <c r="G13" s="32">
        <f>F13/$F$5</f>
        <v>4.5685606230683462E-3</v>
      </c>
      <c r="H13" s="32">
        <f t="shared" si="2"/>
        <v>-0.51225317686804961</v>
      </c>
      <c r="I13" s="31">
        <f>Ene!I13+Feb!I13+Mar!I13+Abr!I13</f>
        <v>38114</v>
      </c>
      <c r="J13" s="32">
        <f t="shared" si="3"/>
        <v>2.001727155355802E-3</v>
      </c>
      <c r="K13" s="71"/>
      <c r="L13" s="19"/>
      <c r="M13" s="19"/>
      <c r="N13" s="19"/>
      <c r="O13" s="66"/>
      <c r="P13" s="68"/>
      <c r="Q13" s="19"/>
      <c r="R13" s="19"/>
      <c r="S13" s="19"/>
      <c r="T13" s="19"/>
      <c r="U13" s="19"/>
      <c r="V13" s="19"/>
      <c r="W13" s="19"/>
      <c r="X13" s="19"/>
    </row>
    <row r="14" spans="2:24" x14ac:dyDescent="0.25">
      <c r="B14" s="48" t="s">
        <v>8</v>
      </c>
      <c r="C14" s="5">
        <f>Ene!C14+Feb!C14+Mar!C14+Abr!C14</f>
        <v>-275323</v>
      </c>
      <c r="D14" s="32">
        <f t="shared" si="4"/>
        <v>-1.7761748595806887E-2</v>
      </c>
      <c r="E14" s="32">
        <f t="shared" si="1"/>
        <v>0.38082179839679209</v>
      </c>
      <c r="F14" s="31">
        <f>Ene!F14+Feb!F14+Mar!F14+Abr!F14</f>
        <v>-380172</v>
      </c>
      <c r="G14" s="32">
        <f>F14/$F$5</f>
        <v>-2.2226416047414859E-2</v>
      </c>
      <c r="H14" s="32">
        <f t="shared" si="2"/>
        <v>0.20400502930252618</v>
      </c>
      <c r="I14" s="31">
        <f>Ene!I14+Feb!I14+Mar!I14+Abr!I14</f>
        <v>-457729</v>
      </c>
      <c r="J14" s="32">
        <f t="shared" si="3"/>
        <v>-2.4039685393657338E-2</v>
      </c>
      <c r="K14" s="66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</row>
    <row r="15" spans="2:24" x14ac:dyDescent="0.25">
      <c r="B15" s="49" t="s">
        <v>9</v>
      </c>
      <c r="C15" s="38">
        <f>C19+C24+C27</f>
        <v>10074386</v>
      </c>
      <c r="D15" s="10">
        <f>C15/C5</f>
        <v>0.64992285929296345</v>
      </c>
      <c r="E15" s="10">
        <f>F15/C15-1</f>
        <v>0.10264883636580935</v>
      </c>
      <c r="F15" s="38">
        <f>F19+F24+F27</f>
        <v>11108510</v>
      </c>
      <c r="G15" s="10">
        <f>F15/$F$5</f>
        <v>0.64944910442344106</v>
      </c>
      <c r="H15" s="10">
        <f>I15/F15-1</f>
        <v>0.22656341849626993</v>
      </c>
      <c r="I15" s="38">
        <f>I19+I24+I27</f>
        <v>13625292</v>
      </c>
      <c r="J15" s="10">
        <f>I15/$I$5</f>
        <v>0.71559314152416864</v>
      </c>
      <c r="K15" s="66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</row>
    <row r="16" spans="2:24" x14ac:dyDescent="0.25">
      <c r="B16" s="50" t="s">
        <v>10</v>
      </c>
      <c r="C16" s="51">
        <f>Ene!C16</f>
        <v>6344158</v>
      </c>
      <c r="D16" s="52"/>
      <c r="E16" s="53"/>
      <c r="F16" s="51">
        <f>Ene!F16</f>
        <v>10079749</v>
      </c>
      <c r="G16" s="52"/>
      <c r="H16" s="53"/>
      <c r="I16" s="51">
        <f>[1]ENE!I16</f>
        <v>8278719</v>
      </c>
      <c r="J16" s="54"/>
      <c r="K16" s="68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</row>
    <row r="17" spans="2:24" x14ac:dyDescent="0.25">
      <c r="B17" s="28" t="s">
        <v>11</v>
      </c>
      <c r="C17" s="1">
        <f>Ene!C17+Feb!C17+Mar!C17+Abr!C17</f>
        <v>7584190</v>
      </c>
      <c r="D17" s="10"/>
      <c r="E17" s="58">
        <f>F17/C17-1</f>
        <v>-0.14613070083950952</v>
      </c>
      <c r="F17" s="4">
        <f>Ene!F17+Feb!F17+Mar!F17+Abr!F17</f>
        <v>6475907</v>
      </c>
      <c r="G17" s="10"/>
      <c r="H17" s="58">
        <f>I17/F17-1</f>
        <v>0.41571443197068758</v>
      </c>
      <c r="I17" s="4">
        <f>Ene!I17+Feb!I17+Mar!I17+Abr!I17</f>
        <v>9168035</v>
      </c>
      <c r="J17" s="39"/>
      <c r="K17" s="66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</row>
    <row r="18" spans="2:24" x14ac:dyDescent="0.25">
      <c r="B18" s="28" t="s">
        <v>13</v>
      </c>
      <c r="C18" s="1">
        <f>Ene!C18+Feb!C18+Mar!C18+Abr!C18</f>
        <v>-89640</v>
      </c>
      <c r="D18" s="11"/>
      <c r="E18" s="13"/>
      <c r="F18" s="4">
        <f>Ene!F18+Feb!F18+Mar!F18+Abr!F18</f>
        <v>-31484</v>
      </c>
      <c r="G18" s="11"/>
      <c r="H18" s="13"/>
      <c r="I18" s="4">
        <f>Ene!I18+Feb!I18+Mar!I18+Abr!I18</f>
        <v>-77426</v>
      </c>
      <c r="J18" s="11"/>
      <c r="K18" s="66"/>
      <c r="L18" s="66"/>
      <c r="M18" s="19"/>
      <c r="N18" s="19"/>
      <c r="O18" s="66"/>
      <c r="P18" s="19"/>
      <c r="Q18" s="19"/>
      <c r="R18" s="19"/>
      <c r="S18" s="19"/>
      <c r="T18" s="19"/>
      <c r="U18" s="19"/>
      <c r="V18" s="19"/>
      <c r="W18" s="19"/>
      <c r="X18" s="19"/>
    </row>
    <row r="19" spans="2:24" x14ac:dyDescent="0.25">
      <c r="B19" s="48" t="s">
        <v>12</v>
      </c>
      <c r="C19" s="31">
        <f>SUM(C20:C23)</f>
        <v>3674914</v>
      </c>
      <c r="D19" s="32">
        <f>C19/C5</f>
        <v>0.2370775364906349</v>
      </c>
      <c r="E19" s="32">
        <f>F19/C19-1</f>
        <v>2.3715929134668245E-2</v>
      </c>
      <c r="F19" s="31">
        <f>SUM(F20:F23)</f>
        <v>3762068</v>
      </c>
      <c r="G19" s="32">
        <f>F19/$F$5</f>
        <v>0.2199459417491712</v>
      </c>
      <c r="H19" s="32">
        <f>I19/F19-1</f>
        <v>0.1807657384183381</v>
      </c>
      <c r="I19" s="31">
        <f>SUM(I20:I23)</f>
        <v>4442121</v>
      </c>
      <c r="J19" s="32">
        <f>I19/$I$5</f>
        <v>0.23329784942740908</v>
      </c>
      <c r="K19" s="72"/>
      <c r="L19" s="66"/>
      <c r="M19" s="67">
        <f>ABS($M$24*($I$7/($I$6+$I$9)))</f>
        <v>309758.51813930523</v>
      </c>
      <c r="N19" s="68">
        <f>ABS($M$19)/ABS($I$14)</f>
        <v>0.67672906488185203</v>
      </c>
      <c r="O19" s="66" t="s">
        <v>109</v>
      </c>
      <c r="P19" s="67">
        <v>222750.13746361123</v>
      </c>
      <c r="Q19" s="19"/>
      <c r="R19" s="19"/>
      <c r="S19" s="19"/>
      <c r="T19" s="19"/>
      <c r="U19" s="19"/>
      <c r="V19" s="19"/>
      <c r="W19" s="19"/>
      <c r="X19" s="19"/>
    </row>
    <row r="20" spans="2:24" x14ac:dyDescent="0.25">
      <c r="B20" s="28" t="s">
        <v>75</v>
      </c>
      <c r="C20" s="1">
        <f>Ene!C20+Feb!C20+Mar!C20+Abr!C20</f>
        <v>1597991</v>
      </c>
      <c r="D20" s="11">
        <f t="shared" ref="D20" si="6">C20/$C$5</f>
        <v>0.10309024091834697</v>
      </c>
      <c r="E20" s="11">
        <f t="shared" ref="E20" si="7">F20/C20-1</f>
        <v>0.13688437544391685</v>
      </c>
      <c r="F20" s="4">
        <f>Ene!F20+Feb!F20+Mar!F20+Abr!F20</f>
        <v>1816731</v>
      </c>
      <c r="G20" s="11">
        <f t="shared" ref="G20" si="8">F20/$F$5</f>
        <v>0.10621355347641605</v>
      </c>
      <c r="H20" s="11">
        <f>I20/F20-1</f>
        <v>0.14784742485266111</v>
      </c>
      <c r="I20" s="4">
        <f>Ene!I20+Feb!I20+Mar!I20+Abr!I20</f>
        <v>2085330</v>
      </c>
      <c r="J20" s="11">
        <f>I20/$I$5</f>
        <v>0.1095204305210189</v>
      </c>
      <c r="K20" s="66"/>
      <c r="L20" s="66"/>
      <c r="M20" s="67">
        <f>ABS($M$24*($I$8/($I$6+$I$9)))</f>
        <v>54453.816056045136</v>
      </c>
      <c r="N20" s="68">
        <f>ABS($M$20)/ABS($I$14)</f>
        <v>0.11896518694696018</v>
      </c>
      <c r="O20" s="66" t="s">
        <v>110</v>
      </c>
      <c r="P20" s="67">
        <v>38725.119013148855</v>
      </c>
      <c r="Q20" s="19"/>
      <c r="R20" s="19"/>
      <c r="S20" s="19"/>
      <c r="T20" s="19"/>
      <c r="U20" s="19"/>
      <c r="V20" s="19"/>
      <c r="W20" s="19"/>
      <c r="X20" s="19"/>
    </row>
    <row r="21" spans="2:24" x14ac:dyDescent="0.25">
      <c r="B21" s="28" t="s">
        <v>76</v>
      </c>
      <c r="C21" s="1">
        <f>Ene!C21+Feb!C21+Mar!C21+Abr!C21</f>
        <v>865602</v>
      </c>
      <c r="D21" s="11">
        <f>C21/$C$5</f>
        <v>5.5842065893614533E-2</v>
      </c>
      <c r="E21" s="11">
        <f>F21/C21-1</f>
        <v>-8.2251427330343518E-2</v>
      </c>
      <c r="F21" s="4">
        <f>Ene!F21+Feb!F21+Mar!F21+Abr!F21</f>
        <v>794405</v>
      </c>
      <c r="G21" s="11">
        <f>F21/$F$5</f>
        <v>4.6444178004026074E-2</v>
      </c>
      <c r="H21" s="11">
        <f>I21/F21-1</f>
        <v>0.24511049149992759</v>
      </c>
      <c r="I21" s="4">
        <f>Ene!I21+Feb!I21+Mar!I21+Abr!I21</f>
        <v>989122</v>
      </c>
      <c r="J21" s="11">
        <f>I21/$I$5</f>
        <v>5.1948165171848699E-2</v>
      </c>
      <c r="K21" s="66"/>
      <c r="L21" s="66"/>
      <c r="M21" s="67">
        <f>ABS($M$24*($I$9/($I$6+$I$9)))</f>
        <v>93516.665804649616</v>
      </c>
      <c r="N21" s="68">
        <f>ABS($M$21)/ABS($I$14)</f>
        <v>0.2043057481711878</v>
      </c>
      <c r="O21" s="66" t="s">
        <v>111</v>
      </c>
      <c r="P21" s="67">
        <v>62413.743523239908</v>
      </c>
      <c r="Q21" s="19"/>
      <c r="R21" s="19"/>
      <c r="S21" s="19"/>
      <c r="T21" s="19"/>
      <c r="U21" s="19"/>
      <c r="V21" s="19"/>
      <c r="W21" s="19"/>
      <c r="X21" s="19"/>
    </row>
    <row r="22" spans="2:24" x14ac:dyDescent="0.25">
      <c r="B22" s="28" t="s">
        <v>77</v>
      </c>
      <c r="C22" s="1">
        <f>Ene!C22+Feb!C22+Mar!C22+Abr!C22</f>
        <v>1135502</v>
      </c>
      <c r="D22" s="11">
        <f t="shared" ref="D22:D23" si="9">C22/$C$5</f>
        <v>7.3253963722739887E-2</v>
      </c>
      <c r="E22" s="11">
        <f t="shared" ref="E22:E23" si="10">F22/C22-1</f>
        <v>-0.26245044042194554</v>
      </c>
      <c r="F22" s="4">
        <f>Ene!F22+Feb!F22+Mar!F22+Abr!F22</f>
        <v>837489</v>
      </c>
      <c r="G22" s="11">
        <f t="shared" ref="G22:G23" si="11">F22/$F$5</f>
        <v>4.8963045540264462E-2</v>
      </c>
      <c r="H22" s="11">
        <f t="shared" ref="H22:H23" si="12">I22/F22-1</f>
        <v>0.23320903319327169</v>
      </c>
      <c r="I22" s="4">
        <f>Ene!I22+Feb!I22+Mar!I22+Abr!I22</f>
        <v>1032799</v>
      </c>
      <c r="J22" s="11">
        <f t="shared" ref="J22:J23" si="13">I22/$I$5</f>
        <v>5.4242058149874504E-2</v>
      </c>
      <c r="K22" s="66"/>
      <c r="L22" s="66"/>
      <c r="M22" s="19"/>
      <c r="N22" s="19"/>
      <c r="O22" s="66"/>
      <c r="P22" s="19"/>
      <c r="Q22" s="19"/>
      <c r="R22" s="19"/>
      <c r="S22" s="19"/>
      <c r="T22" s="19"/>
      <c r="U22" s="19"/>
      <c r="V22" s="19"/>
      <c r="W22" s="19"/>
      <c r="X22" s="19"/>
    </row>
    <row r="23" spans="2:24" x14ac:dyDescent="0.25">
      <c r="B23" s="28" t="s">
        <v>61</v>
      </c>
      <c r="C23" s="1">
        <f>Ene!C23+Feb!C23+Mar!C23+Abr!C23</f>
        <v>75819</v>
      </c>
      <c r="D23" s="11">
        <f t="shared" si="9"/>
        <v>4.8912659559335126E-3</v>
      </c>
      <c r="E23" s="11">
        <f t="shared" si="10"/>
        <v>3.1340956752265265</v>
      </c>
      <c r="F23" s="4">
        <f>Ene!F23+Feb!F23+Mar!F23+Abr!F23</f>
        <v>313443</v>
      </c>
      <c r="G23" s="11">
        <f t="shared" si="11"/>
        <v>1.832516472846463E-2</v>
      </c>
      <c r="H23" s="11">
        <f t="shared" si="12"/>
        <v>6.8360116512412139E-2</v>
      </c>
      <c r="I23" s="4">
        <f>Ene!I23+Feb!I23+Mar!I23+Abr!I23</f>
        <v>334870</v>
      </c>
      <c r="J23" s="11">
        <f t="shared" si="13"/>
        <v>1.7587195584666981E-2</v>
      </c>
      <c r="K23" s="66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</row>
    <row r="24" spans="2:24" x14ac:dyDescent="0.25">
      <c r="B24" s="48" t="s">
        <v>78</v>
      </c>
      <c r="C24" s="31">
        <f>C25+C26</f>
        <v>5186569</v>
      </c>
      <c r="D24" s="32">
        <f>C24/C5</f>
        <v>0.3345980345005885</v>
      </c>
      <c r="E24" s="32">
        <f>F24/C24-1</f>
        <v>0.14097759038778812</v>
      </c>
      <c r="F24" s="31">
        <f>F25+F26</f>
        <v>5917759</v>
      </c>
      <c r="G24" s="32">
        <f>F24/$F$5</f>
        <v>0.34597648854290608</v>
      </c>
      <c r="H24" s="32">
        <f>I24/F24-1</f>
        <v>-9.2315351132075119E-3</v>
      </c>
      <c r="I24" s="31">
        <f>I25+I26</f>
        <v>5863129</v>
      </c>
      <c r="J24" s="32">
        <f>I24/$I$5</f>
        <v>0.30792843927832575</v>
      </c>
      <c r="K24" s="66"/>
      <c r="L24" s="19"/>
      <c r="M24" s="66">
        <f>'A abril 30'!$I$14</f>
        <v>-457729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</row>
    <row r="25" spans="2:24" x14ac:dyDescent="0.25">
      <c r="B25" s="28" t="s">
        <v>67</v>
      </c>
      <c r="C25" s="1">
        <f>Ene!C25+Feb!C25+Mar!C25+Abr!C25</f>
        <v>3874842</v>
      </c>
      <c r="D25" s="11"/>
      <c r="E25" s="11"/>
      <c r="F25" s="4">
        <f>Ene!F25+Feb!F25+Mar!F25+Abr!F25</f>
        <v>4556369</v>
      </c>
      <c r="G25" s="11"/>
      <c r="H25" s="11"/>
      <c r="I25" s="4">
        <f>Ene!I25+Feb!I25+Mar!I25+Abr!I25</f>
        <v>3973557</v>
      </c>
      <c r="J25" s="11"/>
      <c r="K25" s="66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</row>
    <row r="26" spans="2:24" x14ac:dyDescent="0.25">
      <c r="B26" s="28" t="s">
        <v>68</v>
      </c>
      <c r="C26" s="1">
        <f>Ene!C26+Feb!C26+Mar!C26+Abr!C26</f>
        <v>1311727</v>
      </c>
      <c r="D26" s="11"/>
      <c r="E26" s="11"/>
      <c r="F26" s="4">
        <f>Ene!F26+Feb!F26+Mar!F26+Abr!F26</f>
        <v>1361390</v>
      </c>
      <c r="G26" s="11"/>
      <c r="H26" s="11"/>
      <c r="I26" s="4">
        <f>Ene!I26+Feb!I26+Mar!I26+Abr!I26</f>
        <v>1889572</v>
      </c>
      <c r="J26" s="11"/>
      <c r="K26" s="66"/>
      <c r="L26" s="19"/>
      <c r="M26" s="19"/>
      <c r="N26" s="19"/>
      <c r="O26" s="19"/>
      <c r="P26" s="69" t="s">
        <v>112</v>
      </c>
      <c r="Q26" s="69" t="s">
        <v>113</v>
      </c>
      <c r="R26" s="69" t="s">
        <v>114</v>
      </c>
      <c r="S26" s="19"/>
      <c r="T26" s="19"/>
      <c r="U26" s="19"/>
      <c r="V26" s="19"/>
      <c r="W26" s="19"/>
      <c r="X26" s="19"/>
    </row>
    <row r="27" spans="2:24" x14ac:dyDescent="0.25">
      <c r="B27" s="48" t="s">
        <v>66</v>
      </c>
      <c r="C27" s="31">
        <f>C28+C29+C30</f>
        <v>1212903</v>
      </c>
      <c r="D27" s="32">
        <f>C27/C5</f>
        <v>7.8247288301739992E-2</v>
      </c>
      <c r="E27" s="32">
        <f>F27/C27-1</f>
        <v>0.17790375652463553</v>
      </c>
      <c r="F27" s="31">
        <f>F28+F29+F30</f>
        <v>1428683</v>
      </c>
      <c r="G27" s="32">
        <f>F27/$F$5</f>
        <v>8.3526674131363707E-2</v>
      </c>
      <c r="H27" s="32">
        <f>I27/F27-1</f>
        <v>1.323847907478426</v>
      </c>
      <c r="I27" s="31">
        <f>I28+I29+I30</f>
        <v>3320042</v>
      </c>
      <c r="J27" s="32">
        <f>I27/$I$5</f>
        <v>0.17436685281843384</v>
      </c>
      <c r="K27" s="66"/>
      <c r="L27" s="19"/>
      <c r="M27" s="19"/>
      <c r="N27" s="68">
        <v>0.85</v>
      </c>
      <c r="O27" s="66" t="s">
        <v>109</v>
      </c>
      <c r="P27" s="67">
        <f>N27*I20</f>
        <v>1772530.5</v>
      </c>
      <c r="Q27" s="67">
        <f>N27*I21</f>
        <v>840753.7</v>
      </c>
      <c r="R27" s="67">
        <f>N27*I22</f>
        <v>877879.15</v>
      </c>
      <c r="S27" s="19"/>
      <c r="T27" s="19"/>
      <c r="U27" s="19"/>
      <c r="V27" s="19"/>
      <c r="W27" s="19"/>
      <c r="X27" s="19"/>
    </row>
    <row r="28" spans="2:24" x14ac:dyDescent="0.25">
      <c r="B28" s="28" t="s">
        <v>69</v>
      </c>
      <c r="C28" s="1">
        <f>Ene!C28+Feb!C28+Mar!C28+Abr!C28</f>
        <v>766385</v>
      </c>
      <c r="D28" s="11">
        <f>C28/C10</f>
        <v>0.75199261337266066</v>
      </c>
      <c r="E28" s="11"/>
      <c r="F28" s="4">
        <f>Ene!F28+Feb!F28+Mar!F28+Abr!F28</f>
        <v>1055519</v>
      </c>
      <c r="G28" s="11">
        <f>F28/F10</f>
        <v>0.79666020091627487</v>
      </c>
      <c r="H28" s="11"/>
      <c r="I28" s="4">
        <f>Ene!I28+Feb!I28+Mar!I28+Abr!I28</f>
        <v>1265674</v>
      </c>
      <c r="J28" s="11">
        <f>I28/I10</f>
        <v>0.73870485575494826</v>
      </c>
      <c r="K28" s="66"/>
      <c r="L28" s="19"/>
      <c r="M28" s="19"/>
      <c r="N28" s="68">
        <v>0.15</v>
      </c>
      <c r="O28" s="66" t="s">
        <v>110</v>
      </c>
      <c r="P28" s="67">
        <f>N28*I20</f>
        <v>312799.5</v>
      </c>
      <c r="Q28" s="67">
        <f>N28*I21</f>
        <v>148368.29999999999</v>
      </c>
      <c r="R28" s="67">
        <f>N28*I22</f>
        <v>154919.85</v>
      </c>
      <c r="S28" s="19"/>
      <c r="T28" s="19"/>
      <c r="U28" s="19"/>
      <c r="V28" s="19"/>
      <c r="W28" s="19"/>
      <c r="X28" s="19"/>
    </row>
    <row r="29" spans="2:24" x14ac:dyDescent="0.25">
      <c r="B29" s="28" t="s">
        <v>70</v>
      </c>
      <c r="C29" s="1">
        <f>Ene!C29+Feb!C29+Mar!C29+Abr!C29</f>
        <v>446518</v>
      </c>
      <c r="D29" s="11">
        <f>C29/C11</f>
        <v>0.89429516759597516</v>
      </c>
      <c r="E29" s="11"/>
      <c r="F29" s="4">
        <f>Ene!F29+Feb!F29+Mar!F29+Abr!F29</f>
        <v>238889</v>
      </c>
      <c r="G29" s="11">
        <f>F29/F11</f>
        <v>0.88254809166509651</v>
      </c>
      <c r="H29" s="11"/>
      <c r="I29" s="4">
        <f>Ene!I29+Feb!I29+Mar!I29+Abr!I29</f>
        <v>2046848</v>
      </c>
      <c r="J29" s="11">
        <f>I29/I11</f>
        <v>0.90919056930127939</v>
      </c>
      <c r="K29" s="66"/>
      <c r="L29" s="19"/>
      <c r="M29" s="19"/>
      <c r="N29" s="68"/>
      <c r="O29" s="66"/>
      <c r="P29" s="19"/>
      <c r="Q29" s="19"/>
      <c r="R29" s="19"/>
      <c r="S29" s="19"/>
      <c r="T29" s="19"/>
      <c r="U29" s="19"/>
      <c r="V29" s="19"/>
      <c r="W29" s="19"/>
      <c r="X29" s="19"/>
    </row>
    <row r="30" spans="2:24" x14ac:dyDescent="0.25">
      <c r="B30" s="28" t="s">
        <v>71</v>
      </c>
      <c r="C30" s="1">
        <f>Ene!C30+Feb!C30+Mar!C30+Abr!C30</f>
        <v>0</v>
      </c>
      <c r="D30" s="11">
        <v>0</v>
      </c>
      <c r="E30" s="11"/>
      <c r="F30" s="4">
        <f>Ene!F30+Feb!F30+Mar!F30+Abr!F30</f>
        <v>134275</v>
      </c>
      <c r="G30" s="11">
        <f>F30/F12</f>
        <v>0.78194153272769629</v>
      </c>
      <c r="H30" s="11"/>
      <c r="I30" s="4">
        <f>Ene!I30+Feb!I30+Mar!I30+Abr!I30</f>
        <v>7520</v>
      </c>
      <c r="J30" s="11">
        <f>I30/I12</f>
        <v>0.67323187108325877</v>
      </c>
      <c r="K30" s="66"/>
      <c r="L30" s="19"/>
      <c r="M30" s="67"/>
      <c r="N30" s="68"/>
      <c r="O30" s="66"/>
      <c r="P30" s="19">
        <v>1298234.75</v>
      </c>
      <c r="Q30" s="19">
        <v>618244.94999999995</v>
      </c>
      <c r="R30" s="19">
        <v>608922.15</v>
      </c>
      <c r="S30" s="19"/>
      <c r="T30" s="19"/>
      <c r="U30" s="19"/>
      <c r="V30" s="19"/>
      <c r="W30" s="19"/>
      <c r="X30" s="19"/>
    </row>
    <row r="31" spans="2:24" x14ac:dyDescent="0.25">
      <c r="B31" s="50" t="s">
        <v>14</v>
      </c>
      <c r="C31" s="51">
        <f>C16+C17+C19+C18-C15</f>
        <v>7439236</v>
      </c>
      <c r="D31" s="55"/>
      <c r="E31" s="53"/>
      <c r="F31" s="51">
        <f>F16+F17+F19+F18-F15</f>
        <v>9177730</v>
      </c>
      <c r="G31" s="55"/>
      <c r="H31" s="53"/>
      <c r="I31" s="51">
        <f>I16+I17+I19+I18-I15</f>
        <v>8186157</v>
      </c>
      <c r="J31" s="55"/>
      <c r="K31" s="66"/>
      <c r="L31" s="19"/>
      <c r="M31" s="19"/>
      <c r="N31" s="19"/>
      <c r="O31" s="19"/>
      <c r="P31" s="19">
        <v>229100.25</v>
      </c>
      <c r="Q31" s="19">
        <v>109102.05</v>
      </c>
      <c r="R31" s="19">
        <v>107456.84999999999</v>
      </c>
      <c r="S31" s="19"/>
      <c r="T31" s="19"/>
      <c r="U31" s="19"/>
      <c r="V31" s="19"/>
      <c r="W31" s="19"/>
      <c r="X31" s="19"/>
    </row>
    <row r="32" spans="2:24" x14ac:dyDescent="0.25">
      <c r="B32" s="56" t="s">
        <v>15</v>
      </c>
      <c r="C32" s="40">
        <f>C5-C15</f>
        <v>5426509</v>
      </c>
      <c r="D32" s="41">
        <f>C32/$C$5</f>
        <v>0.3500771407070366</v>
      </c>
      <c r="E32" s="41">
        <f>F32/C32-1</f>
        <v>0.10494647663903267</v>
      </c>
      <c r="F32" s="40">
        <f>F5-F15</f>
        <v>5996002</v>
      </c>
      <c r="G32" s="41">
        <f>F32/$F$5</f>
        <v>0.350550895576559</v>
      </c>
      <c r="H32" s="41">
        <f>I32/F32-1</f>
        <v>-9.6854037073369925E-2</v>
      </c>
      <c r="I32" s="40">
        <f>I5-I15</f>
        <v>5415265</v>
      </c>
      <c r="J32" s="41">
        <f>I32/$I$5</f>
        <v>0.28440685847583136</v>
      </c>
      <c r="K32" s="66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</row>
    <row r="33" spans="2:24" x14ac:dyDescent="0.25">
      <c r="B33" s="24" t="s">
        <v>16</v>
      </c>
      <c r="C33" s="25">
        <f>SUM(C36:C43)</f>
        <v>457932</v>
      </c>
      <c r="D33" s="26">
        <f>C33/$C$5</f>
        <v>2.9542294170755948E-2</v>
      </c>
      <c r="E33" s="26">
        <f>F33/C33-1</f>
        <v>0.27923578173178543</v>
      </c>
      <c r="F33" s="25">
        <f>SUM(F36:F43)</f>
        <v>585803</v>
      </c>
      <c r="G33" s="26">
        <f>F33/$F$5</f>
        <v>3.4248448596487291E-2</v>
      </c>
      <c r="H33" s="26">
        <f>I33/F33-1</f>
        <v>0.15184456207974351</v>
      </c>
      <c r="I33" s="25">
        <f>SUM(I36:I43)</f>
        <v>674754</v>
      </c>
      <c r="J33" s="26">
        <f>I33/$I$5</f>
        <v>3.5437723801882474E-2</v>
      </c>
      <c r="K33" s="71"/>
      <c r="L33" s="66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</row>
    <row r="34" spans="2:24" hidden="1" outlineLevel="1" x14ac:dyDescent="0.25">
      <c r="B34" s="28" t="s">
        <v>17</v>
      </c>
      <c r="C34" s="1">
        <f>Ene!C34+Feb!C34+Mar!C34+Abr!C34</f>
        <v>372796</v>
      </c>
      <c r="D34" s="10"/>
      <c r="E34" s="10"/>
      <c r="F34" s="4">
        <f>Ene!F34+Feb!F34+Mar!F34+Abr!F34</f>
        <v>492718</v>
      </c>
      <c r="G34" s="10"/>
      <c r="H34" s="10"/>
      <c r="I34" s="4">
        <f>Ene!I34+Feb!I34+Mar!I34+Abr!I34</f>
        <v>557773</v>
      </c>
      <c r="J34" s="10"/>
      <c r="K34" s="71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</row>
    <row r="35" spans="2:24" hidden="1" outlineLevel="1" x14ac:dyDescent="0.25">
      <c r="B35" s="28" t="s">
        <v>18</v>
      </c>
      <c r="C35" s="1">
        <f>Ene!C35+Feb!C35+Mar!C35+Abr!C35</f>
        <v>25782</v>
      </c>
      <c r="D35" s="10"/>
      <c r="E35" s="10"/>
      <c r="F35" s="4">
        <f>Ene!F35+Feb!F35+Mar!F35+Abr!F35</f>
        <v>27409</v>
      </c>
      <c r="G35" s="10"/>
      <c r="H35" s="10"/>
      <c r="I35" s="4">
        <f>Ene!I35+Feb!I35+Mar!I35+Abr!I35</f>
        <v>41267</v>
      </c>
      <c r="J35" s="10"/>
      <c r="K35" s="66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</row>
    <row r="36" spans="2:24" collapsed="1" x14ac:dyDescent="0.25">
      <c r="B36" s="48" t="s">
        <v>19</v>
      </c>
      <c r="C36" s="31">
        <f>C34+C35</f>
        <v>398578</v>
      </c>
      <c r="D36" s="32">
        <f t="shared" ref="D36:D44" si="14">C36/$C$33</f>
        <v>0.87038686966623868</v>
      </c>
      <c r="E36" s="32">
        <f>F36/C36-1</f>
        <v>0.30495662078689745</v>
      </c>
      <c r="F36" s="31">
        <f>F34+F35</f>
        <v>520127</v>
      </c>
      <c r="G36" s="32">
        <f>F36/$F$33</f>
        <v>0.88788722488618188</v>
      </c>
      <c r="H36" s="32">
        <f>I36/F36-1</f>
        <v>0.15171871485233424</v>
      </c>
      <c r="I36" s="31">
        <f>I34+I35</f>
        <v>599040</v>
      </c>
      <c r="J36" s="32">
        <f>I36/$I$33</f>
        <v>0.88779021687904036</v>
      </c>
      <c r="K36" s="66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</row>
    <row r="37" spans="2:24" x14ac:dyDescent="0.25">
      <c r="B37" s="28" t="s">
        <v>20</v>
      </c>
      <c r="C37" s="1">
        <f>Ene!C37+Feb!C37+Mar!C37+Abr!C37</f>
        <v>25321</v>
      </c>
      <c r="D37" s="11">
        <f t="shared" si="14"/>
        <v>5.5294235825406393E-2</v>
      </c>
      <c r="E37" s="11">
        <f>F37/C37-1</f>
        <v>8.3014098969234951E-2</v>
      </c>
      <c r="F37" s="4">
        <f>Ene!F37+Feb!F37+Mar!F37+Abr!F37</f>
        <v>27423</v>
      </c>
      <c r="G37" s="11">
        <f>F37/$F$33</f>
        <v>4.6812665691367238E-2</v>
      </c>
      <c r="H37" s="11">
        <f>I37/F37-1</f>
        <v>-0.18247456514604532</v>
      </c>
      <c r="I37" s="4">
        <f>Ene!I37+Feb!I37+Mar!I37+Abr!I37</f>
        <v>22419</v>
      </c>
      <c r="J37" s="11">
        <f>I37/$I$33</f>
        <v>3.3225442161143169E-2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</row>
    <row r="38" spans="2:24" hidden="1" outlineLevel="1" x14ac:dyDescent="0.25">
      <c r="B38" s="28" t="s">
        <v>21</v>
      </c>
      <c r="C38" s="1">
        <f>Ene!C38+Feb!C38+Mar!C38+Abr!C38</f>
        <v>4415</v>
      </c>
      <c r="D38" s="11">
        <f t="shared" si="14"/>
        <v>9.6411694312692718E-3</v>
      </c>
      <c r="E38" s="11"/>
      <c r="F38" s="4">
        <f>Ene!F38+Feb!F38+Mar!F38+Abr!F38</f>
        <v>1224</v>
      </c>
      <c r="G38" s="11">
        <f t="shared" ref="G38:G43" si="15">F38/$C$33</f>
        <v>2.6728859306621943E-3</v>
      </c>
      <c r="H38" s="11"/>
      <c r="I38" s="4">
        <f>Ene!I38+Feb!I38+Mar!I38+Abr!I38</f>
        <v>0</v>
      </c>
      <c r="J38" s="11">
        <f t="shared" ref="J38:J43" si="16">I38/$C$33</f>
        <v>0</v>
      </c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</row>
    <row r="39" spans="2:24" hidden="1" outlineLevel="1" x14ac:dyDescent="0.25">
      <c r="B39" s="28" t="s">
        <v>22</v>
      </c>
      <c r="C39" s="1">
        <f>Ene!C39+Feb!C39+Mar!C39+Abr!C39</f>
        <v>998</v>
      </c>
      <c r="D39" s="11">
        <f t="shared" si="14"/>
        <v>2.1793628748373122E-3</v>
      </c>
      <c r="E39" s="11"/>
      <c r="F39" s="4">
        <f>Ene!F39+Feb!F39+Mar!F39+Abr!F39</f>
        <v>0</v>
      </c>
      <c r="G39" s="11">
        <f t="shared" si="15"/>
        <v>0</v>
      </c>
      <c r="H39" s="11"/>
      <c r="I39" s="4">
        <f>Ene!I39+Feb!I39+Mar!I39+Abr!I39</f>
        <v>0</v>
      </c>
      <c r="J39" s="11">
        <f t="shared" si="16"/>
        <v>0</v>
      </c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</row>
    <row r="40" spans="2:24" hidden="1" outlineLevel="1" x14ac:dyDescent="0.25">
      <c r="B40" s="28" t="s">
        <v>23</v>
      </c>
      <c r="C40" s="1">
        <f>Ene!C40+Feb!C40+Mar!C40+Abr!C40</f>
        <v>4390</v>
      </c>
      <c r="D40" s="11">
        <f t="shared" si="14"/>
        <v>9.5865761728815627E-3</v>
      </c>
      <c r="E40" s="11"/>
      <c r="F40" s="4">
        <f>Ene!F40+Feb!F40+Mar!F40+Abr!F40</f>
        <v>3346</v>
      </c>
      <c r="G40" s="11">
        <f t="shared" si="15"/>
        <v>7.3067617026108681E-3</v>
      </c>
      <c r="H40" s="11"/>
      <c r="I40" s="4">
        <f>Ene!I40+Feb!I40+Mar!I40+Abr!I40</f>
        <v>15286</v>
      </c>
      <c r="J40" s="11">
        <f t="shared" si="16"/>
        <v>3.3380501908580315E-2</v>
      </c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</row>
    <row r="41" spans="2:24" hidden="1" outlineLevel="1" x14ac:dyDescent="0.25">
      <c r="B41" s="28" t="s">
        <v>24</v>
      </c>
      <c r="C41" s="1">
        <f>Ene!C41+Feb!C41+Mar!C41+Abr!C41</f>
        <v>13185</v>
      </c>
      <c r="D41" s="11">
        <f t="shared" si="14"/>
        <v>2.8792484473677316E-2</v>
      </c>
      <c r="E41" s="11"/>
      <c r="F41" s="4">
        <f>Ene!F41+Feb!F41+Mar!F41+Abr!F41</f>
        <v>17043</v>
      </c>
      <c r="G41" s="11">
        <f t="shared" si="15"/>
        <v>3.721731610806845E-2</v>
      </c>
      <c r="H41" s="11"/>
      <c r="I41" s="4">
        <f>Ene!I41+Feb!I41+Mar!I41+Abr!I41</f>
        <v>14338</v>
      </c>
      <c r="J41" s="11">
        <f t="shared" si="16"/>
        <v>3.1310325550518416E-2</v>
      </c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</row>
    <row r="42" spans="2:24" hidden="1" outlineLevel="1" x14ac:dyDescent="0.25">
      <c r="B42" s="28" t="s">
        <v>25</v>
      </c>
      <c r="C42" s="1">
        <f>Ene!C42+Feb!C42+Mar!C42+Abr!C42</f>
        <v>6468</v>
      </c>
      <c r="D42" s="11">
        <f t="shared" si="14"/>
        <v>1.4124367810067871E-2</v>
      </c>
      <c r="E42" s="11"/>
      <c r="F42" s="4">
        <f>Ene!F42+Feb!F42+Mar!F42+Abr!F42</f>
        <v>8359</v>
      </c>
      <c r="G42" s="11">
        <f t="shared" si="15"/>
        <v>1.8253801874514121E-2</v>
      </c>
      <c r="H42" s="11"/>
      <c r="I42" s="4">
        <f>Ene!I42+Feb!I42+Mar!I42+Abr!I42</f>
        <v>12712</v>
      </c>
      <c r="J42" s="11">
        <f t="shared" si="16"/>
        <v>2.7759580024981877E-2</v>
      </c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</row>
    <row r="43" spans="2:24" hidden="1" outlineLevel="1" x14ac:dyDescent="0.25">
      <c r="B43" s="28" t="s">
        <v>26</v>
      </c>
      <c r="C43" s="1">
        <f>Ene!C43+Feb!C43+Mar!C43+Abr!C43</f>
        <v>4577</v>
      </c>
      <c r="D43" s="11">
        <f t="shared" si="14"/>
        <v>9.994933745621621E-3</v>
      </c>
      <c r="E43" s="11"/>
      <c r="F43" s="4">
        <f>Ene!F43+Feb!F43+Mar!F43+Abr!F43</f>
        <v>8281</v>
      </c>
      <c r="G43" s="11">
        <f t="shared" si="15"/>
        <v>1.808347090834447E-2</v>
      </c>
      <c r="H43" s="11"/>
      <c r="I43" s="4">
        <f>Ene!I43+Feb!I43+Mar!I43+Abr!I43</f>
        <v>10959</v>
      </c>
      <c r="J43" s="11">
        <f t="shared" si="16"/>
        <v>2.3931500746835775E-2</v>
      </c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</row>
    <row r="44" spans="2:24" collapsed="1" x14ac:dyDescent="0.25">
      <c r="B44" s="48" t="s">
        <v>27</v>
      </c>
      <c r="C44" s="5">
        <f>SUM(C38:C43)</f>
        <v>34033</v>
      </c>
      <c r="D44" s="32">
        <f t="shared" si="14"/>
        <v>7.4318894508354952E-2</v>
      </c>
      <c r="E44" s="32">
        <f>F44/C44-1</f>
        <v>0.12399729674139803</v>
      </c>
      <c r="F44" s="31">
        <f>SUM(F38:F43)</f>
        <v>38253</v>
      </c>
      <c r="G44" s="32">
        <f>F44/$F$33</f>
        <v>6.5300109422450889E-2</v>
      </c>
      <c r="H44" s="32">
        <f>I44/F44-1</f>
        <v>0.39322406085797201</v>
      </c>
      <c r="I44" s="31">
        <f>SUM(I38:I43)</f>
        <v>53295</v>
      </c>
      <c r="J44" s="32">
        <f>I44/$I$33</f>
        <v>7.8984340959816463E-2</v>
      </c>
      <c r="K44" s="66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</row>
    <row r="45" spans="2:24" x14ac:dyDescent="0.25">
      <c r="B45" s="24" t="s">
        <v>28</v>
      </c>
      <c r="C45" s="25">
        <f>SUM(C46:C55)</f>
        <v>650104</v>
      </c>
      <c r="D45" s="26">
        <f>C45/$C$5</f>
        <v>4.1939771864785869E-2</v>
      </c>
      <c r="E45" s="26">
        <f>F45/C45-1</f>
        <v>0.20827744483959498</v>
      </c>
      <c r="F45" s="25">
        <f>SUM(F46:F55)</f>
        <v>785506</v>
      </c>
      <c r="G45" s="26">
        <f>F45/$F$5</f>
        <v>4.592390592610885E-2</v>
      </c>
      <c r="H45" s="26">
        <f>I45/F45-1</f>
        <v>0.20834468482735979</v>
      </c>
      <c r="I45" s="25">
        <f>SUM(I46:I55)</f>
        <v>949162</v>
      </c>
      <c r="J45" s="26">
        <f>I45/$I$5</f>
        <v>4.9849487071202798E-2</v>
      </c>
      <c r="K45" s="71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</row>
    <row r="46" spans="2:24" x14ac:dyDescent="0.25">
      <c r="B46" s="28" t="s">
        <v>17</v>
      </c>
      <c r="C46" s="1">
        <f>Ene!C46+Feb!C46+Mar!C46+Abr!C46</f>
        <v>446983</v>
      </c>
      <c r="D46" s="11">
        <f t="shared" ref="D46:D56" si="17">C46/$C$45</f>
        <v>0.68755614486297578</v>
      </c>
      <c r="E46" s="11">
        <f>F46/C46-1</f>
        <v>0.20817346521008639</v>
      </c>
      <c r="F46" s="4">
        <f>Ene!F46+Feb!F46+Mar!F46+Abr!F46</f>
        <v>540033</v>
      </c>
      <c r="G46" s="11">
        <f>F46/$F$45</f>
        <v>0.68749697647121732</v>
      </c>
      <c r="H46" s="11">
        <f>I46/F46-1</f>
        <v>0.19541398396023957</v>
      </c>
      <c r="I46" s="4">
        <f>Ene!I46+Feb!I46+Mar!I46+Abr!I46</f>
        <v>645563</v>
      </c>
      <c r="J46" s="11">
        <f>I46/$I$45</f>
        <v>0.68013995503401947</v>
      </c>
      <c r="K46" s="71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</row>
    <row r="47" spans="2:24" x14ac:dyDescent="0.25">
      <c r="B47" s="28" t="s">
        <v>29</v>
      </c>
      <c r="C47" s="1">
        <f>Ene!C47+Feb!C47+Mar!C47+Abr!C47</f>
        <v>114227</v>
      </c>
      <c r="D47" s="11">
        <f t="shared" si="17"/>
        <v>0.1757057332365283</v>
      </c>
      <c r="E47" s="11">
        <f>F47/C47-1</f>
        <v>9.958241046337557E-2</v>
      </c>
      <c r="F47" s="4">
        <f>Ene!F47+Feb!F47+Mar!F47+Abr!F47</f>
        <v>125602</v>
      </c>
      <c r="G47" s="11">
        <f t="shared" ref="G47:G56" si="18">F47/$F$45</f>
        <v>0.15989947880729111</v>
      </c>
      <c r="H47" s="11">
        <f>I47/F47-1</f>
        <v>0.11967166127927897</v>
      </c>
      <c r="I47" s="4">
        <f>Ene!I47+Feb!I47+Mar!I47+Abr!I47</f>
        <v>140633</v>
      </c>
      <c r="J47" s="11">
        <f t="shared" ref="J47:J56" si="19">I47/$I$45</f>
        <v>0.14816543435156485</v>
      </c>
      <c r="K47" s="66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</row>
    <row r="48" spans="2:24" hidden="1" outlineLevel="1" x14ac:dyDescent="0.25">
      <c r="B48" s="28" t="s">
        <v>30</v>
      </c>
      <c r="C48" s="1">
        <f>Ene!C48+Feb!C48+Mar!C48+Abr!C48</f>
        <v>0</v>
      </c>
      <c r="D48" s="11">
        <f t="shared" si="17"/>
        <v>0</v>
      </c>
      <c r="E48" s="11"/>
      <c r="F48" s="4">
        <f>Ene!F48+Feb!F48+Mar!F48+Abr!F48</f>
        <v>1935</v>
      </c>
      <c r="G48" s="11">
        <f t="shared" si="18"/>
        <v>2.4633802924484346E-3</v>
      </c>
      <c r="H48" s="11"/>
      <c r="I48" s="4">
        <f>Ene!I48+Feb!I48+Mar!I48+Abr!I48</f>
        <v>0</v>
      </c>
      <c r="J48" s="11">
        <f t="shared" si="19"/>
        <v>0</v>
      </c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</row>
    <row r="49" spans="2:24" hidden="1" outlineLevel="1" x14ac:dyDescent="0.25">
      <c r="B49" s="28" t="s">
        <v>57</v>
      </c>
      <c r="C49" s="1">
        <f>Ene!C49+Feb!C49+Mar!C49+Abr!C49</f>
        <v>198</v>
      </c>
      <c r="D49" s="11">
        <f t="shared" si="17"/>
        <v>3.0456665395075247E-4</v>
      </c>
      <c r="E49" s="11"/>
      <c r="F49" s="4">
        <f>Ene!F49+Feb!F49+Mar!F49+Abr!F49</f>
        <v>2120</v>
      </c>
      <c r="G49" s="11">
        <f t="shared" si="18"/>
        <v>2.6988972713130137E-3</v>
      </c>
      <c r="H49" s="11"/>
      <c r="I49" s="4">
        <f>Ene!I49+Feb!I49+Mar!I49+Abr!I49</f>
        <v>1467</v>
      </c>
      <c r="J49" s="11">
        <f t="shared" si="19"/>
        <v>1.5455738851745014E-3</v>
      </c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</row>
    <row r="50" spans="2:24" hidden="1" outlineLevel="1" x14ac:dyDescent="0.25">
      <c r="B50" s="28" t="s">
        <v>79</v>
      </c>
      <c r="C50" s="1">
        <f>Ene!C50+Feb!C50+Mar!C50+Abr!C50</f>
        <v>0</v>
      </c>
      <c r="D50" s="11">
        <f t="shared" si="17"/>
        <v>0</v>
      </c>
      <c r="E50" s="11"/>
      <c r="F50" s="4">
        <f>Ene!F50+Feb!F50+Mar!F50+Abr!F50</f>
        <v>20776</v>
      </c>
      <c r="G50" s="11">
        <f t="shared" si="18"/>
        <v>2.6449193258867531E-2</v>
      </c>
      <c r="H50" s="11"/>
      <c r="I50" s="4">
        <f>Ene!I50+Feb!I50+Mar!I50+Abr!I50</f>
        <v>26652</v>
      </c>
      <c r="J50" s="11">
        <f t="shared" si="19"/>
        <v>2.8079505922065991E-2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</row>
    <row r="51" spans="2:24" hidden="1" outlineLevel="1" x14ac:dyDescent="0.25">
      <c r="B51" s="28" t="s">
        <v>31</v>
      </c>
      <c r="C51" s="1">
        <f>Ene!C51+Feb!C51+Mar!C51+Abr!C51</f>
        <v>0</v>
      </c>
      <c r="D51" s="11">
        <f t="shared" si="17"/>
        <v>0</v>
      </c>
      <c r="E51" s="11"/>
      <c r="F51" s="4">
        <f>Ene!F51+Feb!F51+Mar!F51+Abr!F51</f>
        <v>1172</v>
      </c>
      <c r="G51" s="11">
        <f t="shared" si="18"/>
        <v>1.4920318877258735E-3</v>
      </c>
      <c r="H51" s="11"/>
      <c r="I51" s="4">
        <f>Ene!I51+Feb!I51+Mar!I51+Abr!I51</f>
        <v>0</v>
      </c>
      <c r="J51" s="11">
        <f t="shared" si="19"/>
        <v>0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</row>
    <row r="52" spans="2:24" hidden="1" outlineLevel="1" x14ac:dyDescent="0.25">
      <c r="B52" s="28" t="s">
        <v>32</v>
      </c>
      <c r="C52" s="1">
        <f>Ene!C52+Feb!C52+Mar!C52+Abr!C52</f>
        <v>2917</v>
      </c>
      <c r="D52" s="11">
        <f t="shared" si="17"/>
        <v>4.4869743917896211E-3</v>
      </c>
      <c r="E52" s="11"/>
      <c r="F52" s="4">
        <f>Ene!F52+Feb!F52+Mar!F52+Abr!F52</f>
        <v>2094</v>
      </c>
      <c r="G52" s="11">
        <f t="shared" si="18"/>
        <v>2.6657975877969107E-3</v>
      </c>
      <c r="H52" s="11"/>
      <c r="I52" s="4">
        <f>Ene!I52+Feb!I52+Mar!I52+Abr!I52</f>
        <v>2563</v>
      </c>
      <c r="J52" s="11">
        <f t="shared" si="19"/>
        <v>2.7002766651003729E-3</v>
      </c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</row>
    <row r="53" spans="2:24" hidden="1" outlineLevel="1" x14ac:dyDescent="0.25">
      <c r="B53" s="28" t="s">
        <v>33</v>
      </c>
      <c r="C53" s="1">
        <f>Ene!C53+Feb!C53+Mar!C53+Abr!C53</f>
        <v>24376</v>
      </c>
      <c r="D53" s="11">
        <f t="shared" si="17"/>
        <v>3.7495539175270418E-2</v>
      </c>
      <c r="E53" s="11"/>
      <c r="F53" s="4">
        <f>Ene!F53+Feb!F53+Mar!F53+Abr!F53</f>
        <v>28443</v>
      </c>
      <c r="G53" s="11">
        <f t="shared" si="18"/>
        <v>3.6209780701866055E-2</v>
      </c>
      <c r="H53" s="11"/>
      <c r="I53" s="4">
        <f>Ene!I53+Feb!I53+Mar!I53+Abr!I53</f>
        <v>37475</v>
      </c>
      <c r="J53" s="11">
        <f t="shared" si="19"/>
        <v>3.9482195873833968E-2</v>
      </c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</row>
    <row r="54" spans="2:24" hidden="1" outlineLevel="1" x14ac:dyDescent="0.25">
      <c r="B54" s="28" t="s">
        <v>20</v>
      </c>
      <c r="C54" s="1">
        <f>Ene!C54+Feb!C54+Mar!C54+Abr!C54</f>
        <v>5729</v>
      </c>
      <c r="D54" s="11">
        <f t="shared" si="17"/>
        <v>8.8124361640599044E-3</v>
      </c>
      <c r="E54" s="11"/>
      <c r="F54" s="4">
        <f>Ene!F54+Feb!F54+Mar!F54+Abr!F54</f>
        <v>5668</v>
      </c>
      <c r="G54" s="11">
        <f t="shared" si="18"/>
        <v>7.2157310065104532E-3</v>
      </c>
      <c r="H54" s="11"/>
      <c r="I54" s="4">
        <f>Ene!I54+Feb!I54+Mar!I54+Abr!I54</f>
        <v>5668</v>
      </c>
      <c r="J54" s="11">
        <f t="shared" si="19"/>
        <v>5.9715833545801456E-3</v>
      </c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</row>
    <row r="55" spans="2:24" hidden="1" outlineLevel="1" x14ac:dyDescent="0.25">
      <c r="B55" s="28" t="s">
        <v>26</v>
      </c>
      <c r="C55" s="1">
        <f>Ene!C55+Feb!C55+Mar!C55+Abr!C55</f>
        <v>55674</v>
      </c>
      <c r="D55" s="11">
        <f t="shared" si="17"/>
        <v>8.5638605515425223E-2</v>
      </c>
      <c r="E55" s="11"/>
      <c r="F55" s="4">
        <f>Ene!F55+Feb!F55+Mar!F55+Abr!F55</f>
        <v>57663</v>
      </c>
      <c r="G55" s="11">
        <f t="shared" si="18"/>
        <v>7.3408732714963343E-2</v>
      </c>
      <c r="H55" s="11"/>
      <c r="I55" s="4">
        <f>Ene!I55+Feb!I55+Mar!I55+Abr!I55</f>
        <v>89141</v>
      </c>
      <c r="J55" s="11">
        <f t="shared" si="19"/>
        <v>9.3915474913660688E-2</v>
      </c>
      <c r="K55" s="66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</row>
    <row r="56" spans="2:24" collapsed="1" x14ac:dyDescent="0.25">
      <c r="B56" s="48" t="s">
        <v>34</v>
      </c>
      <c r="C56" s="31">
        <f>SUM(C48:C55)</f>
        <v>88894</v>
      </c>
      <c r="D56" s="32">
        <f t="shared" si="17"/>
        <v>0.13673812190049592</v>
      </c>
      <c r="E56" s="32">
        <f>F56/C56-1</f>
        <v>0.34847121290525784</v>
      </c>
      <c r="F56" s="31">
        <f>SUM(F48:F55)</f>
        <v>119871</v>
      </c>
      <c r="G56" s="32">
        <f t="shared" si="18"/>
        <v>0.15260354472149162</v>
      </c>
      <c r="H56" s="32">
        <f>I56/F56-1</f>
        <v>0.35951147483544821</v>
      </c>
      <c r="I56" s="31">
        <f>SUM(I48:I55)</f>
        <v>162966</v>
      </c>
      <c r="J56" s="32">
        <f t="shared" si="19"/>
        <v>0.17169461061441565</v>
      </c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</row>
    <row r="57" spans="2:24" x14ac:dyDescent="0.25">
      <c r="B57" s="24" t="s">
        <v>59</v>
      </c>
      <c r="C57" s="25">
        <f>SUM(C58:C62)</f>
        <v>683297</v>
      </c>
      <c r="D57" s="26">
        <f>C57/$C$5</f>
        <v>4.408113208946967E-2</v>
      </c>
      <c r="E57" s="26">
        <f>F57/C57-1</f>
        <v>8.2145831168584094E-2</v>
      </c>
      <c r="F57" s="25">
        <f>SUM(F58:F62)</f>
        <v>739427</v>
      </c>
      <c r="G57" s="26">
        <f>F57/$F$5</f>
        <v>4.3229938392863827E-2</v>
      </c>
      <c r="H57" s="26">
        <f t="shared" ref="H57:H64" si="20">I57/F57-1</f>
        <v>0.1792171505774065</v>
      </c>
      <c r="I57" s="25">
        <f>SUM(I58:I62)</f>
        <v>871945</v>
      </c>
      <c r="J57" s="26">
        <f>I57/$I$5</f>
        <v>4.579409100269493E-2</v>
      </c>
      <c r="K57" s="71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</row>
    <row r="58" spans="2:24" x14ac:dyDescent="0.25">
      <c r="B58" s="28" t="s">
        <v>17</v>
      </c>
      <c r="C58" s="1">
        <f>Ene!C58+Feb!C58+Mar!C58+Abr!C58</f>
        <v>154482</v>
      </c>
      <c r="D58" s="11">
        <f>C58/$C$57</f>
        <v>0.22608324052352052</v>
      </c>
      <c r="E58" s="11">
        <f>F58/C58-1</f>
        <v>4.129930995196851E-2</v>
      </c>
      <c r="F58" s="4">
        <f>Ene!F58+Feb!F58+Mar!F58+Abr!F58</f>
        <v>160862</v>
      </c>
      <c r="G58" s="11">
        <f>F58/$F$57</f>
        <v>0.21754953497775981</v>
      </c>
      <c r="H58" s="11">
        <f>I58/F58-1</f>
        <v>0.30109659211000728</v>
      </c>
      <c r="I58" s="4">
        <f>Ene!I58+Feb!I58+Mar!I58+Abr!I58</f>
        <v>209297</v>
      </c>
      <c r="J58" s="11">
        <f>I58/$I$57</f>
        <v>0.24003463521208332</v>
      </c>
      <c r="K58" s="66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</row>
    <row r="59" spans="2:24" x14ac:dyDescent="0.25">
      <c r="B59" s="28" t="s">
        <v>35</v>
      </c>
      <c r="C59" s="1">
        <f>Ene!C59+Feb!C59+Mar!C59+Abr!C59</f>
        <v>9370</v>
      </c>
      <c r="D59" s="11">
        <f>C59/$C$57</f>
        <v>1.3712924248167342E-2</v>
      </c>
      <c r="E59" s="11">
        <f t="shared" ref="E59:E62" si="21">F59/C59-1</f>
        <v>-0.14866595517609393</v>
      </c>
      <c r="F59" s="4">
        <f>Ene!F59+Feb!F59+Mar!F59+Abr!F59</f>
        <v>7977</v>
      </c>
      <c r="G59" s="11">
        <f>F59/$F$57</f>
        <v>1.0788083204968171E-2</v>
      </c>
      <c r="H59" s="11">
        <f t="shared" ref="H59:H62" si="22">I59/F59-1</f>
        <v>0.1493042497179391</v>
      </c>
      <c r="I59" s="4">
        <f>Ene!I59+Feb!I59+Mar!I59+Abr!I59</f>
        <v>9168</v>
      </c>
      <c r="J59" s="11">
        <f>I59/$I$57</f>
        <v>1.0514424648343646E-2</v>
      </c>
      <c r="K59" s="66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</row>
    <row r="60" spans="2:24" x14ac:dyDescent="0.25">
      <c r="B60" s="28" t="s">
        <v>36</v>
      </c>
      <c r="C60" s="1">
        <f>Ene!C60+Feb!C60+Mar!C60+Abr!C60</f>
        <v>500176</v>
      </c>
      <c r="D60" s="11">
        <f>C60/$C$57</f>
        <v>0.73200379922639791</v>
      </c>
      <c r="E60" s="11">
        <f t="shared" si="21"/>
        <v>0.13151370717507427</v>
      </c>
      <c r="F60" s="4">
        <f>Ene!F60+Feb!F60+Mar!F60+Abr!F60</f>
        <v>565956</v>
      </c>
      <c r="G60" s="11">
        <f>F60/$F$57</f>
        <v>0.76539807175015251</v>
      </c>
      <c r="H60" s="11">
        <f t="shared" si="22"/>
        <v>0.14945154747012146</v>
      </c>
      <c r="I60" s="4">
        <f>Ene!I60+Feb!I60+Mar!I60+Abr!I60</f>
        <v>650539</v>
      </c>
      <c r="J60" s="11">
        <f>I60/$I$57</f>
        <v>0.74607802097609366</v>
      </c>
      <c r="K60" s="71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</row>
    <row r="61" spans="2:24" x14ac:dyDescent="0.25">
      <c r="B61" s="28" t="s">
        <v>37</v>
      </c>
      <c r="C61" s="1">
        <f>Ene!C61+Feb!C61+Mar!C61+Abr!C61</f>
        <v>14798</v>
      </c>
      <c r="D61" s="11">
        <f t="shared" ref="D61:D62" si="23">C61/$C$57</f>
        <v>2.1656761261940268E-2</v>
      </c>
      <c r="E61" s="11">
        <f t="shared" si="21"/>
        <v>-1</v>
      </c>
      <c r="F61" s="4">
        <f>Ene!F61+Feb!F61+Mar!F61+Abr!F61</f>
        <v>0</v>
      </c>
      <c r="G61" s="11">
        <f t="shared" ref="G61:G62" si="24">F61/$F$57</f>
        <v>0</v>
      </c>
      <c r="H61" s="11">
        <v>0</v>
      </c>
      <c r="I61" s="4">
        <f>Ene!I61+Feb!I61+Mar!I61+Abr!I61</f>
        <v>0</v>
      </c>
      <c r="J61" s="11">
        <f>I61/$I$57</f>
        <v>0</v>
      </c>
      <c r="K61" s="66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</row>
    <row r="62" spans="2:24" x14ac:dyDescent="0.25">
      <c r="B62" s="28" t="s">
        <v>26</v>
      </c>
      <c r="C62" s="1">
        <f>Ene!C62+Feb!C62+Mar!C62+Abr!C62</f>
        <v>4471</v>
      </c>
      <c r="D62" s="11">
        <f t="shared" si="23"/>
        <v>6.5432747399739788E-3</v>
      </c>
      <c r="E62" s="11">
        <f t="shared" si="21"/>
        <v>3.6009841198836989E-2</v>
      </c>
      <c r="F62" s="4">
        <f>Ene!F62+Feb!F62+Mar!F62+Abr!F62</f>
        <v>4632</v>
      </c>
      <c r="G62" s="11">
        <f t="shared" si="24"/>
        <v>6.2643100671195395E-3</v>
      </c>
      <c r="H62" s="11">
        <f t="shared" si="22"/>
        <v>-0.36506908462867016</v>
      </c>
      <c r="I62" s="4">
        <f>Ene!I62+Feb!I62+Mar!I62+Abr!I62</f>
        <v>2941</v>
      </c>
      <c r="J62" s="11">
        <f>I62/$I$57</f>
        <v>3.3729191634793479E-3</v>
      </c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</row>
    <row r="63" spans="2:24" x14ac:dyDescent="0.25">
      <c r="B63" s="56" t="s">
        <v>38</v>
      </c>
      <c r="C63" s="40">
        <f>C32-C33-C45-C57</f>
        <v>3635176</v>
      </c>
      <c r="D63" s="41">
        <f>C63/$C$5</f>
        <v>0.2345139425820251</v>
      </c>
      <c r="E63" s="41">
        <f>F63/C63-1</f>
        <v>6.879721917178161E-2</v>
      </c>
      <c r="F63" s="40">
        <f>F32-F33-F45-F57</f>
        <v>3885266</v>
      </c>
      <c r="G63" s="41">
        <f>F63/$F$5</f>
        <v>0.22714860266109901</v>
      </c>
      <c r="H63" s="41">
        <f t="shared" si="20"/>
        <v>-0.24859610641845376</v>
      </c>
      <c r="I63" s="40">
        <f>I32-I33-I45-I57</f>
        <v>2919404</v>
      </c>
      <c r="J63" s="41">
        <f>I63/$I$5</f>
        <v>0.15332555660005115</v>
      </c>
      <c r="K63" s="66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</row>
    <row r="64" spans="2:24" x14ac:dyDescent="0.25">
      <c r="B64" s="24" t="s">
        <v>39</v>
      </c>
      <c r="C64" s="25">
        <f>SUM(C65:C70)</f>
        <v>493511</v>
      </c>
      <c r="D64" s="26">
        <f>C64/$C$5</f>
        <v>3.1837580991291151E-2</v>
      </c>
      <c r="E64" s="26">
        <f>F64/C64-1</f>
        <v>-9.7999841948811728E-2</v>
      </c>
      <c r="F64" s="25">
        <f>SUM(F65:F70)</f>
        <v>445147</v>
      </c>
      <c r="G64" s="26">
        <f>F64/$F$5</f>
        <v>2.602512132471245E-2</v>
      </c>
      <c r="H64" s="26">
        <f t="shared" si="20"/>
        <v>-0.4151078183161967</v>
      </c>
      <c r="I64" s="25">
        <f>SUM(I65:I70)</f>
        <v>260363</v>
      </c>
      <c r="J64" s="26">
        <f>I64/$I$5</f>
        <v>1.3674127285246959E-2</v>
      </c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</row>
    <row r="65" spans="2:24" hidden="1" outlineLevel="1" x14ac:dyDescent="0.25">
      <c r="B65" s="28" t="s">
        <v>40</v>
      </c>
      <c r="C65" s="1">
        <f>Ene!C65+Feb!C65+Mar!C65+Abr!C65</f>
        <v>336927</v>
      </c>
      <c r="D65" s="21"/>
      <c r="E65" s="21"/>
      <c r="F65" s="4">
        <f>Ene!F65+Feb!F65+Mar!F65+Abr!F65</f>
        <v>172939</v>
      </c>
      <c r="G65" s="21"/>
      <c r="H65" s="21"/>
      <c r="I65" s="4">
        <f>Ene!I65+Feb!I65+Mar!I65+Abr!I65</f>
        <v>84705</v>
      </c>
      <c r="J65" s="2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</row>
    <row r="66" spans="2:24" hidden="1" outlineLevel="1" x14ac:dyDescent="0.25">
      <c r="B66" s="28" t="s">
        <v>41</v>
      </c>
      <c r="C66" s="1">
        <f>Ene!C66+Feb!C66+Mar!C66+Abr!C66</f>
        <v>9211</v>
      </c>
      <c r="D66" s="21"/>
      <c r="E66" s="21"/>
      <c r="F66" s="4">
        <f>Ene!F66+Feb!F66+Mar!F66+Abr!F66</f>
        <v>62714</v>
      </c>
      <c r="G66" s="21"/>
      <c r="H66" s="21"/>
      <c r="I66" s="4">
        <f>Ene!I66+Feb!I66+Mar!I66+Abr!I66</f>
        <v>19214</v>
      </c>
      <c r="J66" s="2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</row>
    <row r="67" spans="2:24" hidden="1" outlineLevel="1" x14ac:dyDescent="0.25">
      <c r="B67" s="28" t="s">
        <v>80</v>
      </c>
      <c r="C67" s="1">
        <f>Ene!C67+Feb!C67+Mar!C67+Abr!C67</f>
        <v>128810</v>
      </c>
      <c r="D67" s="21"/>
      <c r="E67" s="21"/>
      <c r="F67" s="4">
        <f>Ene!F67+Feb!F67+Mar!F67+Abr!F67</f>
        <v>116732</v>
      </c>
      <c r="G67" s="21"/>
      <c r="H67" s="21"/>
      <c r="I67" s="4">
        <f>Ene!I67+Feb!I67+Mar!I67+Abr!I67</f>
        <v>154667</v>
      </c>
      <c r="J67" s="2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</row>
    <row r="68" spans="2:24" hidden="1" outlineLevel="1" x14ac:dyDescent="0.25">
      <c r="B68" s="28" t="s">
        <v>42</v>
      </c>
      <c r="C68" s="1">
        <f>Ene!C68+Feb!C68+Mar!C68+Abr!C68</f>
        <v>12022</v>
      </c>
      <c r="D68" s="21"/>
      <c r="E68" s="21"/>
      <c r="F68" s="4">
        <f>Ene!F68+Feb!F68+Mar!F68+Abr!F68</f>
        <v>0</v>
      </c>
      <c r="G68" s="21"/>
      <c r="H68" s="21"/>
      <c r="I68" s="4">
        <f>Ene!I68+Feb!I68+Mar!I68+Abr!I68</f>
        <v>0</v>
      </c>
      <c r="J68" s="2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</row>
    <row r="69" spans="2:24" hidden="1" outlineLevel="1" x14ac:dyDescent="0.25">
      <c r="B69" s="28" t="s">
        <v>81</v>
      </c>
      <c r="C69" s="1">
        <f>Ene!C69+Feb!C69+Mar!C69+Abr!C69</f>
        <v>0</v>
      </c>
      <c r="D69" s="21"/>
      <c r="E69" s="21"/>
      <c r="F69" s="4">
        <f>Ene!F69+Feb!F69+Mar!F69+Abr!F69</f>
        <v>88135</v>
      </c>
      <c r="G69" s="21"/>
      <c r="H69" s="21"/>
      <c r="I69" s="4">
        <f>Ene!I69+Feb!I69+Mar!I69+Abr!I69</f>
        <v>300</v>
      </c>
      <c r="J69" s="2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</row>
    <row r="70" spans="2:24" hidden="1" outlineLevel="1" x14ac:dyDescent="0.25">
      <c r="B70" s="28" t="s">
        <v>26</v>
      </c>
      <c r="C70" s="1">
        <f>Ene!C70+Feb!C70+Mar!C70+Abr!C70</f>
        <v>6541</v>
      </c>
      <c r="D70" s="21"/>
      <c r="E70" s="21"/>
      <c r="F70" s="4">
        <f>Ene!F70+Feb!F70+Mar!F70+Abr!F70</f>
        <v>4627</v>
      </c>
      <c r="G70" s="21"/>
      <c r="H70" s="21"/>
      <c r="I70" s="4">
        <f>Ene!I70+Feb!I70+Mar!I70+Abr!I70</f>
        <v>1477</v>
      </c>
      <c r="J70" s="2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</row>
    <row r="71" spans="2:24" collapsed="1" x14ac:dyDescent="0.25">
      <c r="B71" s="24" t="s">
        <v>43</v>
      </c>
      <c r="C71" s="25">
        <f>SUM(C72:C78)</f>
        <v>160264</v>
      </c>
      <c r="D71" s="26">
        <f>C71/$C$5</f>
        <v>1.0339015908436255E-2</v>
      </c>
      <c r="E71" s="26">
        <f>F71/C71-1</f>
        <v>1.2961925323216694</v>
      </c>
      <c r="F71" s="25">
        <f>SUM(F72:F78)</f>
        <v>367997</v>
      </c>
      <c r="G71" s="26">
        <f>F71/$F$5</f>
        <v>2.1514615558748475E-2</v>
      </c>
      <c r="H71" s="26">
        <f>I71/F71-1</f>
        <v>0.41891374114462887</v>
      </c>
      <c r="I71" s="25">
        <f>SUM(I72:I78)</f>
        <v>522156</v>
      </c>
      <c r="J71" s="26">
        <f>I71/$I$5</f>
        <v>2.7423357415436955E-2</v>
      </c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</row>
    <row r="72" spans="2:24" hidden="1" outlineLevel="1" x14ac:dyDescent="0.25">
      <c r="B72" s="28" t="s">
        <v>44</v>
      </c>
      <c r="C72" s="1">
        <f>Ene!C72+Feb!C72+Mar!C72+Abr!C72</f>
        <v>3952</v>
      </c>
      <c r="D72" s="10"/>
      <c r="E72" s="10"/>
      <c r="F72" s="4">
        <f>Ene!F72+Feb!F72+Mar!F72+Abr!F72</f>
        <v>3880</v>
      </c>
      <c r="G72" s="10"/>
      <c r="H72" s="10"/>
      <c r="I72" s="4">
        <f>Ene!I72+Feb!I72+Mar!I72+Abr!I72</f>
        <v>5009</v>
      </c>
      <c r="J72" s="10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</row>
    <row r="73" spans="2:24" hidden="1" outlineLevel="1" x14ac:dyDescent="0.25">
      <c r="B73" s="28" t="s">
        <v>82</v>
      </c>
      <c r="C73" s="1">
        <f>Ene!C73+Feb!C73+Mar!C73+Abr!C73</f>
        <v>0</v>
      </c>
      <c r="D73" s="10"/>
      <c r="E73" s="10"/>
      <c r="F73" s="4">
        <f>Ene!F73+Feb!F73+Mar!F73+Abr!F73</f>
        <v>147280</v>
      </c>
      <c r="G73" s="10"/>
      <c r="H73" s="10"/>
      <c r="I73" s="4">
        <f>Ene!I73+Feb!I73+Mar!I73+Abr!I73</f>
        <v>69541</v>
      </c>
      <c r="J73" s="10"/>
      <c r="K73" s="66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</row>
    <row r="74" spans="2:24" hidden="1" outlineLevel="1" x14ac:dyDescent="0.25">
      <c r="B74" s="28" t="s">
        <v>41</v>
      </c>
      <c r="C74" s="1">
        <f>Ene!C74+Feb!C74+Mar!C74+Abr!C74</f>
        <v>16911</v>
      </c>
      <c r="D74" s="10"/>
      <c r="E74" s="10"/>
      <c r="F74" s="4">
        <f>Ene!F74+Feb!F74+Mar!F74+Abr!F74</f>
        <v>9075</v>
      </c>
      <c r="G74" s="10"/>
      <c r="H74" s="10"/>
      <c r="I74" s="4">
        <f>Ene!I74+Feb!I74+Mar!I74+Abr!I74</f>
        <v>34197</v>
      </c>
      <c r="J74" s="10"/>
      <c r="K74" s="66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</row>
    <row r="75" spans="2:24" hidden="1" outlineLevel="1" x14ac:dyDescent="0.25">
      <c r="B75" s="28" t="s">
        <v>45</v>
      </c>
      <c r="C75" s="1">
        <f>Ene!C75+Feb!C75+Mar!C75+Abr!C75</f>
        <v>0</v>
      </c>
      <c r="D75" s="10"/>
      <c r="E75" s="10"/>
      <c r="F75" s="4">
        <f>Ene!F75+Feb!F75+Mar!F75+Abr!F75</f>
        <v>0</v>
      </c>
      <c r="G75" s="10"/>
      <c r="H75" s="10"/>
      <c r="I75" s="4">
        <f>Ene!I75+Feb!I75+Mar!I75+Abr!I75</f>
        <v>0</v>
      </c>
      <c r="J75" s="10"/>
      <c r="K75" s="66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</row>
    <row r="76" spans="2:24" hidden="1" outlineLevel="1" x14ac:dyDescent="0.25">
      <c r="B76" s="28" t="s">
        <v>46</v>
      </c>
      <c r="C76" s="1">
        <f>Ene!C76+Feb!C76+Mar!C76+Abr!C76</f>
        <v>70083</v>
      </c>
      <c r="D76" s="10"/>
      <c r="E76" s="10"/>
      <c r="F76" s="4">
        <f>Ene!F76+Feb!F76+Mar!F76+Abr!F76</f>
        <v>63124</v>
      </c>
      <c r="G76" s="10"/>
      <c r="H76" s="10"/>
      <c r="I76" s="4">
        <f>Ene!I76+Feb!I76+Mar!I76+Abr!I76</f>
        <v>109690</v>
      </c>
      <c r="J76" s="10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</row>
    <row r="77" spans="2:24" hidden="1" outlineLevel="1" x14ac:dyDescent="0.25">
      <c r="B77" s="28" t="s">
        <v>63</v>
      </c>
      <c r="C77" s="1">
        <f>Ene!C77+Feb!C77+Mar!C77+Abr!C77</f>
        <v>65824</v>
      </c>
      <c r="D77" s="10"/>
      <c r="E77" s="10"/>
      <c r="F77" s="4">
        <f>Ene!F77+Feb!F77+Mar!F77+Abr!F77</f>
        <v>143781</v>
      </c>
      <c r="G77" s="10"/>
      <c r="H77" s="10"/>
      <c r="I77" s="4">
        <f>Ene!I77+Feb!I77+Mar!I77+Abr!I77</f>
        <v>118928</v>
      </c>
      <c r="J77" s="10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</row>
    <row r="78" spans="2:24" hidden="1" outlineLevel="1" x14ac:dyDescent="0.25">
      <c r="B78" s="28" t="s">
        <v>47</v>
      </c>
      <c r="C78" s="1">
        <f>Ene!C78+Feb!C78+Mar!C78+Abr!C78</f>
        <v>3494</v>
      </c>
      <c r="D78" s="10"/>
      <c r="E78" s="10"/>
      <c r="F78" s="4">
        <f>Ene!F78+Feb!F78+Mar!F78+Abr!F78</f>
        <v>857</v>
      </c>
      <c r="G78" s="10"/>
      <c r="H78" s="10"/>
      <c r="I78" s="4">
        <f>Ene!I78+Feb!I78+Mar!I78+Abr!I78</f>
        <v>184791</v>
      </c>
      <c r="J78" s="10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</row>
    <row r="79" spans="2:24" collapsed="1" x14ac:dyDescent="0.25">
      <c r="B79" s="56" t="s">
        <v>48</v>
      </c>
      <c r="C79" s="40">
        <f>C63-C71+C64</f>
        <v>3968423</v>
      </c>
      <c r="D79" s="41">
        <f>C79/C5</f>
        <v>0.25601250766487998</v>
      </c>
      <c r="E79" s="41">
        <f>F79/C79-1</f>
        <v>-1.5136995224551697E-3</v>
      </c>
      <c r="F79" s="40">
        <f>F63-F71+F64</f>
        <v>3962416</v>
      </c>
      <c r="G79" s="41">
        <f>F79/F5</f>
        <v>0.231659108427063</v>
      </c>
      <c r="H79" s="41">
        <f>I79/F79-1</f>
        <v>-0.32929530872074009</v>
      </c>
      <c r="I79" s="40">
        <f>I63-I71+I64</f>
        <v>2657611</v>
      </c>
      <c r="J79" s="41">
        <f>I79/$I$5</f>
        <v>0.13957632646986115</v>
      </c>
      <c r="K79" s="73"/>
      <c r="L79" s="74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</row>
    <row r="80" spans="2:24" x14ac:dyDescent="0.25">
      <c r="B80" s="24" t="s">
        <v>49</v>
      </c>
      <c r="C80" s="25">
        <f>SUM(C81:C90)</f>
        <v>215570</v>
      </c>
      <c r="D80" s="26">
        <f>C80/$C$5</f>
        <v>1.3906938921913864E-2</v>
      </c>
      <c r="E80" s="26">
        <f>F80/C80-1</f>
        <v>0.16338544324349402</v>
      </c>
      <c r="F80" s="25">
        <f>SUM(F81:F90)</f>
        <v>250791</v>
      </c>
      <c r="G80" s="26">
        <f>F80/$F$5</f>
        <v>1.4662271569045641E-2</v>
      </c>
      <c r="H80" s="26">
        <f>I80/F80-1</f>
        <v>3.1130463214389668</v>
      </c>
      <c r="I80" s="25">
        <f>SUM(I81:I90)</f>
        <v>1031515</v>
      </c>
      <c r="J80" s="26">
        <f>I80/$I$5</f>
        <v>5.4174623147841737E-2</v>
      </c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</row>
    <row r="81" spans="2:24" hidden="1" outlineLevel="1" x14ac:dyDescent="0.25">
      <c r="B81" s="28" t="s">
        <v>17</v>
      </c>
      <c r="C81" s="1">
        <f>Ene!C81+Feb!C81+Mar!C81+Abr!C81</f>
        <v>137288</v>
      </c>
      <c r="D81" s="10"/>
      <c r="E81" s="10"/>
      <c r="F81" s="4">
        <f>Ene!F81+Feb!F81+Mar!F81+Abr!F81</f>
        <v>164052</v>
      </c>
      <c r="G81" s="10"/>
      <c r="H81" s="10"/>
      <c r="I81" s="4">
        <f>Ene!I81+Feb!I81+Mar!I81+Abr!I81</f>
        <v>968142</v>
      </c>
      <c r="J81" s="10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</row>
    <row r="82" spans="2:24" hidden="1" outlineLevel="1" x14ac:dyDescent="0.25">
      <c r="B82" s="28" t="s">
        <v>50</v>
      </c>
      <c r="C82" s="1">
        <f>Ene!C82+Feb!C82+Mar!C82+Abr!C82</f>
        <v>9457</v>
      </c>
      <c r="D82" s="10"/>
      <c r="E82" s="10"/>
      <c r="F82" s="4">
        <f>Ene!F82+Feb!F82+Mar!F82+Abr!F82</f>
        <v>9347</v>
      </c>
      <c r="G82" s="10"/>
      <c r="H82" s="10"/>
      <c r="I82" s="4">
        <f>Ene!I82+Feb!I82+Mar!I82+Abr!I82</f>
        <v>7705</v>
      </c>
      <c r="J82" s="10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</row>
    <row r="83" spans="2:24" hidden="1" outlineLevel="1" x14ac:dyDescent="0.25">
      <c r="B83" s="28" t="s">
        <v>51</v>
      </c>
      <c r="C83" s="1">
        <f>Ene!C83+Feb!C83+Mar!C83+Abr!C83</f>
        <v>7200</v>
      </c>
      <c r="D83" s="10"/>
      <c r="E83" s="10"/>
      <c r="F83" s="4">
        <f>Ene!F83+Feb!F83+Mar!F83+Abr!F83</f>
        <v>7888</v>
      </c>
      <c r="G83" s="10"/>
      <c r="H83" s="10"/>
      <c r="I83" s="4">
        <f>Ene!I83+Feb!I83+Mar!I83+Abr!I83</f>
        <v>0</v>
      </c>
      <c r="J83" s="10"/>
      <c r="K83" s="66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</row>
    <row r="84" spans="2:24" hidden="1" outlineLevel="1" x14ac:dyDescent="0.25">
      <c r="B84" s="28" t="s">
        <v>52</v>
      </c>
      <c r="C84" s="1">
        <f>Ene!C84+Feb!C84+Mar!C84+Abr!C84</f>
        <v>21728</v>
      </c>
      <c r="D84" s="10"/>
      <c r="E84" s="10"/>
      <c r="F84" s="4">
        <f>Ene!F84+Feb!F84+Mar!F84+Abr!F84</f>
        <v>22639</v>
      </c>
      <c r="G84" s="10"/>
      <c r="H84" s="10"/>
      <c r="I84" s="4">
        <f>Ene!I84+Feb!I84+Mar!I84+Abr!I84</f>
        <v>26463</v>
      </c>
      <c r="J84" s="10"/>
      <c r="K84" s="66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</row>
    <row r="85" spans="2:24" hidden="1" outlineLevel="1" x14ac:dyDescent="0.25">
      <c r="B85" s="28" t="s">
        <v>84</v>
      </c>
      <c r="C85" s="1">
        <f>Ene!C85+Feb!C85+Mar!C85+Abr!C85</f>
        <v>22005</v>
      </c>
      <c r="D85" s="10"/>
      <c r="E85" s="10"/>
      <c r="F85" s="4">
        <f>Ene!F85+Feb!F85+Mar!F85+Abr!F85</f>
        <v>16660</v>
      </c>
      <c r="G85" s="10"/>
      <c r="H85" s="10"/>
      <c r="I85" s="4">
        <f>Ene!I85+Feb!I85+Mar!I85+Abr!I85</f>
        <v>1907</v>
      </c>
      <c r="J85" s="10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</row>
    <row r="86" spans="2:24" hidden="1" outlineLevel="1" x14ac:dyDescent="0.25">
      <c r="B86" s="28" t="s">
        <v>54</v>
      </c>
      <c r="C86" s="1">
        <f>Ene!C86+Feb!C86+Mar!C86+Abr!C86</f>
        <v>1462</v>
      </c>
      <c r="D86" s="10"/>
      <c r="E86" s="10"/>
      <c r="F86" s="4">
        <f>Ene!F86+Feb!F86+Mar!F86+Abr!F86</f>
        <v>1400</v>
      </c>
      <c r="G86" s="10"/>
      <c r="H86" s="10"/>
      <c r="I86" s="4">
        <f>Ene!I86+Feb!I86+Mar!I86+Abr!I86</f>
        <v>1211</v>
      </c>
      <c r="J86" s="10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</row>
    <row r="87" spans="2:24" hidden="1" outlineLevel="1" x14ac:dyDescent="0.25">
      <c r="B87" s="28" t="s">
        <v>83</v>
      </c>
      <c r="C87" s="1">
        <f>Ene!C87+Feb!C87+Mar!C87+Abr!C87</f>
        <v>2066</v>
      </c>
      <c r="D87" s="10"/>
      <c r="E87" s="10"/>
      <c r="F87" s="4">
        <f>Ene!F87+Feb!F87+Mar!F87+Abr!F87</f>
        <v>5946</v>
      </c>
      <c r="G87" s="10"/>
      <c r="H87" s="10"/>
      <c r="I87" s="4">
        <f>Ene!I87+Feb!I87+Mar!I87+Abr!I87</f>
        <v>0</v>
      </c>
      <c r="J87" s="10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</row>
    <row r="88" spans="2:24" hidden="1" outlineLevel="1" x14ac:dyDescent="0.25">
      <c r="B88" s="28" t="s">
        <v>55</v>
      </c>
      <c r="C88" s="1">
        <f>Ene!C88+Feb!C88+Mar!C88+Abr!C88</f>
        <v>0</v>
      </c>
      <c r="D88" s="10"/>
      <c r="E88" s="10"/>
      <c r="F88" s="4">
        <f>Ene!F88+Feb!F88+Mar!F88+Abr!F88</f>
        <v>0</v>
      </c>
      <c r="G88" s="10"/>
      <c r="H88" s="10"/>
      <c r="I88" s="4">
        <f>Ene!I88+Feb!I88+Mar!I88+Abr!I88</f>
        <v>0</v>
      </c>
      <c r="J88" s="10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</row>
    <row r="89" spans="2:24" hidden="1" outlineLevel="1" x14ac:dyDescent="0.25">
      <c r="B89" s="28" t="s">
        <v>56</v>
      </c>
      <c r="C89" s="1">
        <f>Ene!C89+Feb!C89+Mar!C89+Abr!C89</f>
        <v>14220</v>
      </c>
      <c r="D89" s="10"/>
      <c r="E89" s="10"/>
      <c r="F89" s="4">
        <f>Ene!F89+Feb!F89+Mar!F89+Abr!F89</f>
        <v>14220</v>
      </c>
      <c r="G89" s="10"/>
      <c r="H89" s="10"/>
      <c r="I89" s="4">
        <f>Ene!I89+Feb!I89+Mar!I89+Abr!I89</f>
        <v>14220</v>
      </c>
      <c r="J89" s="10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</row>
    <row r="90" spans="2:24" hidden="1" outlineLevel="1" x14ac:dyDescent="0.25">
      <c r="B90" s="28" t="s">
        <v>26</v>
      </c>
      <c r="C90" s="1">
        <f>Ene!C90+Feb!C90+Mar!C90+Abr!C90</f>
        <v>144</v>
      </c>
      <c r="D90" s="10"/>
      <c r="E90" s="10"/>
      <c r="F90" s="4">
        <f>Ene!F90+Feb!F90+Mar!F90+Abr!F90</f>
        <v>8639</v>
      </c>
      <c r="G90" s="10"/>
      <c r="H90" s="10"/>
      <c r="I90" s="4">
        <f>Ene!I90+Feb!I90+Mar!I90+Abr!I90</f>
        <v>11867</v>
      </c>
      <c r="J90" s="10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</row>
    <row r="91" spans="2:24" collapsed="1" x14ac:dyDescent="0.25">
      <c r="B91" s="56" t="s">
        <v>85</v>
      </c>
      <c r="C91" s="44">
        <f>C79-C80</f>
        <v>3752853</v>
      </c>
      <c r="D91" s="41">
        <f>C91/C5</f>
        <v>0.24210556874296613</v>
      </c>
      <c r="E91" s="41">
        <f>F91/C91-1</f>
        <v>-1.0985775355442873E-2</v>
      </c>
      <c r="F91" s="44">
        <f>F79-F80</f>
        <v>3711625</v>
      </c>
      <c r="G91" s="41">
        <f>F91/F5</f>
        <v>0.21699683685801735</v>
      </c>
      <c r="H91" s="41">
        <f>I91/F91-1</f>
        <v>-0.56189108544101307</v>
      </c>
      <c r="I91" s="44">
        <f>I79-I80</f>
        <v>1626096</v>
      </c>
      <c r="J91" s="41">
        <f>I91/$I$5</f>
        <v>8.540170332201942E-2</v>
      </c>
      <c r="K91" s="73"/>
      <c r="L91" s="74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</row>
    <row r="92" spans="2:24" x14ac:dyDescent="0.25">
      <c r="B92" s="61" t="s">
        <v>92</v>
      </c>
      <c r="C92" s="62">
        <f>C91</f>
        <v>3752853</v>
      </c>
      <c r="D92" s="63"/>
      <c r="E92" s="64"/>
      <c r="F92" s="62">
        <f>Ene!F92+Feb!F92+Mar!F92+Abr!F92</f>
        <v>3944352</v>
      </c>
      <c r="G92" s="63"/>
      <c r="H92" s="64"/>
      <c r="I92" s="62">
        <f>I91</f>
        <v>1626096</v>
      </c>
      <c r="J92" s="63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</row>
    <row r="93" spans="2:24" x14ac:dyDescent="0.25">
      <c r="C93" s="2"/>
      <c r="I93" s="2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</row>
    <row r="94" spans="2:24" x14ac:dyDescent="0.25">
      <c r="C94" s="2"/>
      <c r="D94" s="2"/>
      <c r="E94" s="2"/>
      <c r="F94" s="2"/>
      <c r="G94" s="2"/>
      <c r="H94" s="2"/>
      <c r="I94" s="2"/>
      <c r="J94" s="2"/>
    </row>
    <row r="95" spans="2:24" x14ac:dyDescent="0.25">
      <c r="C95" s="2"/>
      <c r="D95" s="2"/>
      <c r="E95" s="2"/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41D21EAA-1B24-431A-8FD8-DE50E5F8D708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44" orientation="portrait" horizontalDpi="4294967293" verticalDpi="72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23786-A7E2-4033-A8EE-2D5FCA2006F9}">
  <sheetPr codeName="Hoja2"/>
  <dimension ref="A1:V19"/>
  <sheetViews>
    <sheetView showGridLines="0" zoomScale="90" zoomScaleNormal="90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V1" sqref="V1"/>
    </sheetView>
  </sheetViews>
  <sheetFormatPr baseColWidth="10" defaultRowHeight="13.2" x14ac:dyDescent="0.25"/>
  <cols>
    <col min="1" max="1" width="6.6640625" bestFit="1" customWidth="1"/>
    <col min="2" max="2" width="13" bestFit="1" customWidth="1"/>
    <col min="3" max="3" width="13.109375" hidden="1" customWidth="1"/>
    <col min="4" max="4" width="12.33203125" hidden="1" customWidth="1"/>
    <col min="5" max="5" width="15.21875" bestFit="1" customWidth="1"/>
    <col min="6" max="6" width="15.88671875" bestFit="1" customWidth="1"/>
    <col min="7" max="7" width="13" hidden="1" customWidth="1"/>
    <col min="8" max="8" width="12.21875" hidden="1" customWidth="1"/>
    <col min="9" max="9" width="15.109375" bestFit="1" customWidth="1"/>
    <col min="10" max="10" width="15.77734375" bestFit="1" customWidth="1"/>
    <col min="11" max="11" width="13" hidden="1" customWidth="1"/>
    <col min="12" max="12" width="12.21875" hidden="1" customWidth="1"/>
    <col min="13" max="13" width="15.109375" bestFit="1" customWidth="1"/>
    <col min="14" max="14" width="15.77734375" bestFit="1" customWidth="1"/>
    <col min="15" max="16" width="15.77734375" hidden="1" customWidth="1"/>
    <col min="17" max="18" width="15.77734375" customWidth="1"/>
    <col min="19" max="19" width="13.88671875" hidden="1" customWidth="1"/>
    <col min="20" max="20" width="13" hidden="1" customWidth="1"/>
    <col min="21" max="21" width="14.5546875" bestFit="1" customWidth="1"/>
    <col min="22" max="22" width="12" bestFit="1" customWidth="1"/>
  </cols>
  <sheetData>
    <row r="1" spans="1:22" x14ac:dyDescent="0.25">
      <c r="A1" s="75" t="s">
        <v>93</v>
      </c>
      <c r="B1" s="75" t="s">
        <v>94</v>
      </c>
      <c r="C1" s="75" t="s">
        <v>97</v>
      </c>
      <c r="D1" s="75" t="s">
        <v>100</v>
      </c>
      <c r="E1" s="75" t="s">
        <v>103</v>
      </c>
      <c r="F1" s="75" t="s">
        <v>106</v>
      </c>
      <c r="G1" s="75" t="s">
        <v>98</v>
      </c>
      <c r="H1" s="75" t="s">
        <v>101</v>
      </c>
      <c r="I1" s="75" t="s">
        <v>104</v>
      </c>
      <c r="J1" s="75" t="s">
        <v>107</v>
      </c>
      <c r="K1" s="75" t="s">
        <v>99</v>
      </c>
      <c r="L1" s="75" t="s">
        <v>102</v>
      </c>
      <c r="M1" s="75" t="s">
        <v>105</v>
      </c>
      <c r="N1" s="75" t="s">
        <v>108</v>
      </c>
      <c r="O1" s="75" t="s">
        <v>123</v>
      </c>
      <c r="P1" s="75" t="s">
        <v>124</v>
      </c>
      <c r="Q1" s="75" t="s">
        <v>125</v>
      </c>
      <c r="R1" s="75" t="s">
        <v>126</v>
      </c>
      <c r="S1" s="75" t="s">
        <v>116</v>
      </c>
      <c r="T1" s="75" t="s">
        <v>119</v>
      </c>
      <c r="U1" s="75" t="s">
        <v>117</v>
      </c>
      <c r="V1" s="75" t="s">
        <v>118</v>
      </c>
    </row>
    <row r="2" spans="1:22" x14ac:dyDescent="0.25">
      <c r="A2" s="76">
        <v>2025</v>
      </c>
      <c r="B2" s="100" t="s">
        <v>69</v>
      </c>
      <c r="C2" s="77">
        <v>350319</v>
      </c>
      <c r="D2" s="77">
        <v>275025</v>
      </c>
      <c r="E2" s="77">
        <v>75294</v>
      </c>
      <c r="F2" s="78">
        <f>Tabla13[[#This Row],[Util bruta Ene]]/Tabla13[[#This Row],[Ventas Ene]]</f>
        <v>0.21492982110590633</v>
      </c>
      <c r="G2" s="77">
        <v>342553</v>
      </c>
      <c r="H2" s="77">
        <v>269855</v>
      </c>
      <c r="I2" s="77">
        <v>72698</v>
      </c>
      <c r="J2" s="79">
        <f>Tabla13[[#This Row],[Util bruta Feb]]/Tabla13[[#This Row],[Ventas Feb]]</f>
        <v>0.21222409378986609</v>
      </c>
      <c r="K2" s="77">
        <v>289597</v>
      </c>
      <c r="L2" s="77">
        <v>235271</v>
      </c>
      <c r="M2" s="77">
        <v>54326</v>
      </c>
      <c r="N2" s="79">
        <f>Tabla13[[#This Row],[Util bruta Mar]]/Tabla13[[#This Row],[Ventas Mar]]</f>
        <v>0.18759172228994084</v>
      </c>
      <c r="O2" s="77">
        <f>Abr!F10</f>
        <v>342461</v>
      </c>
      <c r="P2" s="77">
        <f>Abr!F28</f>
        <v>275368</v>
      </c>
      <c r="Q2" s="77">
        <f>Tabla13[[#This Row],[Ventas Abr]]-Tabla13[[#This Row],[Costo Abr]]</f>
        <v>67093</v>
      </c>
      <c r="R2" s="79">
        <f>Tabla13[[#This Row],[Util bruta Abr]]/Tabla13[[#This Row],[Ventas Abr]]</f>
        <v>0.19591427929019656</v>
      </c>
      <c r="S2" s="77">
        <f>Tabla13[[#This Row],[Ventas Ene]]+Tabla13[[#This Row],[Ventas Feb]]+Tabla13[[#This Row],[Ventas Mar]]+Tabla13[[#This Row],[Ventas Abr]]</f>
        <v>1324930</v>
      </c>
      <c r="T2" s="77">
        <f>Tabla13[[#This Row],[Costo Ene]]+Tabla13[[#This Row],[Costo Feb]]+Tabla13[[#This Row],[Costo Mar]]+Tabla13[[#This Row],[Costo Abr]]</f>
        <v>1055519</v>
      </c>
      <c r="U2" s="105">
        <f>Tabla13[[#This Row],[Total ventas]]-Tabla13[[#This Row],[Total costo]]</f>
        <v>269411</v>
      </c>
      <c r="V2" s="78">
        <f>Tabla13[[#This Row],[Total Margen]]/Tabla13[[#This Row],[Total ventas]]</f>
        <v>0.20333979908372518</v>
      </c>
    </row>
    <row r="3" spans="1:22" x14ac:dyDescent="0.25">
      <c r="A3" s="76">
        <v>2026</v>
      </c>
      <c r="B3" s="100" t="s">
        <v>69</v>
      </c>
      <c r="C3" s="77">
        <v>326175</v>
      </c>
      <c r="D3" s="77">
        <v>246908</v>
      </c>
      <c r="E3" s="77">
        <v>79267</v>
      </c>
      <c r="F3" s="78">
        <f>Tabla13[[#This Row],[Util bruta Ene]]/Tabla13[[#This Row],[Ventas Ene]]</f>
        <v>0.24301985130681383</v>
      </c>
      <c r="G3" s="77">
        <v>408091</v>
      </c>
      <c r="H3" s="77">
        <v>303817</v>
      </c>
      <c r="I3" s="77">
        <v>104274</v>
      </c>
      <c r="J3" s="79">
        <f>Tabla13[[#This Row],[Util bruta Feb]]/Tabla13[[#This Row],[Ventas Feb]]</f>
        <v>0.25551653920326595</v>
      </c>
      <c r="K3" s="77">
        <v>505010</v>
      </c>
      <c r="L3" s="77">
        <v>367741</v>
      </c>
      <c r="M3" s="77">
        <v>137269</v>
      </c>
      <c r="N3" s="79">
        <f>Tabla13[[#This Row],[Util bruta Mar]]/Tabla13[[#This Row],[Ventas Mar]]</f>
        <v>0.27181441951644519</v>
      </c>
      <c r="O3" s="77">
        <f>Abr!I10</f>
        <v>474093</v>
      </c>
      <c r="P3" s="77">
        <f>Abr!I28</f>
        <v>347208</v>
      </c>
      <c r="Q3" s="77">
        <f>Tabla13[[#This Row],[Ventas Abr]]-Tabla13[[#This Row],[Costo Abr]]</f>
        <v>126885</v>
      </c>
      <c r="R3" s="79">
        <f>Tabla13[[#This Row],[Util bruta Abr]]/Tabla13[[#This Row],[Ventas Abr]]</f>
        <v>0.26763736228967733</v>
      </c>
      <c r="S3" s="77">
        <f>Tabla13[[#This Row],[Ventas Ene]]+Tabla13[[#This Row],[Ventas Feb]]+Tabla13[[#This Row],[Ventas Mar]]+Tabla13[[#This Row],[Ventas Abr]]</f>
        <v>1713369</v>
      </c>
      <c r="T3" s="77">
        <f>Tabla13[[#This Row],[Costo Ene]]+Tabla13[[#This Row],[Costo Feb]]+Tabla13[[#This Row],[Costo Mar]]+Tabla13[[#This Row],[Costo Abr]]</f>
        <v>1265674</v>
      </c>
      <c r="U3" s="105">
        <f>Tabla13[[#This Row],[Total ventas]]-Tabla13[[#This Row],[Total costo]]</f>
        <v>447695</v>
      </c>
      <c r="V3" s="78">
        <f>Tabla13[[#This Row],[Total Margen]]/Tabla13[[#This Row],[Total ventas]]</f>
        <v>0.26129514424505168</v>
      </c>
    </row>
    <row r="4" spans="1:22" x14ac:dyDescent="0.25">
      <c r="A4" s="80">
        <v>2025</v>
      </c>
      <c r="B4" s="101" t="s">
        <v>95</v>
      </c>
      <c r="C4" s="81">
        <v>3495212</v>
      </c>
      <c r="D4" s="81">
        <v>2095756</v>
      </c>
      <c r="E4" s="81">
        <v>1399456</v>
      </c>
      <c r="F4" s="82">
        <f>Tabla13[[#This Row],[Util bruta Ene]]/Tabla13[[#This Row],[Ventas Ene]]</f>
        <v>0.40039230810606052</v>
      </c>
      <c r="G4" s="81">
        <v>3591492</v>
      </c>
      <c r="H4" s="81">
        <v>2146484</v>
      </c>
      <c r="I4" s="81">
        <v>1445008</v>
      </c>
      <c r="J4" s="83">
        <f>Tabla13[[#This Row],[Util bruta Feb]]/Tabla13[[#This Row],[Ventas Feb]]</f>
        <v>0.40234197932224269</v>
      </c>
      <c r="K4" s="81">
        <v>3471458</v>
      </c>
      <c r="L4" s="81">
        <v>2152011</v>
      </c>
      <c r="M4" s="81">
        <v>1319447</v>
      </c>
      <c r="N4" s="83">
        <f>Tabla13[[#This Row],[Util bruta Mar]]/Tabla13[[#This Row],[Ventas Mar]]</f>
        <v>0.38008439105413344</v>
      </c>
      <c r="O4" s="81">
        <f>Abr!F7</f>
        <v>2985483</v>
      </c>
      <c r="P4" s="81">
        <v>1877766</v>
      </c>
      <c r="Q4" s="81">
        <f>Tabla13[[#This Row],[Ventas Abr]]-Tabla13[[#This Row],[Costo Abr]]</f>
        <v>1107717</v>
      </c>
      <c r="R4" s="83">
        <f>Tabla13[[#This Row],[Util bruta Abr]]/Tabla13[[#This Row],[Ventas Abr]]</f>
        <v>0.3710344356340331</v>
      </c>
      <c r="S4" s="81">
        <f>Tabla13[[#This Row],[Ventas Ene]]+Tabla13[[#This Row],[Ventas Feb]]+Tabla13[[#This Row],[Ventas Mar]]+Tabla13[[#This Row],[Ventas Abr]]</f>
        <v>13543645</v>
      </c>
      <c r="T4" s="81">
        <f>Tabla13[[#This Row],[Costo Ene]]+Tabla13[[#This Row],[Costo Feb]]+Tabla13[[#This Row],[Costo Mar]]+Tabla13[[#This Row],[Costo Abr]]</f>
        <v>8272017</v>
      </c>
      <c r="U4" s="106">
        <f>Tabla13[[#This Row],[Total ventas]]-Tabla13[[#This Row],[Total costo]]</f>
        <v>5271628</v>
      </c>
      <c r="V4" s="82">
        <f>Tabla13[[#This Row],[Total Margen]]/Tabla13[[#This Row],[Total ventas]]</f>
        <v>0.38923258842062086</v>
      </c>
    </row>
    <row r="5" spans="1:22" x14ac:dyDescent="0.25">
      <c r="A5" s="80">
        <v>2026</v>
      </c>
      <c r="B5" s="101" t="s">
        <v>95</v>
      </c>
      <c r="C5" s="81">
        <v>2847244</v>
      </c>
      <c r="D5" s="81">
        <v>1780335</v>
      </c>
      <c r="E5" s="81">
        <v>1066909</v>
      </c>
      <c r="F5" s="82">
        <f>Tabla13[[#This Row],[Util bruta Ene]]/Tabla13[[#This Row],[Ventas Ene]]</f>
        <v>0.37471639241315463</v>
      </c>
      <c r="G5" s="81">
        <v>3607777</v>
      </c>
      <c r="H5" s="81">
        <v>2269735</v>
      </c>
      <c r="I5" s="81">
        <v>1338042</v>
      </c>
      <c r="J5" s="83">
        <f>Tabla13[[#This Row],[Util bruta Feb]]/Tabla13[[#This Row],[Ventas Feb]]</f>
        <v>0.37087713569879732</v>
      </c>
      <c r="K5" s="81">
        <v>3417229</v>
      </c>
      <c r="L5" s="81">
        <v>2255617</v>
      </c>
      <c r="M5" s="81">
        <v>1161612</v>
      </c>
      <c r="N5" s="83">
        <f>Tabla13[[#This Row],[Util bruta Mar]]/Tabla13[[#This Row],[Ventas Mar]]</f>
        <v>0.33992805281706318</v>
      </c>
      <c r="O5" s="81">
        <f>Abr!I7</f>
        <v>3297014</v>
      </c>
      <c r="P5" s="81">
        <v>2109991</v>
      </c>
      <c r="Q5" s="81">
        <f>Tabla13[[#This Row],[Ventas Abr]]-Tabla13[[#This Row],[Costo Abr]]</f>
        <v>1187023</v>
      </c>
      <c r="R5" s="83">
        <f>Tabla13[[#This Row],[Util bruta Abr]]/Tabla13[[#This Row],[Ventas Abr]]</f>
        <v>0.36002971173310155</v>
      </c>
      <c r="S5" s="81">
        <f>Tabla13[[#This Row],[Ventas Ene]]+Tabla13[[#This Row],[Ventas Feb]]+Tabla13[[#This Row],[Ventas Mar]]+Tabla13[[#This Row],[Ventas Abr]]</f>
        <v>13169264</v>
      </c>
      <c r="T5" s="81">
        <f>Tabla13[[#This Row],[Costo Ene]]+Tabla13[[#This Row],[Costo Feb]]+Tabla13[[#This Row],[Costo Mar]]+Tabla13[[#This Row],[Costo Abr]]</f>
        <v>8415678</v>
      </c>
      <c r="U5" s="106">
        <f>Tabla13[[#This Row],[Total ventas]]-Tabla13[[#This Row],[Total costo]]</f>
        <v>4753586</v>
      </c>
      <c r="V5" s="82">
        <f>Tabla13[[#This Row],[Total Margen]]/Tabla13[[#This Row],[Total ventas]]</f>
        <v>0.36096064290305063</v>
      </c>
    </row>
    <row r="6" spans="1:22" x14ac:dyDescent="0.25">
      <c r="A6" s="84">
        <v>2025</v>
      </c>
      <c r="B6" s="102" t="s">
        <v>96</v>
      </c>
      <c r="C6" s="85">
        <v>577803</v>
      </c>
      <c r="D6" s="85">
        <v>360313</v>
      </c>
      <c r="E6" s="85">
        <v>217490</v>
      </c>
      <c r="F6" s="86">
        <f>Tabla13[[#This Row],[Util bruta Ene]]/Tabla13[[#This Row],[Ventas Ene]]</f>
        <v>0.37640856831826763</v>
      </c>
      <c r="G6" s="85">
        <v>584350</v>
      </c>
      <c r="H6" s="85">
        <v>373745</v>
      </c>
      <c r="I6" s="85">
        <v>210605</v>
      </c>
      <c r="J6" s="87">
        <f>Tabla13[[#This Row],[Util bruta Feb]]/Tabla13[[#This Row],[Ventas Feb]]</f>
        <v>0.36040900145460769</v>
      </c>
      <c r="K6" s="85">
        <v>566580</v>
      </c>
      <c r="L6" s="85">
        <v>427945</v>
      </c>
      <c r="M6" s="85">
        <v>138635</v>
      </c>
      <c r="N6" s="87">
        <f>Tabla13[[#This Row],[Util bruta Mar]]/Tabla13[[#This Row],[Ventas Mar]]</f>
        <v>0.24468742278230787</v>
      </c>
      <c r="O6" s="85">
        <f>Abr!F8</f>
        <v>366832</v>
      </c>
      <c r="P6" s="85">
        <f>Abr!F26</f>
        <v>245807</v>
      </c>
      <c r="Q6" s="85">
        <f>Tabla13[[#This Row],[Ventas Abr]]-Tabla13[[#This Row],[Costo Abr]]</f>
        <v>121025</v>
      </c>
      <c r="R6" s="87">
        <f>Tabla13[[#This Row],[Util bruta Abr]]/Tabla13[[#This Row],[Ventas Abr]]</f>
        <v>0.32991941815326908</v>
      </c>
      <c r="S6" s="85">
        <f>Tabla13[[#This Row],[Ventas Ene]]+Tabla13[[#This Row],[Ventas Feb]]+Tabla13[[#This Row],[Ventas Mar]]+Tabla13[[#This Row],[Ventas Abr]]</f>
        <v>2095565</v>
      </c>
      <c r="T6" s="85">
        <f>Tabla13[[#This Row],[Costo Ene]]+Tabla13[[#This Row],[Costo Feb]]+Tabla13[[#This Row],[Costo Mar]]+Tabla13[[#This Row],[Costo Abr]]</f>
        <v>1407810</v>
      </c>
      <c r="U6" s="107">
        <f>Tabla13[[#This Row],[Total ventas]]-Tabla13[[#This Row],[Total costo]]</f>
        <v>687755</v>
      </c>
      <c r="V6" s="86">
        <f>Tabla13[[#This Row],[Total Margen]]/Tabla13[[#This Row],[Total ventas]]</f>
        <v>0.32819549858868613</v>
      </c>
    </row>
    <row r="7" spans="1:22" x14ac:dyDescent="0.25">
      <c r="A7" s="84">
        <v>2026</v>
      </c>
      <c r="B7" s="102" t="s">
        <v>96</v>
      </c>
      <c r="C7" s="85">
        <v>434229</v>
      </c>
      <c r="D7" s="85">
        <v>346593</v>
      </c>
      <c r="E7" s="85">
        <v>87636</v>
      </c>
      <c r="F7" s="86">
        <f>Tabla13[[#This Row],[Util bruta Ene]]/Tabla13[[#This Row],[Ventas Ene]]</f>
        <v>0.20181977712220972</v>
      </c>
      <c r="G7" s="85">
        <v>708846</v>
      </c>
      <c r="H7" s="85">
        <v>549631</v>
      </c>
      <c r="I7" s="85">
        <v>159215</v>
      </c>
      <c r="J7" s="87">
        <f>Tabla13[[#This Row],[Util bruta Feb]]/Tabla13[[#This Row],[Ventas Feb]]</f>
        <v>0.22461155173338074</v>
      </c>
      <c r="K7" s="85">
        <v>573216</v>
      </c>
      <c r="L7" s="85">
        <v>462564</v>
      </c>
      <c r="M7" s="85">
        <v>110652</v>
      </c>
      <c r="N7" s="87">
        <f>Tabla13[[#This Row],[Util bruta Mar]]/Tabla13[[#This Row],[Ventas Mar]]</f>
        <v>0.19303717970189249</v>
      </c>
      <c r="O7" s="85">
        <f>Abr!I8</f>
        <v>598792</v>
      </c>
      <c r="P7" s="85">
        <f>Abr!I26</f>
        <v>530784</v>
      </c>
      <c r="Q7" s="85">
        <f>Tabla13[[#This Row],[Ventas Abr]]-Tabla13[[#This Row],[Costo Abr]]</f>
        <v>68008</v>
      </c>
      <c r="R7" s="87">
        <f>Tabla13[[#This Row],[Util bruta Abr]]/Tabla13[[#This Row],[Ventas Abr]]</f>
        <v>0.11357533166775775</v>
      </c>
      <c r="S7" s="85">
        <f>Tabla13[[#This Row],[Ventas Ene]]+Tabla13[[#This Row],[Ventas Feb]]+Tabla13[[#This Row],[Ventas Mar]]+Tabla13[[#This Row],[Ventas Abr]]</f>
        <v>2315083</v>
      </c>
      <c r="T7" s="85">
        <f>Tabla13[[#This Row],[Costo Ene]]+Tabla13[[#This Row],[Costo Feb]]+Tabla13[[#This Row],[Costo Mar]]+Tabla13[[#This Row],[Costo Abr]]</f>
        <v>1889572</v>
      </c>
      <c r="U7" s="107">
        <f>Tabla13[[#This Row],[Total ventas]]-Tabla13[[#This Row],[Total costo]]</f>
        <v>425511</v>
      </c>
      <c r="V7" s="86">
        <f>Tabla13[[#This Row],[Total Margen]]/Tabla13[[#This Row],[Total ventas]]</f>
        <v>0.18379945773002523</v>
      </c>
    </row>
    <row r="8" spans="1:22" x14ac:dyDescent="0.25">
      <c r="A8" s="88">
        <v>2025</v>
      </c>
      <c r="B8" s="103" t="s">
        <v>71</v>
      </c>
      <c r="C8" s="89">
        <v>29160</v>
      </c>
      <c r="D8" s="89">
        <v>21825</v>
      </c>
      <c r="E8" s="89">
        <v>7335</v>
      </c>
      <c r="F8" s="90">
        <f>Tabla13[[#This Row],[Util bruta Ene]]/Tabla13[[#This Row],[Ventas Ene]]</f>
        <v>0.25154320987654322</v>
      </c>
      <c r="G8" s="89">
        <v>32400</v>
      </c>
      <c r="H8" s="89">
        <v>30000</v>
      </c>
      <c r="I8" s="89">
        <v>2400</v>
      </c>
      <c r="J8" s="91">
        <f>Tabla13[[#This Row],[Util bruta Feb]]/Tabla13[[#This Row],[Ventas Feb]]</f>
        <v>7.407407407407407E-2</v>
      </c>
      <c r="K8" s="89">
        <v>93960</v>
      </c>
      <c r="L8" s="89">
        <v>70325</v>
      </c>
      <c r="M8" s="89">
        <v>23635</v>
      </c>
      <c r="N8" s="91">
        <f>Tabla13[[#This Row],[Util bruta Mar]]/Tabla13[[#This Row],[Ventas Mar]]</f>
        <v>0.25154320987654322</v>
      </c>
      <c r="O8" s="89">
        <f>Abr!F12</f>
        <v>16200</v>
      </c>
      <c r="P8" s="89">
        <f>Abr!F30</f>
        <v>12125</v>
      </c>
      <c r="Q8" s="89">
        <f>Tabla13[[#This Row],[Ventas Abr]]-Tabla13[[#This Row],[Costo Abr]]</f>
        <v>4075</v>
      </c>
      <c r="R8" s="91">
        <f>Tabla13[[#This Row],[Util bruta Abr]]/Tabla13[[#This Row],[Ventas Abr]]</f>
        <v>0.25154320987654322</v>
      </c>
      <c r="S8" s="89">
        <f>Tabla13[[#This Row],[Ventas Ene]]+Tabla13[[#This Row],[Ventas Feb]]+Tabla13[[#This Row],[Ventas Mar]]+Tabla13[[#This Row],[Ventas Abr]]</f>
        <v>171720</v>
      </c>
      <c r="T8" s="89">
        <f>Tabla13[[#This Row],[Costo Ene]]+Tabla13[[#This Row],[Costo Feb]]+Tabla13[[#This Row],[Costo Mar]]+Tabla13[[#This Row],[Costo Abr]]</f>
        <v>134275</v>
      </c>
      <c r="U8" s="108">
        <f>Tabla13[[#This Row],[Total ventas]]-Tabla13[[#This Row],[Total costo]]</f>
        <v>37445</v>
      </c>
      <c r="V8" s="90">
        <f>Tabla13[[#This Row],[Total Margen]]/Tabla13[[#This Row],[Total ventas]]</f>
        <v>0.21805846727230374</v>
      </c>
    </row>
    <row r="9" spans="1:22" x14ac:dyDescent="0.25">
      <c r="A9" s="88">
        <v>2026</v>
      </c>
      <c r="B9" s="103" t="s">
        <v>71</v>
      </c>
      <c r="C9" s="89">
        <v>0</v>
      </c>
      <c r="D9" s="89">
        <v>0</v>
      </c>
      <c r="E9" s="89">
        <v>0</v>
      </c>
      <c r="F9" s="90">
        <v>0</v>
      </c>
      <c r="G9" s="89">
        <v>11170</v>
      </c>
      <c r="H9" s="89">
        <v>7520</v>
      </c>
      <c r="I9" s="89">
        <v>3650</v>
      </c>
      <c r="J9" s="91">
        <f>Tabla13[[#This Row],[Util bruta Feb]]/Tabla13[[#This Row],[Ventas Feb]]</f>
        <v>0.32676812891674129</v>
      </c>
      <c r="K9" s="89">
        <v>0</v>
      </c>
      <c r="L9" s="89">
        <v>0</v>
      </c>
      <c r="M9" s="89">
        <v>0</v>
      </c>
      <c r="N9" s="91">
        <v>0</v>
      </c>
      <c r="O9" s="89">
        <v>0</v>
      </c>
      <c r="P9" s="89">
        <v>0</v>
      </c>
      <c r="Q9" s="89">
        <f>Tabla13[[#This Row],[Ventas Abr]]-Tabla13[[#This Row],[Costo Abr]]</f>
        <v>0</v>
      </c>
      <c r="R9" s="91">
        <v>0</v>
      </c>
      <c r="S9" s="89">
        <f>Tabla13[[#This Row],[Ventas Ene]]+Tabla13[[#This Row],[Ventas Feb]]+Tabla13[[#This Row],[Ventas Mar]]+Tabla13[[#This Row],[Ventas Abr]]</f>
        <v>11170</v>
      </c>
      <c r="T9" s="89">
        <f>Tabla13[[#This Row],[Costo Ene]]+Tabla13[[#This Row],[Costo Feb]]+Tabla13[[#This Row],[Costo Mar]]+Tabla13[[#This Row],[Costo Abr]]</f>
        <v>7520</v>
      </c>
      <c r="U9" s="108">
        <f>Tabla13[[#This Row],[Total ventas]]-Tabla13[[#This Row],[Total costo]]</f>
        <v>3650</v>
      </c>
      <c r="V9" s="90">
        <f>Tabla13[[#This Row],[Total Margen]]/Tabla13[[#This Row],[Total ventas]]</f>
        <v>0.32676812891674129</v>
      </c>
    </row>
    <row r="10" spans="1:22" x14ac:dyDescent="0.25">
      <c r="A10" s="92">
        <v>2025</v>
      </c>
      <c r="B10" s="104" t="s">
        <v>70</v>
      </c>
      <c r="C10" s="93">
        <v>54151</v>
      </c>
      <c r="D10" s="93">
        <v>46953</v>
      </c>
      <c r="E10" s="93">
        <v>7198</v>
      </c>
      <c r="F10" s="94">
        <f>Tabla13[[#This Row],[Util bruta Ene]]/Tabla13[[#This Row],[Ventas Ene]]</f>
        <v>0.13292459973038356</v>
      </c>
      <c r="G10" s="93">
        <v>39498</v>
      </c>
      <c r="H10" s="93">
        <v>34433</v>
      </c>
      <c r="I10" s="93">
        <v>5065</v>
      </c>
      <c r="J10" s="95">
        <f>Tabla13[[#This Row],[Util bruta Feb]]/Tabla13[[#This Row],[Ventas Feb]]</f>
        <v>0.1282343409792901</v>
      </c>
      <c r="K10" s="93">
        <v>97981</v>
      </c>
      <c r="L10" s="93">
        <v>86713</v>
      </c>
      <c r="M10" s="93">
        <v>11268</v>
      </c>
      <c r="N10" s="95">
        <f>Tabla13[[#This Row],[Util bruta Mar]]/Tabla13[[#This Row],[Ventas Mar]]</f>
        <v>0.11500188812116635</v>
      </c>
      <c r="O10" s="93">
        <f>Abr!F11</f>
        <v>79051</v>
      </c>
      <c r="P10" s="93">
        <f>Abr!F29</f>
        <v>70790</v>
      </c>
      <c r="Q10" s="93">
        <f>Tabla13[[#This Row],[Ventas Abr]]-Tabla13[[#This Row],[Costo Abr]]</f>
        <v>8261</v>
      </c>
      <c r="R10" s="95">
        <f>Tabla13[[#This Row],[Util bruta Abr]]/Tabla13[[#This Row],[Ventas Abr]]</f>
        <v>0.10450215683546066</v>
      </c>
      <c r="S10" s="93">
        <f>Tabla13[[#This Row],[Ventas Ene]]+Tabla13[[#This Row],[Ventas Feb]]+Tabla13[[#This Row],[Ventas Mar]]+Tabla13[[#This Row],[Ventas Abr]]</f>
        <v>270681</v>
      </c>
      <c r="T10" s="93">
        <f>Tabla13[[#This Row],[Costo Ene]]+Tabla13[[#This Row],[Costo Feb]]+Tabla13[[#This Row],[Costo Mar]]+Tabla13[[#This Row],[Costo Abr]]</f>
        <v>238889</v>
      </c>
      <c r="U10" s="109">
        <f>Tabla13[[#This Row],[Total ventas]]-Tabla13[[#This Row],[Total costo]]</f>
        <v>31792</v>
      </c>
      <c r="V10" s="94">
        <f>Tabla13[[#This Row],[Total Margen]]/Tabla13[[#This Row],[Total ventas]]</f>
        <v>0.11745190833490345</v>
      </c>
    </row>
    <row r="11" spans="1:22" x14ac:dyDescent="0.25">
      <c r="A11" s="92">
        <v>2026</v>
      </c>
      <c r="B11" s="104" t="s">
        <v>70</v>
      </c>
      <c r="C11" s="93">
        <v>167971</v>
      </c>
      <c r="D11" s="93">
        <v>149275</v>
      </c>
      <c r="E11" s="93">
        <v>18696</v>
      </c>
      <c r="F11" s="94">
        <f>Tabla13[[#This Row],[Util bruta Ene]]/Tabla13[[#This Row],[Ventas Ene]]</f>
        <v>0.11130492763631818</v>
      </c>
      <c r="G11" s="93">
        <v>436541</v>
      </c>
      <c r="H11" s="93">
        <v>403224</v>
      </c>
      <c r="I11" s="93">
        <v>33317</v>
      </c>
      <c r="J11" s="95">
        <f>Tabla13[[#This Row],[Util bruta Feb]]/Tabla13[[#This Row],[Ventas Feb]]</f>
        <v>7.6320437255607151E-2</v>
      </c>
      <c r="K11" s="93">
        <v>911209</v>
      </c>
      <c r="L11" s="93">
        <v>841152</v>
      </c>
      <c r="M11" s="93">
        <v>70057</v>
      </c>
      <c r="N11" s="95">
        <f>Tabla13[[#This Row],[Util bruta Mar]]/Tabla13[[#This Row],[Ventas Mar]]</f>
        <v>7.6883568972650626E-2</v>
      </c>
      <c r="O11" s="93">
        <f>Abr!I11</f>
        <v>735565</v>
      </c>
      <c r="P11" s="93">
        <f>Abr!I29</f>
        <v>653197</v>
      </c>
      <c r="Q11" s="93">
        <f>Tabla13[[#This Row],[Ventas Abr]]-Tabla13[[#This Row],[Costo Abr]]</f>
        <v>82368</v>
      </c>
      <c r="R11" s="95">
        <f>Tabla13[[#This Row],[Util bruta Abr]]/Tabla13[[#This Row],[Ventas Abr]]</f>
        <v>0.11197922685282742</v>
      </c>
      <c r="S11" s="93">
        <f>Tabla13[[#This Row],[Ventas Ene]]+Tabla13[[#This Row],[Ventas Feb]]+Tabla13[[#This Row],[Ventas Mar]]+Tabla13[[#This Row],[Ventas Abr]]</f>
        <v>2251286</v>
      </c>
      <c r="T11" s="93">
        <f>Tabla13[[#This Row],[Costo Ene]]+Tabla13[[#This Row],[Costo Feb]]+Tabla13[[#This Row],[Costo Mar]]+Tabla13[[#This Row],[Costo Abr]]</f>
        <v>2046848</v>
      </c>
      <c r="U11" s="109">
        <f>Tabla13[[#This Row],[Total ventas]]-Tabla13[[#This Row],[Total costo]]</f>
        <v>204438</v>
      </c>
      <c r="V11" s="94">
        <f>Tabla13[[#This Row],[Total Margen]]/Tabla13[[#This Row],[Total ventas]]</f>
        <v>9.0809430698720647E-2</v>
      </c>
    </row>
    <row r="12" spans="1:22" s="96" customFormat="1" ht="13.8" x14ac:dyDescent="0.25">
      <c r="A12" s="97">
        <v>2025</v>
      </c>
      <c r="B12" s="97" t="s">
        <v>115</v>
      </c>
      <c r="C12" s="98">
        <f>C2+C4+C6+C8+C10</f>
        <v>4506645</v>
      </c>
      <c r="D12" s="98">
        <f t="shared" ref="D12:E12" si="0">D2+D4+D6+D8+D10</f>
        <v>2799872</v>
      </c>
      <c r="E12" s="98">
        <f t="shared" si="0"/>
        <v>1706773</v>
      </c>
      <c r="F12" s="99">
        <f>E12/C12</f>
        <v>0.37872364031335948</v>
      </c>
      <c r="G12" s="98">
        <f>G2+G4+G6+G8+G10</f>
        <v>4590293</v>
      </c>
      <c r="H12" s="98">
        <f t="shared" ref="H12:I12" si="1">H2+H4+H6+H8+H10</f>
        <v>2854517</v>
      </c>
      <c r="I12" s="98">
        <f t="shared" si="1"/>
        <v>1735776</v>
      </c>
      <c r="J12" s="99">
        <f>I12/G12</f>
        <v>0.37814056749754321</v>
      </c>
      <c r="K12" s="98">
        <f>K2+K4+K6+K8+K10</f>
        <v>4519576</v>
      </c>
      <c r="L12" s="98">
        <f t="shared" ref="L12:Q12" si="2">L2+L4+L6+L8+L10</f>
        <v>2972265</v>
      </c>
      <c r="M12" s="98">
        <f t="shared" si="2"/>
        <v>1547311</v>
      </c>
      <c r="N12" s="99">
        <f>M12/K12</f>
        <v>0.34235755743459123</v>
      </c>
      <c r="O12" s="98">
        <f t="shared" si="2"/>
        <v>3790027</v>
      </c>
      <c r="P12" s="98">
        <f t="shared" si="2"/>
        <v>2481856</v>
      </c>
      <c r="Q12" s="98">
        <f t="shared" si="2"/>
        <v>1308171</v>
      </c>
      <c r="R12" s="99">
        <f>Q12/O12</f>
        <v>0.34516139330933526</v>
      </c>
      <c r="S12" s="98">
        <f>S2+S4+S6+S8+S10</f>
        <v>17406541</v>
      </c>
      <c r="T12" s="98">
        <f t="shared" ref="T12:U12" si="3">T2+T4+T6+T8+T10</f>
        <v>11108510</v>
      </c>
      <c r="U12" s="98">
        <f t="shared" si="3"/>
        <v>6298031</v>
      </c>
      <c r="V12" s="99">
        <f>U12/S12</f>
        <v>0.36181978946879795</v>
      </c>
    </row>
    <row r="13" spans="1:22" s="96" customFormat="1" ht="13.8" x14ac:dyDescent="0.25">
      <c r="A13" s="97">
        <v>2026</v>
      </c>
      <c r="B13" s="97" t="s">
        <v>115</v>
      </c>
      <c r="C13" s="98">
        <f>C3+C5+C7+C9+C11</f>
        <v>3775619</v>
      </c>
      <c r="D13" s="98">
        <f t="shared" ref="D13:E13" si="4">D3+D5+D7+D9+D11</f>
        <v>2523111</v>
      </c>
      <c r="E13" s="98">
        <f t="shared" si="4"/>
        <v>1252508</v>
      </c>
      <c r="F13" s="99">
        <f>E13/C13</f>
        <v>0.33173580279154224</v>
      </c>
      <c r="G13" s="98">
        <f>G3+G5+G7+G9+G11</f>
        <v>5172425</v>
      </c>
      <c r="H13" s="98">
        <f t="shared" ref="H13:I13" si="5">H3+H5+H7+H9+H11</f>
        <v>3533927</v>
      </c>
      <c r="I13" s="98">
        <f t="shared" si="5"/>
        <v>1638498</v>
      </c>
      <c r="J13" s="99">
        <f>I13/G13</f>
        <v>0.31677559365288044</v>
      </c>
      <c r="K13" s="98">
        <f>K3+K5+K7+K9+K11</f>
        <v>5406664</v>
      </c>
      <c r="L13" s="98">
        <f t="shared" ref="L13:Q13" si="6">L3+L5+L7+L9+L11</f>
        <v>3927074</v>
      </c>
      <c r="M13" s="98">
        <f t="shared" si="6"/>
        <v>1479590</v>
      </c>
      <c r="N13" s="99">
        <f>M13/K13</f>
        <v>0.27366043090526804</v>
      </c>
      <c r="O13" s="98">
        <f t="shared" si="6"/>
        <v>5105464</v>
      </c>
      <c r="P13" s="98">
        <f t="shared" si="6"/>
        <v>3641180</v>
      </c>
      <c r="Q13" s="98">
        <f t="shared" si="6"/>
        <v>1464284</v>
      </c>
      <c r="R13" s="99">
        <f>Q13/O13</f>
        <v>0.28680723240825906</v>
      </c>
      <c r="S13" s="98">
        <f>S3+S5+S7+S9+S11</f>
        <v>19460172</v>
      </c>
      <c r="T13" s="98">
        <f t="shared" ref="T13:U13" si="7">T3+T5+T7+T9+T11</f>
        <v>13625292</v>
      </c>
      <c r="U13" s="98">
        <f t="shared" si="7"/>
        <v>5834880</v>
      </c>
      <c r="V13" s="99">
        <f>U13/S13</f>
        <v>0.29983702096774889</v>
      </c>
    </row>
    <row r="15" spans="1:22" x14ac:dyDescent="0.25">
      <c r="M15" s="2"/>
      <c r="U15" s="2"/>
    </row>
    <row r="16" spans="1:22" x14ac:dyDescent="0.25">
      <c r="M16" s="2"/>
      <c r="S16" s="2"/>
      <c r="U16" s="2"/>
    </row>
    <row r="17" spans="16:19" x14ac:dyDescent="0.25">
      <c r="P17" s="2"/>
      <c r="S17" s="2"/>
    </row>
    <row r="18" spans="16:19" x14ac:dyDescent="0.25">
      <c r="P18" s="2"/>
      <c r="Q18" s="2"/>
    </row>
    <row r="19" spans="16:19" x14ac:dyDescent="0.25">
      <c r="Q19" s="2"/>
    </row>
  </sheetData>
  <phoneticPr fontId="24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C92BF-A7F0-4BF1-809B-350E7AEDEF7D}">
  <sheetPr codeName="Hoja1"/>
  <dimension ref="O2:Q3"/>
  <sheetViews>
    <sheetView showGridLines="0" topLeftCell="E1" zoomScaleNormal="100" workbookViewId="0">
      <selection sqref="A1:XFD11"/>
    </sheetView>
  </sheetViews>
  <sheetFormatPr baseColWidth="10" defaultRowHeight="13.2" x14ac:dyDescent="0.25"/>
  <cols>
    <col min="1" max="1" width="6.44140625" customWidth="1"/>
    <col min="2" max="2" width="12.21875" bestFit="1" customWidth="1"/>
    <col min="3" max="3" width="11.21875" customWidth="1"/>
    <col min="4" max="4" width="11.77734375" customWidth="1"/>
    <col min="5" max="5" width="13" bestFit="1" customWidth="1"/>
    <col min="6" max="6" width="13.6640625" bestFit="1" customWidth="1"/>
    <col min="7" max="7" width="10.77734375" bestFit="1" customWidth="1"/>
    <col min="8" max="8" width="10" bestFit="1" customWidth="1"/>
    <col min="9" max="9" width="12.88671875" bestFit="1" customWidth="1"/>
    <col min="10" max="10" width="18.33203125" bestFit="1" customWidth="1"/>
    <col min="11" max="11" width="13.109375" bestFit="1" customWidth="1"/>
    <col min="12" max="12" width="10.77734375" bestFit="1" customWidth="1"/>
    <col min="13" max="14" width="12.88671875" bestFit="1" customWidth="1"/>
    <col min="15" max="15" width="8.33203125" bestFit="1" customWidth="1"/>
    <col min="16" max="16" width="8.21875" bestFit="1" customWidth="1"/>
    <col min="17" max="17" width="12.88671875" bestFit="1" customWidth="1"/>
  </cols>
  <sheetData>
    <row r="2" spans="15:17" x14ac:dyDescent="0.25">
      <c r="O2" s="2"/>
      <c r="P2" s="2"/>
      <c r="Q2" s="2"/>
    </row>
    <row r="3" spans="15:17" x14ac:dyDescent="0.25">
      <c r="O3" s="2"/>
      <c r="P3" s="2"/>
      <c r="Q3" s="2"/>
    </row>
  </sheetData>
  <phoneticPr fontId="18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776BE-5EB4-408F-A26B-EF2F1F28B44B}">
  <sheetPr codeName="Hoja21">
    <pageSetUpPr fitToPage="1"/>
  </sheetPr>
  <dimension ref="B1:P98"/>
  <sheetViews>
    <sheetView showGridLines="0" zoomScale="126" zoomScaleNormal="126" workbookViewId="0">
      <pane ySplit="4" topLeftCell="A5" activePane="bottomLeft" state="frozen"/>
      <selection activeCell="J29" sqref="J29"/>
      <selection pane="bottomLeft" activeCell="A11" sqref="A11:XFD11"/>
    </sheetView>
  </sheetViews>
  <sheetFormatPr baseColWidth="10" defaultColWidth="11.44140625" defaultRowHeight="13.2" outlineLevelRow="1" x14ac:dyDescent="0.25"/>
  <cols>
    <col min="1" max="1" width="4.5546875" customWidth="1"/>
    <col min="2" max="2" width="33.33203125" customWidth="1"/>
    <col min="3" max="3" width="10.33203125" customWidth="1"/>
    <col min="4" max="4" width="7.88671875" style="8" bestFit="1" customWidth="1"/>
    <col min="5" max="5" width="8.6640625" style="14" bestFit="1" customWidth="1"/>
    <col min="6" max="6" width="10.44140625" customWidth="1"/>
    <col min="7" max="7" width="7.6640625" style="8" bestFit="1" customWidth="1"/>
    <col min="8" max="8" width="8" style="14" customWidth="1"/>
    <col min="9" max="9" width="11.33203125" customWidth="1"/>
    <col min="10" max="10" width="7.6640625" style="8" bestFit="1" customWidth="1"/>
  </cols>
  <sheetData>
    <row r="1" spans="2:16" ht="13.8" thickBot="1" x14ac:dyDescent="0.3">
      <c r="B1" s="22" t="s">
        <v>60</v>
      </c>
    </row>
    <row r="2" spans="2:16" ht="16.2" thickBot="1" x14ac:dyDescent="0.3">
      <c r="B2" s="110" t="s">
        <v>0</v>
      </c>
      <c r="C2" s="111"/>
      <c r="D2" s="111"/>
      <c r="E2" s="111"/>
      <c r="F2" s="111"/>
      <c r="G2" s="111"/>
      <c r="H2" s="111"/>
      <c r="I2" s="111"/>
      <c r="J2" s="112"/>
    </row>
    <row r="3" spans="2:16" ht="13.8" thickBot="1" x14ac:dyDescent="0.3">
      <c r="B3" s="16"/>
      <c r="C3" s="113" t="s">
        <v>1</v>
      </c>
      <c r="D3" s="113"/>
      <c r="E3" s="114" t="s">
        <v>73</v>
      </c>
      <c r="F3" s="115"/>
      <c r="G3" s="17"/>
      <c r="H3" s="20"/>
      <c r="I3" s="17"/>
      <c r="J3" s="18"/>
      <c r="L3" s="19"/>
    </row>
    <row r="4" spans="2:16" x14ac:dyDescent="0.25">
      <c r="B4" s="6" t="s">
        <v>3</v>
      </c>
      <c r="C4" s="7">
        <v>2024</v>
      </c>
      <c r="D4" s="29" t="s">
        <v>4</v>
      </c>
      <c r="E4" s="29" t="s">
        <v>5</v>
      </c>
      <c r="F4" s="7">
        <v>2025</v>
      </c>
      <c r="G4" s="29" t="s">
        <v>6</v>
      </c>
      <c r="H4" s="29" t="s">
        <v>5</v>
      </c>
      <c r="I4" s="7">
        <v>2026</v>
      </c>
      <c r="J4" s="30" t="s">
        <v>6</v>
      </c>
    </row>
    <row r="5" spans="2:16" x14ac:dyDescent="0.25">
      <c r="B5" s="49" t="s">
        <v>7</v>
      </c>
      <c r="C5" s="33">
        <f>C6+C9+C13+C14</f>
        <v>10704890</v>
      </c>
      <c r="D5" s="10">
        <v>1</v>
      </c>
      <c r="E5" s="10">
        <f>F5/C5-1</f>
        <v>0.23102759579967658</v>
      </c>
      <c r="F5" s="33">
        <f>F6+F9+F13+F14</f>
        <v>13178015</v>
      </c>
      <c r="G5" s="10">
        <v>1</v>
      </c>
      <c r="H5" s="10">
        <f t="shared" ref="H5" si="0">I5/F5-1</f>
        <v>-4.8243153464311628E-2</v>
      </c>
      <c r="I5" s="33">
        <f>I6+I9+I13+I14</f>
        <v>12542266</v>
      </c>
      <c r="J5" s="10">
        <v>1</v>
      </c>
      <c r="K5" s="2">
        <f>I5-F5</f>
        <v>-635749</v>
      </c>
    </row>
    <row r="6" spans="2:16" x14ac:dyDescent="0.25">
      <c r="B6" s="48" t="s">
        <v>64</v>
      </c>
      <c r="C6" s="31">
        <f>C7+C8</f>
        <v>10014637</v>
      </c>
      <c r="D6" s="32">
        <f>C6/$C$5</f>
        <v>0.93551984186666093</v>
      </c>
      <c r="E6" s="32">
        <f>F6/C6-1</f>
        <v>0.22689369569760731</v>
      </c>
      <c r="F6" s="31">
        <f>F7+F8</f>
        <v>12286895</v>
      </c>
      <c r="G6" s="32">
        <f>F6/$F$5</f>
        <v>0.93237828307222292</v>
      </c>
      <c r="H6" s="32">
        <f>I6/F6-1</f>
        <v>-5.6837305112479641E-2</v>
      </c>
      <c r="I6" s="31">
        <f>I7+I8</f>
        <v>11588541</v>
      </c>
      <c r="J6" s="32">
        <f>I6/$I$5</f>
        <v>0.92395911552186827</v>
      </c>
      <c r="K6" s="2">
        <f>I6-F6</f>
        <v>-698354</v>
      </c>
    </row>
    <row r="7" spans="2:16" x14ac:dyDescent="0.25">
      <c r="B7" s="28" t="s">
        <v>67</v>
      </c>
      <c r="C7" s="1">
        <f>[1]ENE!C7+[1]FEB!C7+[1]MAR!C7</f>
        <v>8536181</v>
      </c>
      <c r="D7" s="11">
        <f>C7/C5</f>
        <v>0.79740950163897062</v>
      </c>
      <c r="E7" s="11">
        <f t="shared" ref="E7:E14" si="1">F7/C7-1</f>
        <v>0.23687185170979852</v>
      </c>
      <c r="F7" s="4">
        <f>[1]ENE!F7+[1]FEB!F7+[1]MAR!F7</f>
        <v>10558162</v>
      </c>
      <c r="G7" s="11">
        <f>F7/$F$5</f>
        <v>0.8011951724140548</v>
      </c>
      <c r="H7" s="11">
        <f t="shared" ref="H7:H14" si="2">I7/F7-1</f>
        <v>-6.4965095250480109E-2</v>
      </c>
      <c r="I7" s="4">
        <f>[1]ENE!I7+[1]FEB!I7+[1]MAR!I7</f>
        <v>9872250</v>
      </c>
      <c r="J7" s="11">
        <f t="shared" ref="J7:J14" si="3">I7/$I$5</f>
        <v>0.78711853185062408</v>
      </c>
      <c r="L7" s="2"/>
    </row>
    <row r="8" spans="2:16" x14ac:dyDescent="0.25">
      <c r="B8" s="28" t="s">
        <v>68</v>
      </c>
      <c r="C8" s="1">
        <f>[1]ENE!C8+[1]FEB!C8+[1]MAR!C8</f>
        <v>1478456</v>
      </c>
      <c r="D8" s="11">
        <f t="shared" ref="D8:D14" si="4">C8/$C$5</f>
        <v>0.13811034022769034</v>
      </c>
      <c r="E8" s="11">
        <f t="shared" si="1"/>
        <v>0.16928268409746394</v>
      </c>
      <c r="F8" s="4">
        <f>[1]ENE!F8+[1]FEB!F8+[1]MAR!F8</f>
        <v>1728733</v>
      </c>
      <c r="G8" s="11">
        <f>F8/$F$5</f>
        <v>0.13118311065816818</v>
      </c>
      <c r="H8" s="11">
        <f t="shared" si="2"/>
        <v>-7.1971785116614617E-3</v>
      </c>
      <c r="I8" s="4">
        <f>[1]ENE!I8+[1]FEB!I8+[1]MAR!I8</f>
        <v>1716291</v>
      </c>
      <c r="J8" s="11">
        <f t="shared" si="3"/>
        <v>0.1368405836712441</v>
      </c>
    </row>
    <row r="9" spans="2:16" x14ac:dyDescent="0.25">
      <c r="B9" s="48" t="s">
        <v>65</v>
      </c>
      <c r="C9" s="31">
        <f>C10+C11+C12</f>
        <v>878025</v>
      </c>
      <c r="D9" s="32">
        <f t="shared" si="4"/>
        <v>8.2020926884816187E-2</v>
      </c>
      <c r="E9" s="32">
        <f t="shared" si="1"/>
        <v>0.29607812989379578</v>
      </c>
      <c r="F9" s="31">
        <f>F10+F11+F12</f>
        <v>1137989</v>
      </c>
      <c r="G9" s="32">
        <f>F9/$F$5</f>
        <v>8.6355114939541344E-2</v>
      </c>
      <c r="H9" s="32">
        <f>I9/F9-1</f>
        <v>9.882081461244363E-2</v>
      </c>
      <c r="I9" s="31">
        <f>I10+I11+I12</f>
        <v>1250446</v>
      </c>
      <c r="J9" s="32">
        <f>I9/$I$5</f>
        <v>9.969857121512174E-2</v>
      </c>
      <c r="K9" s="2">
        <f>I9-F9</f>
        <v>112457</v>
      </c>
    </row>
    <row r="10" spans="2:16" x14ac:dyDescent="0.25">
      <c r="B10" s="28" t="s">
        <v>69</v>
      </c>
      <c r="C10" s="1">
        <f>[1]ENE!C10+[1]FEB!C10+[1]MAR!C10</f>
        <v>878025</v>
      </c>
      <c r="D10" s="11">
        <f t="shared" si="4"/>
        <v>8.2020926884816187E-2</v>
      </c>
      <c r="E10" s="11">
        <f t="shared" si="1"/>
        <v>0.11895333276387343</v>
      </c>
      <c r="F10" s="4">
        <f>[1]ENE!F10+[1]FEB!F10+[1]MAR!F10</f>
        <v>982469</v>
      </c>
      <c r="G10" s="11">
        <f>F10/$F$5</f>
        <v>7.4553641045331936E-2</v>
      </c>
      <c r="H10" s="11">
        <f>I10/F10-1</f>
        <v>0.26138941788494097</v>
      </c>
      <c r="I10" s="4">
        <f>[1]ENE!I10+[1]FEB!I10+[1]MAR!I10</f>
        <v>1239276</v>
      </c>
      <c r="J10" s="11">
        <f t="shared" si="3"/>
        <v>9.8807982544780987E-2</v>
      </c>
    </row>
    <row r="11" spans="2:16" x14ac:dyDescent="0.25">
      <c r="B11" s="28" t="s">
        <v>70</v>
      </c>
      <c r="C11" s="1">
        <v>0</v>
      </c>
      <c r="D11" s="11">
        <f t="shared" si="4"/>
        <v>0</v>
      </c>
      <c r="E11" s="11" t="e">
        <f t="shared" si="1"/>
        <v>#DIV/0!</v>
      </c>
      <c r="F11" s="4">
        <v>0</v>
      </c>
      <c r="G11" s="11">
        <f t="shared" ref="G11:G12" si="5">F11/$F$5</f>
        <v>0</v>
      </c>
      <c r="H11" s="11" t="e">
        <f t="shared" si="2"/>
        <v>#DIV/0!</v>
      </c>
      <c r="I11" s="4">
        <v>0</v>
      </c>
      <c r="J11" s="11">
        <f>I11/$I$5</f>
        <v>0</v>
      </c>
    </row>
    <row r="12" spans="2:16" x14ac:dyDescent="0.25">
      <c r="B12" s="28" t="s">
        <v>71</v>
      </c>
      <c r="C12" s="1">
        <f>[1]ENE!C12+[1]FEB!C12+[1]MAR!C12</f>
        <v>0</v>
      </c>
      <c r="D12" s="11">
        <f t="shared" si="4"/>
        <v>0</v>
      </c>
      <c r="E12" s="11">
        <v>0</v>
      </c>
      <c r="F12" s="4">
        <f>[1]ENE!F12+[1]FEB!F12+[1]MAR!F12</f>
        <v>155520</v>
      </c>
      <c r="G12" s="11">
        <f t="shared" si="5"/>
        <v>1.1801473894209409E-2</v>
      </c>
      <c r="H12" s="11">
        <f t="shared" si="2"/>
        <v>-0.92817644032921809</v>
      </c>
      <c r="I12" s="4">
        <f>[1]ENE!I12+[1]FEB!I12+[1]MAR!I12</f>
        <v>11170</v>
      </c>
      <c r="J12" s="11">
        <f t="shared" si="3"/>
        <v>8.9058867034075024E-4</v>
      </c>
    </row>
    <row r="13" spans="2:16" x14ac:dyDescent="0.25">
      <c r="B13" s="48" t="s">
        <v>74</v>
      </c>
      <c r="C13" s="5">
        <f>[1]ENE!C13+[1]FEB!C13+[1]MAR!C13</f>
        <v>23228</v>
      </c>
      <c r="D13" s="32">
        <f t="shared" si="4"/>
        <v>2.1698494800039981E-3</v>
      </c>
      <c r="E13" s="32">
        <f t="shared" si="1"/>
        <v>0.2651110728431203</v>
      </c>
      <c r="F13" s="31">
        <f>[1]ENE!F13+[1]FEB!F13+[1]MAR!F13</f>
        <v>29386</v>
      </c>
      <c r="G13" s="32">
        <f>F13/$F$5</f>
        <v>2.2299261307564149E-3</v>
      </c>
      <c r="H13" s="32">
        <f t="shared" si="2"/>
        <v>-7.5478118832096874E-2</v>
      </c>
      <c r="I13" s="31">
        <f>[1]ENE!I13+[1]FEB!I13+[1]MAR!I13</f>
        <v>27168</v>
      </c>
      <c r="J13" s="32">
        <f t="shared" si="3"/>
        <v>2.1661157561161594E-3</v>
      </c>
      <c r="K13" s="12"/>
      <c r="O13" s="2"/>
      <c r="P13" s="9"/>
    </row>
    <row r="14" spans="2:16" x14ac:dyDescent="0.25">
      <c r="B14" s="48" t="s">
        <v>8</v>
      </c>
      <c r="C14" s="5">
        <f>[1]ENE!C14+[1]FEB!C14+[1]MAR!C14</f>
        <v>-211000</v>
      </c>
      <c r="D14" s="32">
        <f t="shared" si="4"/>
        <v>-1.9710618231481125E-2</v>
      </c>
      <c r="E14" s="32">
        <f t="shared" si="1"/>
        <v>0.30926540284360193</v>
      </c>
      <c r="F14" s="31">
        <f>[1]ENE!F14+[1]FEB!F14+[1]MAR!F14</f>
        <v>-276255</v>
      </c>
      <c r="G14" s="32">
        <f>F14/$F$5</f>
        <v>-2.0963324142520706E-2</v>
      </c>
      <c r="H14" s="32">
        <f t="shared" si="2"/>
        <v>0.17242764836835534</v>
      </c>
      <c r="I14" s="31">
        <f>[1]ENE!I14+[1]FEB!I14+[1]MAR!I14</f>
        <v>-323889</v>
      </c>
      <c r="J14" s="32">
        <f t="shared" si="3"/>
        <v>-2.5823802493106111E-2</v>
      </c>
    </row>
    <row r="15" spans="2:16" x14ac:dyDescent="0.25">
      <c r="B15" s="49" t="s">
        <v>9</v>
      </c>
      <c r="C15" s="38">
        <f>C19+C24+C27</f>
        <v>6984467</v>
      </c>
      <c r="D15" s="10">
        <f>C15/C5</f>
        <v>0.65245574685961272</v>
      </c>
      <c r="E15" s="10">
        <f>F15/C15-1</f>
        <v>0.21114109351508148</v>
      </c>
      <c r="F15" s="38">
        <f>F19+F24+F27</f>
        <v>8459175</v>
      </c>
      <c r="G15" s="10">
        <f>F15/$F$5</f>
        <v>0.64191572099439864</v>
      </c>
      <c r="H15" s="10">
        <f>I15/F15-1</f>
        <v>1.551995318692434E-2</v>
      </c>
      <c r="I15" s="38">
        <f>I19+I24+I27</f>
        <v>8590461</v>
      </c>
      <c r="J15" s="10">
        <f>I15/$I$5</f>
        <v>0.68492097042113442</v>
      </c>
      <c r="K15" s="8"/>
    </row>
    <row r="16" spans="2:16" x14ac:dyDescent="0.25">
      <c r="B16" s="50" t="s">
        <v>10</v>
      </c>
      <c r="C16" s="51">
        <f>[1]ENE!C16</f>
        <v>6344158</v>
      </c>
      <c r="D16" s="52"/>
      <c r="E16" s="53"/>
      <c r="F16" s="51">
        <f>[1]ENE!F16</f>
        <v>10079749</v>
      </c>
      <c r="G16" s="52"/>
      <c r="H16" s="53"/>
      <c r="I16" s="51">
        <f>[1]ENE!I16</f>
        <v>8278719</v>
      </c>
      <c r="J16" s="54"/>
      <c r="K16" s="9"/>
    </row>
    <row r="17" spans="2:15" x14ac:dyDescent="0.25">
      <c r="B17" s="28" t="s">
        <v>11</v>
      </c>
      <c r="C17" s="1">
        <f>[1]ENE!C17+[1]FEB!C17+[1]MAR!C17</f>
        <v>6296144</v>
      </c>
      <c r="D17" s="10"/>
      <c r="E17" s="58">
        <f>F17/C17-1</f>
        <v>-0.27810355036352408</v>
      </c>
      <c r="F17" s="4">
        <f>[1]ENE!F17+[1]FEB!F17+[1]MAR!F17</f>
        <v>4545164</v>
      </c>
      <c r="G17" s="10"/>
      <c r="H17" s="58">
        <f>I17/F17-1</f>
        <v>0.47267029308513409</v>
      </c>
      <c r="I17" s="4">
        <f>[1]ENE!I17+[1]FEB!I17+[1]MAR!I17</f>
        <v>6693528</v>
      </c>
      <c r="J17" s="39"/>
      <c r="K17" s="2"/>
    </row>
    <row r="18" spans="2:15" x14ac:dyDescent="0.25">
      <c r="B18" s="28" t="s">
        <v>13</v>
      </c>
      <c r="C18" s="1">
        <f>[1]ENE!C18+[1]FEB!C18+[1]MAR!C18</f>
        <v>-83545</v>
      </c>
      <c r="D18" s="11"/>
      <c r="E18" s="13"/>
      <c r="F18" s="4">
        <f>[1]ENE!F18+[1]FEB!F18+[1]MAR!F18</f>
        <v>-17163</v>
      </c>
      <c r="G18" s="11"/>
      <c r="H18" s="13"/>
      <c r="I18" s="4">
        <f>[1]ENE!I18+[1]FEB!I18+[1]MAR!I18</f>
        <v>-40911</v>
      </c>
      <c r="J18" s="11"/>
      <c r="K18" s="2"/>
      <c r="L18" s="2"/>
      <c r="O18" s="2"/>
    </row>
    <row r="19" spans="2:15" x14ac:dyDescent="0.25">
      <c r="B19" s="48" t="s">
        <v>12</v>
      </c>
      <c r="C19" s="31">
        <f>SUM(C20:C23)</f>
        <v>2664442</v>
      </c>
      <c r="D19" s="32">
        <f>C19/C5</f>
        <v>0.24889952162049306</v>
      </c>
      <c r="E19" s="32">
        <f>F19/C19-1</f>
        <v>7.0937179341866052E-2</v>
      </c>
      <c r="F19" s="31">
        <f>SUM(F20:F23)</f>
        <v>2853450</v>
      </c>
      <c r="G19" s="32">
        <f>F19/$F$5</f>
        <v>0.21653109364346604</v>
      </c>
      <c r="H19" s="32">
        <f>I19/F19-1</f>
        <v>0.12865829084091196</v>
      </c>
      <c r="I19" s="31">
        <f>SUM(I20:I23)</f>
        <v>3220570</v>
      </c>
      <c r="J19" s="32">
        <f>I19/$I$5</f>
        <v>0.25677736383521127</v>
      </c>
      <c r="K19" s="2"/>
      <c r="L19" s="2"/>
      <c r="O19" s="2"/>
    </row>
    <row r="20" spans="2:15" x14ac:dyDescent="0.25">
      <c r="B20" s="28" t="s">
        <v>75</v>
      </c>
      <c r="C20" s="1">
        <f>[1]ENE!C20+[1]FEB!C20+[1]MAR!C20</f>
        <v>1194898</v>
      </c>
      <c r="D20" s="11">
        <f t="shared" ref="D20" si="6">C20/$C$5</f>
        <v>0.11162169812113903</v>
      </c>
      <c r="E20" s="11">
        <f t="shared" ref="E20" si="7">F20/C20-1</f>
        <v>0.15238120743360528</v>
      </c>
      <c r="F20" s="4">
        <f>[1]ENE!F20+[1]FEB!F20+[1]MAR!F20</f>
        <v>1376978</v>
      </c>
      <c r="G20" s="11">
        <f t="shared" ref="G20" si="8">F20/$F$5</f>
        <v>0.10449054732446426</v>
      </c>
      <c r="H20" s="11">
        <f>I20/F20-1</f>
        <v>0.10919346569080979</v>
      </c>
      <c r="I20" s="4">
        <f>[1]ENE!I20+[1]FEB!I20+[1]MAR!I20</f>
        <v>1527335</v>
      </c>
      <c r="J20" s="11">
        <f>I20/$I$5</f>
        <v>0.12177504447760876</v>
      </c>
      <c r="K20" s="2"/>
      <c r="L20" s="2"/>
      <c r="O20" s="2"/>
    </row>
    <row r="21" spans="2:15" x14ac:dyDescent="0.25">
      <c r="B21" s="28" t="s">
        <v>76</v>
      </c>
      <c r="C21" s="1">
        <f>[1]ENE!C21+[1]FEB!C21+[1]MAR!C21</f>
        <v>589434</v>
      </c>
      <c r="D21" s="11">
        <f>C21/$C$5</f>
        <v>5.506212581353008E-2</v>
      </c>
      <c r="E21" s="11">
        <f>F21/C21-1</f>
        <v>2.5784057248139813E-2</v>
      </c>
      <c r="F21" s="4">
        <f>[1]ENE!F21+[1]FEB!F21+[1]MAR!F21</f>
        <v>604632</v>
      </c>
      <c r="G21" s="11">
        <f>F21/$F$5</f>
        <v>4.5881872193953337E-2</v>
      </c>
      <c r="H21" s="11">
        <f>I21/F21-1</f>
        <v>0.20295816298178071</v>
      </c>
      <c r="I21" s="4">
        <f>[1]ENE!I21+[1]FEB!I21+[1]MAR!I21</f>
        <v>727347</v>
      </c>
      <c r="J21" s="11">
        <f>I21/$I$5</f>
        <v>5.7991673912832019E-2</v>
      </c>
      <c r="K21" s="2"/>
      <c r="L21" s="2"/>
      <c r="O21" s="2"/>
    </row>
    <row r="22" spans="2:15" x14ac:dyDescent="0.25">
      <c r="B22" s="28" t="s">
        <v>77</v>
      </c>
      <c r="C22" s="1">
        <f>[1]ENE!C22+[1]FEB!C22+[1]MAR!C22</f>
        <v>823687</v>
      </c>
      <c r="D22" s="11">
        <f t="shared" ref="D22:D23" si="9">C22/$C$5</f>
        <v>7.6944928906322249E-2</v>
      </c>
      <c r="E22" s="11">
        <f t="shared" ref="E22:E23" si="10">F22/C22-1</f>
        <v>-0.22717731371261174</v>
      </c>
      <c r="F22" s="4">
        <f>[1]ENE!F22+[1]FEB!F22+[1]MAR!F22</f>
        <v>636564</v>
      </c>
      <c r="G22" s="11">
        <f t="shared" ref="G22:G23" si="11">F22/$F$5</f>
        <v>4.8304998893991244E-2</v>
      </c>
      <c r="H22" s="11">
        <f t="shared" ref="H22:H23" si="12">I22/F22-1</f>
        <v>0.12538409335117917</v>
      </c>
      <c r="I22" s="4">
        <f>[1]ENE!I22+[1]FEB!I22+[1]MAR!I22</f>
        <v>716379</v>
      </c>
      <c r="J22" s="11">
        <f t="shared" ref="J22:J23" si="13">I22/$I$5</f>
        <v>5.7117190785142012E-2</v>
      </c>
      <c r="K22" s="2"/>
      <c r="L22" s="2"/>
      <c r="O22" s="2"/>
    </row>
    <row r="23" spans="2:15" x14ac:dyDescent="0.25">
      <c r="B23" s="28" t="s">
        <v>61</v>
      </c>
      <c r="C23" s="1">
        <f>[1]ENE!C23+[1]FEB!C23+[1]MAR!C23</f>
        <v>56423</v>
      </c>
      <c r="D23" s="11">
        <f t="shared" si="9"/>
        <v>5.270768779501704E-3</v>
      </c>
      <c r="E23" s="11">
        <f t="shared" si="10"/>
        <v>3.1698598089431611</v>
      </c>
      <c r="F23" s="4">
        <f>[1]ENE!F23+[1]FEB!F23+[1]MAR!F23+135000+40000</f>
        <v>235276</v>
      </c>
      <c r="G23" s="11">
        <f t="shared" si="11"/>
        <v>1.785367523105718E-2</v>
      </c>
      <c r="H23" s="11">
        <f t="shared" si="12"/>
        <v>6.0494908107924239E-2</v>
      </c>
      <c r="I23" s="4">
        <f>[1]ENE!I23+[1]FEB!I23+[1]MAR!I23</f>
        <v>249509</v>
      </c>
      <c r="J23" s="11">
        <f t="shared" si="13"/>
        <v>1.9893454659628492E-2</v>
      </c>
      <c r="K23" s="2"/>
    </row>
    <row r="24" spans="2:15" x14ac:dyDescent="0.25">
      <c r="B24" s="48" t="s">
        <v>78</v>
      </c>
      <c r="C24" s="31">
        <f>C25+C26</f>
        <v>3661821</v>
      </c>
      <c r="D24" s="32">
        <f>C24/C5</f>
        <v>0.3420699325261633</v>
      </c>
      <c r="E24" s="32">
        <f>F24/C24-1</f>
        <v>0.28444945834326685</v>
      </c>
      <c r="F24" s="31">
        <f>F25+F26</f>
        <v>4703424</v>
      </c>
      <c r="G24" s="32">
        <f>F24/$F$5</f>
        <v>0.35691445183512083</v>
      </c>
      <c r="H24" s="32">
        <f>I24/F24-1</f>
        <v>-5.5176611761984407E-2</v>
      </c>
      <c r="I24" s="31">
        <f>I25+I26</f>
        <v>4443905</v>
      </c>
      <c r="J24" s="32">
        <f>I24/$I$5</f>
        <v>0.35431436392753907</v>
      </c>
    </row>
    <row r="25" spans="2:15" x14ac:dyDescent="0.25">
      <c r="B25" s="28" t="s">
        <v>67</v>
      </c>
      <c r="C25" s="4">
        <f>[1]ENE!C25+[1]FEB!C25+[1]MAR!C25</f>
        <v>2712790</v>
      </c>
      <c r="D25" s="11"/>
      <c r="E25" s="11"/>
      <c r="F25" s="4">
        <f>[1]ENE!F25+[1]FEB!F25+[1]MAR!F25</f>
        <v>3587841</v>
      </c>
      <c r="G25" s="11"/>
      <c r="H25" s="11"/>
      <c r="I25" s="4">
        <f>[1]ENE!I25+[1]FEB!I25+[1]MAR!I25</f>
        <v>3085117</v>
      </c>
      <c r="J25" s="11"/>
      <c r="K25" s="2"/>
    </row>
    <row r="26" spans="2:15" x14ac:dyDescent="0.25">
      <c r="B26" s="28" t="s">
        <v>68</v>
      </c>
      <c r="C26" s="4">
        <f>[1]ENE!C26+[1]FEB!C26+[1]MAR!C26</f>
        <v>949031</v>
      </c>
      <c r="D26" s="11"/>
      <c r="E26" s="11"/>
      <c r="F26" s="4">
        <f>[1]ENE!F26+[1]FEB!F26+[1]MAR!F26</f>
        <v>1115583</v>
      </c>
      <c r="G26" s="11"/>
      <c r="H26" s="11"/>
      <c r="I26" s="4">
        <f>[1]ENE!I26+[1]FEB!I26+[1]MAR!I26</f>
        <v>1358788</v>
      </c>
      <c r="J26" s="11"/>
      <c r="K26" s="2"/>
    </row>
    <row r="27" spans="2:15" x14ac:dyDescent="0.25">
      <c r="B27" s="48" t="s">
        <v>66</v>
      </c>
      <c r="C27" s="31">
        <f>C28+C29+C30</f>
        <v>658204</v>
      </c>
      <c r="D27" s="32">
        <f>C27/C5</f>
        <v>6.1486292712956414E-2</v>
      </c>
      <c r="E27" s="32">
        <f>F27/C27-1</f>
        <v>0.3708531093703471</v>
      </c>
      <c r="F27" s="31">
        <f>F28+F29+F30</f>
        <v>902301</v>
      </c>
      <c r="G27" s="32">
        <f>F27/$F$5</f>
        <v>6.8470175515811749E-2</v>
      </c>
      <c r="H27" s="32">
        <f>I27/F27-1</f>
        <v>2.6249555303607064E-2</v>
      </c>
      <c r="I27" s="31">
        <f>I28+I29+I30</f>
        <v>925986</v>
      </c>
      <c r="J27" s="32">
        <f>I27/$I$5</f>
        <v>7.3829242658384059E-2</v>
      </c>
      <c r="K27" s="2"/>
    </row>
    <row r="28" spans="2:15" x14ac:dyDescent="0.25">
      <c r="B28" s="28" t="s">
        <v>69</v>
      </c>
      <c r="C28" s="4">
        <f>[1]ENE!C28+[1]FEB!C28+[1]MAR!C28</f>
        <v>658204</v>
      </c>
      <c r="D28" s="11">
        <f>C28/C10</f>
        <v>0.74964152501352466</v>
      </c>
      <c r="E28" s="11"/>
      <c r="F28" s="4">
        <f>[1]ENE!F28+[1]FEB!F28+[1]MAR!F28</f>
        <v>780151</v>
      </c>
      <c r="G28" s="11">
        <f>F28/F10</f>
        <v>0.7940718740235061</v>
      </c>
      <c r="H28" s="11"/>
      <c r="I28" s="4">
        <f>[1]ENE!I28+[1]FEB!I28+[1]MAR!I28</f>
        <v>918466</v>
      </c>
      <c r="J28" s="11">
        <f>I28/I10</f>
        <v>0.74113111203638249</v>
      </c>
      <c r="K28" s="2"/>
    </row>
    <row r="29" spans="2:15" x14ac:dyDescent="0.25">
      <c r="B29" s="28" t="s">
        <v>70</v>
      </c>
      <c r="C29" s="4">
        <v>0</v>
      </c>
      <c r="D29" s="11" t="e">
        <f>C29/C11</f>
        <v>#DIV/0!</v>
      </c>
      <c r="E29" s="11"/>
      <c r="F29" s="4">
        <v>0</v>
      </c>
      <c r="G29" s="11" t="e">
        <f>F29/F11</f>
        <v>#DIV/0!</v>
      </c>
      <c r="H29" s="11"/>
      <c r="I29" s="4">
        <v>0</v>
      </c>
      <c r="J29" s="11" t="e">
        <f>I29/I11</f>
        <v>#DIV/0!</v>
      </c>
      <c r="K29" s="2"/>
    </row>
    <row r="30" spans="2:15" x14ac:dyDescent="0.25">
      <c r="B30" s="28" t="s">
        <v>71</v>
      </c>
      <c r="C30" s="4">
        <f>[1]ENE!C30+[1]FEB!C30+[1]MAR!C30</f>
        <v>0</v>
      </c>
      <c r="D30" s="11">
        <v>0</v>
      </c>
      <c r="E30" s="11"/>
      <c r="F30" s="4">
        <f>[1]ENE!F30+[1]FEB!F30+[1]MAR!F30</f>
        <v>122150</v>
      </c>
      <c r="G30" s="11">
        <f>F30/F12</f>
        <v>0.78542952674897115</v>
      </c>
      <c r="H30" s="11"/>
      <c r="I30" s="4">
        <f>[1]ENE!I30+[1]FEB!I30+[1]MAR!I30</f>
        <v>7520</v>
      </c>
      <c r="J30" s="11">
        <f>I30/I12</f>
        <v>0.67323187108325877</v>
      </c>
      <c r="K30" s="2"/>
    </row>
    <row r="31" spans="2:15" x14ac:dyDescent="0.25">
      <c r="B31" s="50" t="s">
        <v>14</v>
      </c>
      <c r="C31" s="51">
        <f>C16+C17+C19+C18-C15</f>
        <v>8236732</v>
      </c>
      <c r="D31" s="55"/>
      <c r="E31" s="53"/>
      <c r="F31" s="51">
        <f>F16+F17+F19+F18-F15</f>
        <v>9002025</v>
      </c>
      <c r="G31" s="55"/>
      <c r="H31" s="53"/>
      <c r="I31" s="51">
        <f>I16+I17+I19+I18-I15</f>
        <v>9561445</v>
      </c>
      <c r="J31" s="55"/>
      <c r="K31" s="2"/>
    </row>
    <row r="32" spans="2:15" x14ac:dyDescent="0.25">
      <c r="B32" s="56" t="s">
        <v>15</v>
      </c>
      <c r="C32" s="40">
        <f>C5-C15</f>
        <v>3720423</v>
      </c>
      <c r="D32" s="41">
        <f>C32/$C$5</f>
        <v>0.34754425314038723</v>
      </c>
      <c r="E32" s="41">
        <f>F32/C32-1</f>
        <v>0.26836115140670835</v>
      </c>
      <c r="F32" s="40">
        <f>F5-F15</f>
        <v>4718840</v>
      </c>
      <c r="G32" s="41">
        <f>F32/$F$5</f>
        <v>0.35808427900560136</v>
      </c>
      <c r="H32" s="41">
        <f>I32/F32-1</f>
        <v>-0.16254736333505693</v>
      </c>
      <c r="I32" s="40">
        <f>I5-I15</f>
        <v>3951805</v>
      </c>
      <c r="J32" s="41">
        <f>I32/$I$5</f>
        <v>0.31507902957886558</v>
      </c>
      <c r="K32" s="2">
        <f>I32-F32</f>
        <v>-767035</v>
      </c>
      <c r="L32" s="8">
        <v>0.17150000000000001</v>
      </c>
      <c r="M32" s="57" t="s">
        <v>88</v>
      </c>
    </row>
    <row r="33" spans="2:13" x14ac:dyDescent="0.25">
      <c r="B33" s="24" t="s">
        <v>16</v>
      </c>
      <c r="C33" s="25">
        <f>SUM(C36:C43)</f>
        <v>342955</v>
      </c>
      <c r="D33" s="26">
        <f>C33/$C$5</f>
        <v>3.2037227846339382E-2</v>
      </c>
      <c r="E33" s="26">
        <f>F33/C33-1</f>
        <v>0.30320595996559319</v>
      </c>
      <c r="F33" s="25">
        <f>SUM(F36:F43)</f>
        <v>446941</v>
      </c>
      <c r="G33" s="26">
        <f>F33/$F$5</f>
        <v>3.3915654216511361E-2</v>
      </c>
      <c r="H33" s="26">
        <f>I33/F33-1</f>
        <v>0.1020873001134377</v>
      </c>
      <c r="I33" s="25">
        <f>SUM(I36:I43)</f>
        <v>492568</v>
      </c>
      <c r="J33" s="26">
        <f>I33/$I$5</f>
        <v>3.9272648180161386E-2</v>
      </c>
      <c r="K33" s="12"/>
      <c r="L33" s="8">
        <v>0.14099999999999999</v>
      </c>
      <c r="M33" s="57" t="s">
        <v>89</v>
      </c>
    </row>
    <row r="34" spans="2:13" hidden="1" outlineLevel="1" x14ac:dyDescent="0.25">
      <c r="B34" s="28" t="s">
        <v>17</v>
      </c>
      <c r="C34" s="4">
        <f>[1]ENE!C34+[1]FEB!C34+[1]MAR!C34</f>
        <v>283173</v>
      </c>
      <c r="D34" s="10"/>
      <c r="E34" s="10"/>
      <c r="F34" s="4">
        <f>[1]ENE!F34+[1]FEB!F34+[1]MAR!F34</f>
        <v>371431</v>
      </c>
      <c r="G34" s="10"/>
      <c r="H34" s="10"/>
      <c r="I34" s="4">
        <f>[1]ENE!I34+[1]FEB!I34+[1]MAR!I34</f>
        <v>398342</v>
      </c>
      <c r="J34" s="10"/>
      <c r="K34" s="12"/>
    </row>
    <row r="35" spans="2:13" hidden="1" outlineLevel="1" x14ac:dyDescent="0.25">
      <c r="B35" s="28" t="s">
        <v>18</v>
      </c>
      <c r="C35" s="4">
        <f>[1]ENE!C35+[1]FEB!C35+[1]MAR!C35</f>
        <v>16427</v>
      </c>
      <c r="D35" s="10"/>
      <c r="E35" s="10"/>
      <c r="F35" s="4">
        <f>[1]ENE!F35+[1]FEB!F35+[1]MAR!F35</f>
        <v>20939</v>
      </c>
      <c r="G35" s="10"/>
      <c r="H35" s="10"/>
      <c r="I35" s="4">
        <f>[1]ENE!I35+[1]FEB!I35+[1]MAR!I35</f>
        <v>30709</v>
      </c>
      <c r="J35" s="10"/>
      <c r="K35" s="2"/>
    </row>
    <row r="36" spans="2:13" collapsed="1" x14ac:dyDescent="0.25">
      <c r="B36" s="48" t="s">
        <v>19</v>
      </c>
      <c r="C36" s="31">
        <f>C34+C35</f>
        <v>299600</v>
      </c>
      <c r="D36" s="32">
        <f t="shared" ref="D36:D44" si="14">C36/$C$33</f>
        <v>0.87358399790059915</v>
      </c>
      <c r="E36" s="32">
        <f>F36/C36-1</f>
        <v>0.30964619492656875</v>
      </c>
      <c r="F36" s="31">
        <f>F34+F35</f>
        <v>392370</v>
      </c>
      <c r="G36" s="32">
        <f>F36/$F$33</f>
        <v>0.87790110998990922</v>
      </c>
      <c r="H36" s="32">
        <f>I36/F36-1</f>
        <v>9.3485740500038217E-2</v>
      </c>
      <c r="I36" s="31">
        <f>I34+I35</f>
        <v>429051</v>
      </c>
      <c r="J36" s="32">
        <f>I36/$I$33</f>
        <v>0.87104927644507968</v>
      </c>
      <c r="K36" s="2"/>
      <c r="L36" s="8">
        <v>0.16250000000000001</v>
      </c>
      <c r="M36" s="57" t="s">
        <v>90</v>
      </c>
    </row>
    <row r="37" spans="2:13" x14ac:dyDescent="0.25">
      <c r="B37" s="28" t="s">
        <v>20</v>
      </c>
      <c r="C37" s="4">
        <f>[1]ENE!C37+[1]FEB!C37+[1]MAR!C37</f>
        <v>19198</v>
      </c>
      <c r="D37" s="11">
        <f t="shared" si="14"/>
        <v>5.5978189558396875E-2</v>
      </c>
      <c r="E37" s="11">
        <f>F37/C37-1</f>
        <v>0.13569121783519122</v>
      </c>
      <c r="F37" s="4">
        <f>[1]ENE!F37+[1]FEB!F37+[1]MAR!F37</f>
        <v>21803</v>
      </c>
      <c r="G37" s="11">
        <f>F37/$F$33</f>
        <v>4.8782725236664347E-2</v>
      </c>
      <c r="H37" s="11">
        <f>I37/F37-1</f>
        <v>-0.17103150942530843</v>
      </c>
      <c r="I37" s="4">
        <f>[1]ENE!I37+[1]FEB!I37+[1]MAR!I37</f>
        <v>18074</v>
      </c>
      <c r="J37" s="11">
        <f>I37/$I$33</f>
        <v>3.6693410859008298E-2</v>
      </c>
      <c r="L37" s="8">
        <f>L36-L33</f>
        <v>2.1500000000000019E-2</v>
      </c>
    </row>
    <row r="38" spans="2:13" hidden="1" outlineLevel="1" x14ac:dyDescent="0.25">
      <c r="B38" s="28" t="s">
        <v>21</v>
      </c>
      <c r="C38" s="4">
        <f>[1]ENE!C38+[1]FEB!C38+[1]MAR!C38</f>
        <v>0</v>
      </c>
      <c r="D38" s="11">
        <f t="shared" si="14"/>
        <v>0</v>
      </c>
      <c r="E38" s="11"/>
      <c r="F38" s="4">
        <f>[1]ENE!F38+[1]FEB!F38+[1]MAR!F38</f>
        <v>0</v>
      </c>
      <c r="G38" s="11">
        <f t="shared" ref="G38:G43" si="15">F38/$C$33</f>
        <v>0</v>
      </c>
      <c r="H38" s="11"/>
      <c r="I38" s="4">
        <f>[1]ENE!I38+[1]FEB!I38+[1]MAR!I38</f>
        <v>0</v>
      </c>
      <c r="J38" s="11">
        <f t="shared" ref="J38:J43" si="16">I38/$C$33</f>
        <v>0</v>
      </c>
    </row>
    <row r="39" spans="2:13" hidden="1" outlineLevel="1" x14ac:dyDescent="0.25">
      <c r="B39" s="28" t="s">
        <v>22</v>
      </c>
      <c r="C39" s="4">
        <f>[1]ENE!C39+[1]FEB!C39+[1]MAR!C39</f>
        <v>752</v>
      </c>
      <c r="D39" s="11">
        <f t="shared" si="14"/>
        <v>2.1927074980682597E-3</v>
      </c>
      <c r="E39" s="11"/>
      <c r="F39" s="4">
        <f>[1]ENE!F39+[1]FEB!F39+[1]MAR!F39</f>
        <v>0</v>
      </c>
      <c r="G39" s="11">
        <f t="shared" si="15"/>
        <v>0</v>
      </c>
      <c r="H39" s="11"/>
      <c r="I39" s="4">
        <f>[1]ENE!I39+[1]FEB!I39+[1]MAR!I39</f>
        <v>0</v>
      </c>
      <c r="J39" s="11">
        <f t="shared" si="16"/>
        <v>0</v>
      </c>
    </row>
    <row r="40" spans="2:13" hidden="1" outlineLevel="1" x14ac:dyDescent="0.25">
      <c r="B40" s="28" t="s">
        <v>23</v>
      </c>
      <c r="C40" s="4">
        <f>[1]ENE!C40+[1]FEB!C40+[1]MAR!C40</f>
        <v>3739</v>
      </c>
      <c r="D40" s="11">
        <f t="shared" si="14"/>
        <v>1.0902304967123968E-2</v>
      </c>
      <c r="E40" s="11"/>
      <c r="F40" s="4">
        <f>[1]ENE!F40+[1]FEB!F40+[1]MAR!F40</f>
        <v>2700</v>
      </c>
      <c r="G40" s="11">
        <f t="shared" si="15"/>
        <v>7.8727529850855064E-3</v>
      </c>
      <c r="H40" s="11"/>
      <c r="I40" s="4">
        <f>[1]ENE!I40+[1]FEB!I40+[1]MAR!I40</f>
        <v>11447</v>
      </c>
      <c r="J40" s="11">
        <f t="shared" si="16"/>
        <v>3.3377556822323629E-2</v>
      </c>
    </row>
    <row r="41" spans="2:13" hidden="1" outlineLevel="1" x14ac:dyDescent="0.25">
      <c r="B41" s="28" t="s">
        <v>24</v>
      </c>
      <c r="C41" s="4">
        <f>[1]ENE!C41+[1]FEB!C41+[1]MAR!C41</f>
        <v>10822</v>
      </c>
      <c r="D41" s="11">
        <f t="shared" si="14"/>
        <v>3.1555160297998278E-2</v>
      </c>
      <c r="E41" s="11"/>
      <c r="F41" s="4">
        <f>[1]ENE!F41+[1]FEB!F41+[1]MAR!F41</f>
        <v>15670</v>
      </c>
      <c r="G41" s="11">
        <f t="shared" si="15"/>
        <v>4.5691125657885148E-2</v>
      </c>
      <c r="H41" s="11"/>
      <c r="I41" s="4">
        <f>[1]ENE!I41+[1]FEB!I41+[1]MAR!I41</f>
        <v>14338</v>
      </c>
      <c r="J41" s="11">
        <f t="shared" si="16"/>
        <v>4.1807234185242959E-2</v>
      </c>
    </row>
    <row r="42" spans="2:13" hidden="1" outlineLevel="1" x14ac:dyDescent="0.25">
      <c r="B42" s="28" t="s">
        <v>25</v>
      </c>
      <c r="C42" s="4">
        <f>[1]ENE!C42+[1]FEB!C42+[1]MAR!C42</f>
        <v>5927</v>
      </c>
      <c r="D42" s="11">
        <f t="shared" si="14"/>
        <v>1.7282150719482147E-2</v>
      </c>
      <c r="E42" s="11"/>
      <c r="F42" s="4">
        <f>[1]ENE!F42+[1]FEB!F42+[1]MAR!F42</f>
        <v>7826</v>
      </c>
      <c r="G42" s="11">
        <f t="shared" si="15"/>
        <v>2.2819320318992288E-2</v>
      </c>
      <c r="H42" s="11"/>
      <c r="I42" s="4">
        <f>[1]ENE!I42+[1]FEB!I42+[1]MAR!I42</f>
        <v>11444</v>
      </c>
      <c r="J42" s="11">
        <f t="shared" si="16"/>
        <v>3.3368809319006869E-2</v>
      </c>
    </row>
    <row r="43" spans="2:13" hidden="1" outlineLevel="1" x14ac:dyDescent="0.25">
      <c r="B43" s="28" t="s">
        <v>26</v>
      </c>
      <c r="C43" s="4">
        <f>[1]ENE!C43+[1]FEB!C43+[1]MAR!C43</f>
        <v>2917</v>
      </c>
      <c r="D43" s="11">
        <f t="shared" si="14"/>
        <v>8.5054890583312684E-3</v>
      </c>
      <c r="E43" s="11"/>
      <c r="F43" s="4">
        <f>[1]ENE!F43+[1]FEB!F43+[1]MAR!F43</f>
        <v>6572</v>
      </c>
      <c r="G43" s="11">
        <f t="shared" si="15"/>
        <v>1.9162863932585907E-2</v>
      </c>
      <c r="H43" s="11"/>
      <c r="I43" s="4">
        <f>[1]ENE!I43+[1]FEB!I43+[1]MAR!I43</f>
        <v>8214</v>
      </c>
      <c r="J43" s="11">
        <f t="shared" si="16"/>
        <v>2.3950664081293465E-2</v>
      </c>
    </row>
    <row r="44" spans="2:13" collapsed="1" x14ac:dyDescent="0.25">
      <c r="B44" s="48" t="s">
        <v>27</v>
      </c>
      <c r="C44" s="5">
        <f>SUM(C38:C43)</f>
        <v>24157</v>
      </c>
      <c r="D44" s="32">
        <f t="shared" si="14"/>
        <v>7.0437812541003925E-2</v>
      </c>
      <c r="E44" s="32">
        <f>F44/C44-1</f>
        <v>0.35645982530943421</v>
      </c>
      <c r="F44" s="31">
        <f>SUM(F38:F43)</f>
        <v>32768</v>
      </c>
      <c r="G44" s="32">
        <f>F44/$F$33</f>
        <v>7.3316164773426465E-2</v>
      </c>
      <c r="H44" s="32">
        <f>I44/F44-1</f>
        <v>0.386810302734375</v>
      </c>
      <c r="I44" s="31">
        <f>SUM(I38:I43)</f>
        <v>45443</v>
      </c>
      <c r="J44" s="32">
        <f>I44/$I$33</f>
        <v>9.225731269591203E-2</v>
      </c>
      <c r="K44" s="2"/>
    </row>
    <row r="45" spans="2:13" x14ac:dyDescent="0.25">
      <c r="B45" s="24" t="s">
        <v>28</v>
      </c>
      <c r="C45" s="25">
        <f>SUM(C46:C55)</f>
        <v>492089</v>
      </c>
      <c r="D45" s="26">
        <f>C45/$C$5</f>
        <v>4.5968618080148418E-2</v>
      </c>
      <c r="E45" s="26">
        <f>F45/C45-1</f>
        <v>0.21909857769631103</v>
      </c>
      <c r="F45" s="25">
        <f>SUM(F46:F55)</f>
        <v>599905</v>
      </c>
      <c r="G45" s="26">
        <f>F45/$F$5</f>
        <v>4.5523168701811313E-2</v>
      </c>
      <c r="H45" s="26">
        <f>I45/F45-1</f>
        <v>0.1676765487868912</v>
      </c>
      <c r="I45" s="25">
        <f>SUM(I46:I55)</f>
        <v>700495</v>
      </c>
      <c r="J45" s="26">
        <f>I45/$I$5</f>
        <v>5.5850752966011087E-2</v>
      </c>
      <c r="K45" s="12"/>
      <c r="L45" s="2">
        <f>'A abril 30'!I11-'A abril 30'!I29</f>
        <v>204438</v>
      </c>
      <c r="M45" s="57" t="s">
        <v>91</v>
      </c>
    </row>
    <row r="46" spans="2:13" x14ac:dyDescent="0.25">
      <c r="B46" s="28" t="s">
        <v>17</v>
      </c>
      <c r="C46" s="4">
        <f>[1]ENE!C46+[1]FEB!C46+[1]MAR!C46</f>
        <v>344146</v>
      </c>
      <c r="D46" s="11">
        <f t="shared" ref="D46:D56" si="17">C46/$C$45</f>
        <v>0.69935723009455608</v>
      </c>
      <c r="E46" s="11">
        <f>F46/C46-1</f>
        <v>0.16013261813300161</v>
      </c>
      <c r="F46" s="4">
        <f>[1]ENE!F46+[1]FEB!F46+[1]MAR!F46</f>
        <v>399255</v>
      </c>
      <c r="G46" s="11">
        <f>F46/$F$45</f>
        <v>0.66553037564281015</v>
      </c>
      <c r="H46" s="11">
        <f>I46/F46-1</f>
        <v>0.20314335449775212</v>
      </c>
      <c r="I46" s="4">
        <f>[1]ENE!I46+[1]FEB!I46+[1]MAR!I46</f>
        <v>480361</v>
      </c>
      <c r="J46" s="11">
        <f>I46/$I$45</f>
        <v>0.68574508026466996</v>
      </c>
      <c r="K46" s="12"/>
      <c r="L46" s="9"/>
    </row>
    <row r="47" spans="2:13" x14ac:dyDescent="0.25">
      <c r="B47" s="28" t="s">
        <v>29</v>
      </c>
      <c r="C47" s="4">
        <f>[1]ENE!C47+[1]FEB!C47+[1]MAR!C47</f>
        <v>82339</v>
      </c>
      <c r="D47" s="11">
        <f t="shared" si="17"/>
        <v>0.16732542284017729</v>
      </c>
      <c r="E47" s="11">
        <f>F47/C47-1</f>
        <v>0.1906387009800945</v>
      </c>
      <c r="F47" s="4">
        <f>[1]ENE!F47+[1]FEB!F47+[1]MAR!F47</f>
        <v>98036</v>
      </c>
      <c r="G47" s="11">
        <f t="shared" ref="G47:G56" si="18">F47/$F$45</f>
        <v>0.16341920804127319</v>
      </c>
      <c r="H47" s="11">
        <f>I47/F47-1</f>
        <v>5.335795014076461E-2</v>
      </c>
      <c r="I47" s="4">
        <f>[1]ENE!I47+[1]FEB!I47+[1]MAR!I47</f>
        <v>103267</v>
      </c>
      <c r="J47" s="11">
        <f t="shared" ref="J47:J56" si="19">I47/$I$45</f>
        <v>0.14742003868692852</v>
      </c>
      <c r="K47" s="2"/>
    </row>
    <row r="48" spans="2:13" hidden="1" outlineLevel="1" x14ac:dyDescent="0.25">
      <c r="B48" s="28" t="s">
        <v>30</v>
      </c>
      <c r="C48" s="4">
        <f>[1]ENE!C48+[1]FEB!C48+[1]MAR!C48</f>
        <v>0</v>
      </c>
      <c r="D48" s="11">
        <f t="shared" si="17"/>
        <v>0</v>
      </c>
      <c r="E48" s="11"/>
      <c r="F48" s="4">
        <f>[1]ENE!F48+[1]FEB!F48+[1]MAR!F48</f>
        <v>435</v>
      </c>
      <c r="G48" s="11">
        <f t="shared" si="18"/>
        <v>7.2511480984489211E-4</v>
      </c>
      <c r="H48" s="11"/>
      <c r="I48" s="4">
        <f>[1]ENE!I48+[1]FEB!I48+[1]MAR!I48</f>
        <v>0</v>
      </c>
      <c r="J48" s="11">
        <f t="shared" si="19"/>
        <v>0</v>
      </c>
    </row>
    <row r="49" spans="2:11" hidden="1" outlineLevel="1" x14ac:dyDescent="0.25">
      <c r="B49" s="28" t="s">
        <v>57</v>
      </c>
      <c r="C49" s="4">
        <f>[1]ENE!C49+[1]FEB!C49+[1]MAR!C49</f>
        <v>198</v>
      </c>
      <c r="D49" s="11">
        <f t="shared" si="17"/>
        <v>4.0236623862756533E-4</v>
      </c>
      <c r="E49" s="11"/>
      <c r="F49" s="4">
        <f>[1]ENE!F49+[1]FEB!F49+[1]MAR!F49</f>
        <v>1630</v>
      </c>
      <c r="G49" s="11">
        <f t="shared" si="18"/>
        <v>2.7170968736716645E-3</v>
      </c>
      <c r="H49" s="11"/>
      <c r="I49" s="4">
        <f>[1]ENE!I49+[1]FEB!I49+[1]MAR!I49</f>
        <v>741</v>
      </c>
      <c r="J49" s="11">
        <f t="shared" si="19"/>
        <v>1.0578233963126076E-3</v>
      </c>
    </row>
    <row r="50" spans="2:11" hidden="1" outlineLevel="1" x14ac:dyDescent="0.25">
      <c r="B50" s="28" t="s">
        <v>79</v>
      </c>
      <c r="C50" s="4">
        <f>[1]ENE!C50+[1]FEB!C50+[1]MAR!C50</f>
        <v>0</v>
      </c>
      <c r="D50" s="11">
        <f t="shared" si="17"/>
        <v>0</v>
      </c>
      <c r="E50" s="11"/>
      <c r="F50" s="4">
        <f>[1]ENE!F50+[1]FEB!F50+[1]MAR!F50</f>
        <v>20536</v>
      </c>
      <c r="G50" s="11">
        <f t="shared" si="18"/>
        <v>3.4232086747068284E-2</v>
      </c>
      <c r="H50" s="11"/>
      <c r="I50" s="4">
        <f>[1]ENE!I50+[1]FEB!I50+[1]MAR!I50</f>
        <v>26652</v>
      </c>
      <c r="J50" s="11">
        <f t="shared" si="19"/>
        <v>3.8047380780733622E-2</v>
      </c>
    </row>
    <row r="51" spans="2:11" hidden="1" outlineLevel="1" x14ac:dyDescent="0.25">
      <c r="B51" s="28" t="s">
        <v>31</v>
      </c>
      <c r="C51" s="4">
        <f>[1]ENE!C51+[1]FEB!C51+[1]MAR!C51</f>
        <v>0</v>
      </c>
      <c r="D51" s="11">
        <f t="shared" si="17"/>
        <v>0</v>
      </c>
      <c r="E51" s="11"/>
      <c r="F51" s="4">
        <f>[1]ENE!F51+[1]FEB!F51+[1]MAR!F51</f>
        <v>1172</v>
      </c>
      <c r="G51" s="11">
        <f t="shared" si="18"/>
        <v>1.9536426600878475E-3</v>
      </c>
      <c r="H51" s="11"/>
      <c r="I51" s="4">
        <f>[1]ENE!I51+[1]FEB!I51+[1]MAR!I51</f>
        <v>0</v>
      </c>
      <c r="J51" s="11">
        <f t="shared" si="19"/>
        <v>0</v>
      </c>
    </row>
    <row r="52" spans="2:11" hidden="1" outlineLevel="1" x14ac:dyDescent="0.25">
      <c r="B52" s="28" t="s">
        <v>32</v>
      </c>
      <c r="C52" s="4">
        <f>[1]ENE!C52+[1]FEB!C52+[1]MAR!C52</f>
        <v>2917</v>
      </c>
      <c r="D52" s="11">
        <f t="shared" si="17"/>
        <v>5.9277894852353945E-3</v>
      </c>
      <c r="E52" s="11"/>
      <c r="F52" s="4">
        <f>[1]ENE!F52+[1]FEB!F52+[1]MAR!F52</f>
        <v>1466</v>
      </c>
      <c r="G52" s="11">
        <f t="shared" si="18"/>
        <v>2.4437202557071537E-3</v>
      </c>
      <c r="H52" s="11"/>
      <c r="I52" s="4">
        <f>[1]ENE!I52+[1]FEB!I52+[1]MAR!I52</f>
        <v>1909</v>
      </c>
      <c r="J52" s="11">
        <f t="shared" si="19"/>
        <v>2.7252157402979323E-3</v>
      </c>
    </row>
    <row r="53" spans="2:11" hidden="1" outlineLevel="1" x14ac:dyDescent="0.25">
      <c r="B53" s="28" t="s">
        <v>33</v>
      </c>
      <c r="C53" s="4">
        <f>[1]ENE!C53+[1]FEB!C53+[1]MAR!C53</f>
        <v>17183</v>
      </c>
      <c r="D53" s="11">
        <f t="shared" si="17"/>
        <v>3.4918480193623508E-2</v>
      </c>
      <c r="E53" s="11"/>
      <c r="F53" s="4">
        <f>[1]ENE!F53+[1]FEB!F53+[1]MAR!F53</f>
        <v>21914</v>
      </c>
      <c r="G53" s="11">
        <f t="shared" si="18"/>
        <v>3.6529117110209119E-2</v>
      </c>
      <c r="H53" s="11"/>
      <c r="I53" s="4">
        <f>[1]ENE!I53+[1]FEB!I53+[1]MAR!I53</f>
        <v>23794</v>
      </c>
      <c r="J53" s="11">
        <f t="shared" si="19"/>
        <v>3.3967408760947615E-2</v>
      </c>
    </row>
    <row r="54" spans="2:11" hidden="1" outlineLevel="1" x14ac:dyDescent="0.25">
      <c r="B54" s="28" t="s">
        <v>20</v>
      </c>
      <c r="C54" s="4">
        <f>[1]ENE!C54+[1]FEB!C54+[1]MAR!C54</f>
        <v>4504</v>
      </c>
      <c r="D54" s="11">
        <f t="shared" si="17"/>
        <v>9.1528158524169408E-3</v>
      </c>
      <c r="E54" s="11"/>
      <c r="F54" s="4">
        <f>[1]ENE!F54+[1]FEB!F54+[1]MAR!F54</f>
        <v>4251</v>
      </c>
      <c r="G54" s="11">
        <f t="shared" si="18"/>
        <v>7.0861219693118078E-3</v>
      </c>
      <c r="H54" s="11"/>
      <c r="I54" s="4">
        <f>[1]ENE!I54+[1]FEB!I54+[1]MAR!I54</f>
        <v>4251</v>
      </c>
      <c r="J54" s="11">
        <f t="shared" si="19"/>
        <v>6.0685657998986427E-3</v>
      </c>
    </row>
    <row r="55" spans="2:11" hidden="1" outlineLevel="1" x14ac:dyDescent="0.25">
      <c r="B55" s="28" t="s">
        <v>26</v>
      </c>
      <c r="C55" s="4">
        <f>[1]ENE!C55+[1]FEB!C55+[1]MAR!C55</f>
        <v>40802</v>
      </c>
      <c r="D55" s="11">
        <f t="shared" si="17"/>
        <v>8.2915895295363237E-2</v>
      </c>
      <c r="E55" s="11"/>
      <c r="F55" s="4">
        <f>[1]ENE!F55+[1]FEB!F55+[1]MAR!F55</f>
        <v>51210</v>
      </c>
      <c r="G55" s="11">
        <f t="shared" si="18"/>
        <v>8.5363515890015923E-2</v>
      </c>
      <c r="H55" s="11"/>
      <c r="I55" s="4">
        <f>[1]ENE!I55+[1]FEB!I55+[1]MAR!I55</f>
        <v>59520</v>
      </c>
      <c r="J55" s="11">
        <f t="shared" si="19"/>
        <v>8.4968486570211069E-2</v>
      </c>
      <c r="K55" s="2"/>
    </row>
    <row r="56" spans="2:11" collapsed="1" x14ac:dyDescent="0.25">
      <c r="B56" s="48" t="s">
        <v>34</v>
      </c>
      <c r="C56" s="31">
        <f>SUM(C48:C55)</f>
        <v>65604</v>
      </c>
      <c r="D56" s="32">
        <f t="shared" si="17"/>
        <v>0.13331734706526666</v>
      </c>
      <c r="E56" s="32">
        <f>F56/C56-1</f>
        <v>0.56414243033961342</v>
      </c>
      <c r="F56" s="31">
        <f>SUM(F48:F55)</f>
        <v>102614</v>
      </c>
      <c r="G56" s="32">
        <f t="shared" si="18"/>
        <v>0.17105041631591669</v>
      </c>
      <c r="H56" s="32">
        <f>I56/F56-1</f>
        <v>0.13889917555109443</v>
      </c>
      <c r="I56" s="31">
        <f>SUM(I48:I55)</f>
        <v>116867</v>
      </c>
      <c r="J56" s="32">
        <f t="shared" si="19"/>
        <v>0.1668348810484015</v>
      </c>
    </row>
    <row r="57" spans="2:11" x14ac:dyDescent="0.25">
      <c r="B57" s="24" t="s">
        <v>59</v>
      </c>
      <c r="C57" s="25">
        <f>SUM(C58:C62)</f>
        <v>529817</v>
      </c>
      <c r="D57" s="26">
        <f>C57/$C$5</f>
        <v>4.9492988718239983E-2</v>
      </c>
      <c r="E57" s="26">
        <f>F57/C57-1</f>
        <v>5.2637042601501927E-2</v>
      </c>
      <c r="F57" s="25">
        <f>SUM(F58:F62)</f>
        <v>557705</v>
      </c>
      <c r="G57" s="26">
        <f>F57/$F$5</f>
        <v>4.2320865471772495E-2</v>
      </c>
      <c r="H57" s="26">
        <f t="shared" ref="H57:H64" si="20">I57/F57-1</f>
        <v>0.20527877641405401</v>
      </c>
      <c r="I57" s="25">
        <f>SUM(I58:I62)</f>
        <v>672190</v>
      </c>
      <c r="J57" s="26">
        <f>I57/$I$5</f>
        <v>5.3593983734677608E-2</v>
      </c>
      <c r="K57" s="12"/>
    </row>
    <row r="58" spans="2:11" x14ac:dyDescent="0.25">
      <c r="B58" s="28" t="s">
        <v>17</v>
      </c>
      <c r="C58" s="4">
        <f>[1]ENE!C58+[1]FEB!C58+[1]MAR!C58</f>
        <v>117246</v>
      </c>
      <c r="D58" s="11">
        <f>C58/$C$57</f>
        <v>0.22129527742597915</v>
      </c>
      <c r="E58" s="11">
        <f>F58/C58-1</f>
        <v>2.6440134418231676E-2</v>
      </c>
      <c r="F58" s="4">
        <f>[1]ENE!F58+[1]FEB!F58+[1]MAR!F58</f>
        <v>120346</v>
      </c>
      <c r="G58" s="11">
        <f>F58/$F$57</f>
        <v>0.21578791655086471</v>
      </c>
      <c r="H58" s="11">
        <f>I58/F58-1</f>
        <v>0.30422282419025137</v>
      </c>
      <c r="I58" s="4">
        <f>[1]ENE!I58+[1]FEB!I58+[1]MAR!I58</f>
        <v>156958</v>
      </c>
      <c r="J58" s="11">
        <f>I58/$I$57</f>
        <v>0.23350243234799684</v>
      </c>
      <c r="K58" s="2"/>
    </row>
    <row r="59" spans="2:11" x14ac:dyDescent="0.25">
      <c r="B59" s="28" t="s">
        <v>35</v>
      </c>
      <c r="C59" s="4">
        <f>[1]ENE!C59+[1]FEB!C59+[1]MAR!C59</f>
        <v>6883</v>
      </c>
      <c r="D59" s="11">
        <f>C59/$C$57</f>
        <v>1.2991278120558608E-2</v>
      </c>
      <c r="E59" s="11">
        <f t="shared" ref="E59:E62" si="21">F59/C59-1</f>
        <v>-0.20688653203544971</v>
      </c>
      <c r="F59" s="4">
        <f>[1]ENE!F59+[1]FEB!F59+[1]MAR!F59</f>
        <v>5459</v>
      </c>
      <c r="G59" s="11">
        <f>F59/$F$57</f>
        <v>9.7883289552720531E-3</v>
      </c>
      <c r="H59" s="11">
        <f t="shared" ref="H59:H62" si="22">I59/F59-1</f>
        <v>0.18208463088477744</v>
      </c>
      <c r="I59" s="4">
        <f>[1]ENE!I59+[1]FEB!I59+[1]MAR!I59</f>
        <v>6453</v>
      </c>
      <c r="J59" s="11">
        <f>I59/$I$57</f>
        <v>9.5999642958092199E-3</v>
      </c>
      <c r="K59" s="2"/>
    </row>
    <row r="60" spans="2:11" x14ac:dyDescent="0.25">
      <c r="B60" s="28" t="s">
        <v>36</v>
      </c>
      <c r="C60" s="4">
        <f>[1]ENE!C60+[1]FEB!C60+[1]MAR!C60</f>
        <v>395667</v>
      </c>
      <c r="D60" s="11">
        <f>C60/$C$57</f>
        <v>0.74679936657374146</v>
      </c>
      <c r="E60" s="11">
        <f t="shared" si="21"/>
        <v>8.1151574430013085E-2</v>
      </c>
      <c r="F60" s="4">
        <f>[1]ENE!F60+[1]FEB!F60+[1]MAR!F60</f>
        <v>427776</v>
      </c>
      <c r="G60" s="11">
        <f>F60/$F$57</f>
        <v>0.76702916416385003</v>
      </c>
      <c r="H60" s="11">
        <f t="shared" si="22"/>
        <v>0.18351894449431483</v>
      </c>
      <c r="I60" s="4">
        <f>[1]ENE!I60+[1]FEB!I60+[1]MAR!I60</f>
        <v>506281</v>
      </c>
      <c r="J60" s="11">
        <f>I60/$I$57</f>
        <v>0.75318139216590552</v>
      </c>
      <c r="K60" s="12"/>
    </row>
    <row r="61" spans="2:11" x14ac:dyDescent="0.25">
      <c r="B61" s="28" t="s">
        <v>37</v>
      </c>
      <c r="C61" s="4">
        <f>[1]ENE!C61+[1]FEB!C61+[1]MAR!C61</f>
        <v>6146</v>
      </c>
      <c r="D61" s="11">
        <f t="shared" ref="D61:D62" si="23">C61/$C$57</f>
        <v>1.1600231778142265E-2</v>
      </c>
      <c r="E61" s="11">
        <f t="shared" si="21"/>
        <v>-1</v>
      </c>
      <c r="F61" s="4">
        <f>[1]ENE!F61+[1]FEB!F61+[1]MAR!F61</f>
        <v>0</v>
      </c>
      <c r="G61" s="11">
        <f t="shared" ref="G61:G62" si="24">F61/$F$57</f>
        <v>0</v>
      </c>
      <c r="H61" s="11">
        <v>0</v>
      </c>
      <c r="I61" s="4">
        <f>[1]ENE!I61+[1]FEB!I61+[1]MAR!I61</f>
        <v>0</v>
      </c>
      <c r="J61" s="11">
        <f>I61/$I$57</f>
        <v>0</v>
      </c>
      <c r="K61" s="2"/>
    </row>
    <row r="62" spans="2:11" x14ac:dyDescent="0.25">
      <c r="B62" s="28" t="s">
        <v>26</v>
      </c>
      <c r="C62" s="4">
        <f>[1]ENE!C62+[1]FEB!C62+[1]MAR!C62</f>
        <v>3875</v>
      </c>
      <c r="D62" s="11">
        <f t="shared" si="23"/>
        <v>7.3138461015784693E-3</v>
      </c>
      <c r="E62" s="11">
        <f t="shared" si="21"/>
        <v>6.4258064516129032E-2</v>
      </c>
      <c r="F62" s="4">
        <f>[1]ENE!F62+[1]FEB!F62+[1]MAR!F62</f>
        <v>4124</v>
      </c>
      <c r="G62" s="11">
        <f t="shared" si="24"/>
        <v>7.3945903300131786E-3</v>
      </c>
      <c r="H62" s="11">
        <f t="shared" si="22"/>
        <v>-0.39427740058195926</v>
      </c>
      <c r="I62" s="4">
        <f>[1]ENE!I62+[1]FEB!I62+[1]MAR!I62</f>
        <v>2498</v>
      </c>
      <c r="J62" s="11">
        <f>I62/$I$57</f>
        <v>3.71621119028846E-3</v>
      </c>
    </row>
    <row r="63" spans="2:11" x14ac:dyDescent="0.25">
      <c r="B63" s="56" t="s">
        <v>38</v>
      </c>
      <c r="C63" s="40">
        <f>C32-C33-C45-C57</f>
        <v>2355562</v>
      </c>
      <c r="D63" s="41">
        <f>C63/$C$5</f>
        <v>0.22004541849565945</v>
      </c>
      <c r="E63" s="41">
        <f>F63/C63-1</f>
        <v>0.32210020368812198</v>
      </c>
      <c r="F63" s="40">
        <f>F32-F33-F45-F57</f>
        <v>3114289</v>
      </c>
      <c r="G63" s="41">
        <f>F63/$F$5</f>
        <v>0.2363245906155062</v>
      </c>
      <c r="H63" s="41">
        <f t="shared" si="20"/>
        <v>-0.33000694540551634</v>
      </c>
      <c r="I63" s="40">
        <f>I32-I33-I45-I57</f>
        <v>2086552</v>
      </c>
      <c r="J63" s="41">
        <f>I63/$I$5</f>
        <v>0.16636164469801548</v>
      </c>
      <c r="K63" s="2"/>
    </row>
    <row r="64" spans="2:11" x14ac:dyDescent="0.25">
      <c r="B64" s="24" t="s">
        <v>39</v>
      </c>
      <c r="C64" s="25">
        <f>SUM(C65:C70)</f>
        <v>376344</v>
      </c>
      <c r="D64" s="26">
        <f>C64/$C$5</f>
        <v>3.515626970477978E-2</v>
      </c>
      <c r="E64" s="26">
        <f>F64/C64-1</f>
        <v>-5.7891184660842199E-2</v>
      </c>
      <c r="F64" s="25">
        <f>SUM(F65:F70)</f>
        <v>354557</v>
      </c>
      <c r="G64" s="26">
        <f>F64/$F$5</f>
        <v>2.6905190197461452E-2</v>
      </c>
      <c r="H64" s="26">
        <f t="shared" si="20"/>
        <v>-4.4342658585220462E-2</v>
      </c>
      <c r="I64" s="25">
        <f>SUM(I65:I70)</f>
        <v>338835</v>
      </c>
      <c r="J64" s="26">
        <f>I64/$I$5</f>
        <v>2.7015453188442982E-2</v>
      </c>
    </row>
    <row r="65" spans="2:12" hidden="1" outlineLevel="1" x14ac:dyDescent="0.25">
      <c r="B65" s="28" t="s">
        <v>40</v>
      </c>
      <c r="C65" s="4">
        <f>[1]ENE!C65+[1]FEB!C65+[1]MAR!C65</f>
        <v>273500</v>
      </c>
      <c r="D65" s="21"/>
      <c r="E65" s="21"/>
      <c r="F65" s="4">
        <f>[1]ENE!F65+[1]FEB!F65+[1]MAR!F65</f>
        <v>129749</v>
      </c>
      <c r="G65" s="21"/>
      <c r="H65" s="21"/>
      <c r="I65" s="4">
        <f>[1]ENE!I65+[1]FEB!I65+[1]MAR!I65</f>
        <v>206246</v>
      </c>
      <c r="J65" s="21"/>
    </row>
    <row r="66" spans="2:12" hidden="1" outlineLevel="1" x14ac:dyDescent="0.25">
      <c r="B66" s="28" t="s">
        <v>41</v>
      </c>
      <c r="C66" s="4">
        <f>[1]ENE!C66+[1]FEB!C66+[1]MAR!C66</f>
        <v>9211</v>
      </c>
      <c r="D66" s="21"/>
      <c r="E66" s="21"/>
      <c r="F66" s="4">
        <f>[1]ENE!F66+[1]FEB!F66+[1]MAR!F66</f>
        <v>44644</v>
      </c>
      <c r="G66" s="21"/>
      <c r="H66" s="21"/>
      <c r="I66" s="4">
        <f>[1]ENE!I66+[1]FEB!I66+[1]MAR!I66</f>
        <v>17084</v>
      </c>
      <c r="J66" s="21"/>
    </row>
    <row r="67" spans="2:12" hidden="1" outlineLevel="1" x14ac:dyDescent="0.25">
      <c r="B67" s="28" t="s">
        <v>80</v>
      </c>
      <c r="C67" s="4">
        <f>[1]ENE!C67+[1]FEB!C67+[1]MAR!C67</f>
        <v>77286</v>
      </c>
      <c r="D67" s="21"/>
      <c r="E67" s="21"/>
      <c r="F67" s="4">
        <f>[1]ENE!F67+[1]FEB!F67+[1]MAR!F67</f>
        <v>87549</v>
      </c>
      <c r="G67" s="21"/>
      <c r="H67" s="21"/>
      <c r="I67" s="4">
        <f>[1]ENE!I67+[1]FEB!I67+[1]MAR!I67</f>
        <v>114667</v>
      </c>
      <c r="J67" s="21"/>
    </row>
    <row r="68" spans="2:12" hidden="1" outlineLevel="1" x14ac:dyDescent="0.25">
      <c r="B68" s="28" t="s">
        <v>42</v>
      </c>
      <c r="C68" s="4">
        <f>[1]ENE!C68+[1]FEB!C68+[1]MAR!C68</f>
        <v>12022</v>
      </c>
      <c r="D68" s="21"/>
      <c r="E68" s="21"/>
      <c r="F68" s="4">
        <f>[1]ENE!F68+[1]FEB!F68+[1]MAR!F68</f>
        <v>0</v>
      </c>
      <c r="G68" s="21"/>
      <c r="H68" s="21"/>
      <c r="I68" s="4">
        <f>[1]ENE!I68+[1]FEB!I68+[1]MAR!I68</f>
        <v>0</v>
      </c>
      <c r="J68" s="21"/>
    </row>
    <row r="69" spans="2:12" hidden="1" outlineLevel="1" x14ac:dyDescent="0.25">
      <c r="B69" s="28" t="s">
        <v>81</v>
      </c>
      <c r="C69" s="4">
        <f>[1]ENE!C69+[1]FEB!C69+[1]MAR!C69</f>
        <v>0</v>
      </c>
      <c r="D69" s="21"/>
      <c r="E69" s="21"/>
      <c r="F69" s="4">
        <f>[1]ENE!F69+[1]FEB!F69+[1]MAR!F69</f>
        <v>88135</v>
      </c>
      <c r="G69" s="21"/>
      <c r="H69" s="21"/>
      <c r="I69" s="4">
        <f>[1]ENE!I69+[1]FEB!I69+[1]MAR!I69</f>
        <v>300</v>
      </c>
      <c r="J69" s="21"/>
    </row>
    <row r="70" spans="2:12" hidden="1" outlineLevel="1" x14ac:dyDescent="0.25">
      <c r="B70" s="28" t="s">
        <v>26</v>
      </c>
      <c r="C70" s="4">
        <f>[1]ENE!C70+[1]FEB!C70+[1]MAR!C70</f>
        <v>4325</v>
      </c>
      <c r="D70" s="21"/>
      <c r="E70" s="21"/>
      <c r="F70" s="4">
        <f>[1]ENE!F70+[1]FEB!F70+[1]MAR!F70</f>
        <v>4480</v>
      </c>
      <c r="G70" s="21"/>
      <c r="H70" s="21"/>
      <c r="I70" s="4">
        <f>[1]ENE!I70+[1]FEB!I70+[1]MAR!I70</f>
        <v>538</v>
      </c>
      <c r="J70" s="21"/>
    </row>
    <row r="71" spans="2:12" collapsed="1" x14ac:dyDescent="0.25">
      <c r="B71" s="24" t="s">
        <v>43</v>
      </c>
      <c r="C71" s="25">
        <f>SUM(C72:C78)</f>
        <v>111248</v>
      </c>
      <c r="D71" s="26">
        <f>C71/$C$5</f>
        <v>1.039225998585693E-2</v>
      </c>
      <c r="E71" s="26">
        <f>F71/C71-1</f>
        <v>2.1217909535452324</v>
      </c>
      <c r="F71" s="25">
        <f>SUM(F72:F78)</f>
        <v>347293</v>
      </c>
      <c r="G71" s="26">
        <f>F71/$F$5</f>
        <v>2.6353969091703112E-2</v>
      </c>
      <c r="H71" s="26">
        <f>I71/F71-1</f>
        <v>0.94663871716389325</v>
      </c>
      <c r="I71" s="25">
        <f>SUM(I72:I78)</f>
        <v>676054</v>
      </c>
      <c r="J71" s="26">
        <f>I71/$I$5</f>
        <v>5.3902062035679994E-2</v>
      </c>
    </row>
    <row r="72" spans="2:12" hidden="1" outlineLevel="1" x14ac:dyDescent="0.25">
      <c r="B72" s="28" t="s">
        <v>44</v>
      </c>
      <c r="C72" s="4">
        <f>[1]ENE!C72+[1]FEB!C72+[1]MAR!C72</f>
        <v>2798</v>
      </c>
      <c r="D72" s="10"/>
      <c r="E72" s="10"/>
      <c r="F72" s="4">
        <f>[1]ENE!F72+[1]FEB!F72+[1]MAR!F72</f>
        <v>2759</v>
      </c>
      <c r="G72" s="10"/>
      <c r="H72" s="10"/>
      <c r="I72" s="4">
        <f>[1]ENE!I72+[1]FEB!I72+[1]MAR!I72</f>
        <v>3905</v>
      </c>
      <c r="J72" s="10"/>
    </row>
    <row r="73" spans="2:12" hidden="1" outlineLevel="1" x14ac:dyDescent="0.25">
      <c r="B73" s="28" t="s">
        <v>82</v>
      </c>
      <c r="C73" s="4">
        <f>[1]ENE!C73+[1]FEB!C73+[1]MAR!C73</f>
        <v>0</v>
      </c>
      <c r="D73" s="10"/>
      <c r="E73" s="10"/>
      <c r="F73" s="4">
        <f>[1]ENE!F73+[1]FEB!F73+[1]MAR!F73</f>
        <v>147280</v>
      </c>
      <c r="G73" s="10"/>
      <c r="H73" s="10"/>
      <c r="I73" s="4">
        <f>[1]ENE!I73+[1]FEB!I73+[1]MAR!I73</f>
        <v>408403</v>
      </c>
      <c r="J73" s="10"/>
      <c r="K73" s="2"/>
    </row>
    <row r="74" spans="2:12" hidden="1" outlineLevel="1" x14ac:dyDescent="0.25">
      <c r="B74" s="28" t="s">
        <v>41</v>
      </c>
      <c r="C74" s="4">
        <f>[1]ENE!C74+[1]FEB!C74+[1]MAR!C74</f>
        <v>2954</v>
      </c>
      <c r="D74" s="10"/>
      <c r="E74" s="10"/>
      <c r="F74" s="4">
        <f>[1]ENE!F74+[1]FEB!F74+[1]MAR!F74</f>
        <v>8670</v>
      </c>
      <c r="G74" s="10"/>
      <c r="H74" s="10"/>
      <c r="I74" s="4">
        <f>[1]ENE!I74+[1]FEB!I74+[1]MAR!I74</f>
        <v>33237</v>
      </c>
      <c r="J74" s="10"/>
      <c r="K74" s="2"/>
    </row>
    <row r="75" spans="2:12" hidden="1" outlineLevel="1" x14ac:dyDescent="0.25">
      <c r="B75" s="28" t="s">
        <v>45</v>
      </c>
      <c r="C75" s="4">
        <f>[1]ENE!C75+[1]FEB!C75+[1]MAR!C75</f>
        <v>0</v>
      </c>
      <c r="D75" s="10"/>
      <c r="E75" s="10"/>
      <c r="F75" s="4">
        <f>[1]ENE!F75+[1]FEB!F75+[1]MAR!F75</f>
        <v>0</v>
      </c>
      <c r="G75" s="10"/>
      <c r="H75" s="10"/>
      <c r="I75" s="4">
        <f>[1]ENE!I75+[1]FEB!I75+[1]MAR!I75</f>
        <v>0</v>
      </c>
      <c r="J75" s="10"/>
      <c r="K75" s="2"/>
    </row>
    <row r="76" spans="2:12" hidden="1" outlineLevel="1" x14ac:dyDescent="0.25">
      <c r="B76" s="28" t="s">
        <v>46</v>
      </c>
      <c r="C76" s="4">
        <f>[1]ENE!C76+[1]FEB!C76+[1]MAR!C76</f>
        <v>52625</v>
      </c>
      <c r="D76" s="10"/>
      <c r="E76" s="10"/>
      <c r="F76" s="4">
        <f>[1]ENE!F76+[1]FEB!F76+[1]MAR!F76</f>
        <v>50812</v>
      </c>
      <c r="G76" s="10"/>
      <c r="H76" s="10"/>
      <c r="I76" s="4">
        <f>[1]ENE!I76+[1]FEB!I76+[1]MAR!I76</f>
        <v>87352</v>
      </c>
      <c r="J76" s="10"/>
    </row>
    <row r="77" spans="2:12" hidden="1" outlineLevel="1" x14ac:dyDescent="0.25">
      <c r="B77" s="28" t="s">
        <v>63</v>
      </c>
      <c r="C77" s="4">
        <f>[1]ENE!C77+[1]FEB!C77+[1]MAR!C77</f>
        <v>52663</v>
      </c>
      <c r="D77" s="10"/>
      <c r="E77" s="10"/>
      <c r="F77" s="4">
        <f>[1]ENE!F77+[1]FEB!F77+[1]MAR!F77</f>
        <v>137527</v>
      </c>
      <c r="G77" s="10"/>
      <c r="H77" s="10"/>
      <c r="I77" s="4">
        <f>[1]ENE!I77+[1]FEB!I77+[1]MAR!I77</f>
        <v>107152</v>
      </c>
      <c r="J77" s="10"/>
    </row>
    <row r="78" spans="2:12" hidden="1" outlineLevel="1" x14ac:dyDescent="0.25">
      <c r="B78" s="28" t="s">
        <v>47</v>
      </c>
      <c r="C78" s="4">
        <f>[1]ENE!C78+[1]FEB!C78+[1]MAR!C78</f>
        <v>208</v>
      </c>
      <c r="D78" s="10"/>
      <c r="E78" s="10"/>
      <c r="F78" s="4">
        <f>[1]ENE!F78+[1]FEB!F78+[1]MAR!F78</f>
        <v>245</v>
      </c>
      <c r="G78" s="10"/>
      <c r="H78" s="10"/>
      <c r="I78" s="4">
        <f>[1]ENE!I78+[1]FEB!I78+[1]MAR!I78</f>
        <v>36005</v>
      </c>
      <c r="J78" s="10"/>
    </row>
    <row r="79" spans="2:12" collapsed="1" x14ac:dyDescent="0.25">
      <c r="B79" s="56" t="s">
        <v>48</v>
      </c>
      <c r="C79" s="40">
        <f>C63-C71+C64</f>
        <v>2620658</v>
      </c>
      <c r="D79" s="41">
        <f>C79/C5</f>
        <v>0.24480942821458232</v>
      </c>
      <c r="E79" s="41">
        <f>F79/C79-1</f>
        <v>0.19113329553112224</v>
      </c>
      <c r="F79" s="40">
        <f>F63-F71+F64</f>
        <v>3121553</v>
      </c>
      <c r="G79" s="41">
        <f>F79/F5</f>
        <v>0.23687581172126454</v>
      </c>
      <c r="H79" s="41">
        <f>I79/F79-1</f>
        <v>-0.43959529118999419</v>
      </c>
      <c r="I79" s="40">
        <f>I63-I71+I64</f>
        <v>1749333</v>
      </c>
      <c r="J79" s="41">
        <f>I79/$I$5</f>
        <v>0.13947503585077847</v>
      </c>
      <c r="K79" s="8"/>
      <c r="L79" s="15"/>
    </row>
    <row r="80" spans="2:12" x14ac:dyDescent="0.25">
      <c r="B80" s="24" t="s">
        <v>49</v>
      </c>
      <c r="C80" s="25">
        <f>SUM(C81:C90)</f>
        <v>164627</v>
      </c>
      <c r="D80" s="26">
        <f>C80/$C$5</f>
        <v>1.5378672737412528E-2</v>
      </c>
      <c r="E80" s="26">
        <f>F80/C80-1</f>
        <v>-3.568673425379798E-2</v>
      </c>
      <c r="F80" s="25">
        <f>SUM(F81:F90)</f>
        <v>158752</v>
      </c>
      <c r="G80" s="26">
        <f>F80/$F$5</f>
        <v>1.2046730861969727E-2</v>
      </c>
      <c r="H80" s="26">
        <f>I80/F80-1</f>
        <v>3.689446432170933</v>
      </c>
      <c r="I80" s="25">
        <f>SUM(I81:I90)</f>
        <v>744459</v>
      </c>
      <c r="J80" s="26">
        <f>I80/$I$5</f>
        <v>5.935602067441402E-2</v>
      </c>
      <c r="K80" s="19"/>
    </row>
    <row r="81" spans="2:12" hidden="1" outlineLevel="1" x14ac:dyDescent="0.25">
      <c r="B81" s="28" t="s">
        <v>17</v>
      </c>
      <c r="C81" s="4">
        <f>Ene!C81+Feb!C81+Mar!C81</f>
        <v>106211</v>
      </c>
      <c r="D81" s="10"/>
      <c r="E81" s="10"/>
      <c r="F81" s="4">
        <f>[1]ENE!F81+[1]FEB!F81+[1]MAR!F81</f>
        <v>124891</v>
      </c>
      <c r="G81" s="10"/>
      <c r="H81" s="10"/>
      <c r="I81" s="4">
        <f>[1]ENE!I81+[1]FEB!I81+[1]MAR!I81</f>
        <v>701459</v>
      </c>
      <c r="J81" s="10"/>
    </row>
    <row r="82" spans="2:12" hidden="1" outlineLevel="1" x14ac:dyDescent="0.25">
      <c r="B82" s="28" t="s">
        <v>50</v>
      </c>
      <c r="C82" s="4">
        <f>Ene!C82+Feb!C82+Mar!C82</f>
        <v>0</v>
      </c>
      <c r="D82" s="10"/>
      <c r="E82" s="10"/>
      <c r="F82" s="4">
        <f>[1]ENE!F82+[1]FEB!F82+[1]MAR!F82</f>
        <v>0</v>
      </c>
      <c r="G82" s="10"/>
      <c r="H82" s="10"/>
      <c r="I82" s="4">
        <f>[1]ENE!I82+[1]FEB!I82+[1]MAR!I82</f>
        <v>0</v>
      </c>
      <c r="J82" s="10"/>
    </row>
    <row r="83" spans="2:12" hidden="1" outlineLevel="1" x14ac:dyDescent="0.25">
      <c r="B83" s="28" t="s">
        <v>51</v>
      </c>
      <c r="C83" s="4">
        <f>Ene!C83+Feb!C83+Mar!C83</f>
        <v>5400</v>
      </c>
      <c r="D83" s="10"/>
      <c r="E83" s="10"/>
      <c r="F83" s="4">
        <f>[1]ENE!F83+[1]FEB!F83+[1]MAR!F83</f>
        <v>5916</v>
      </c>
      <c r="G83" s="10"/>
      <c r="H83" s="10"/>
      <c r="I83" s="4">
        <f>[1]ENE!I83+[1]FEB!I83+[1]MAR!I83</f>
        <v>0</v>
      </c>
      <c r="J83" s="10"/>
      <c r="K83" s="2"/>
    </row>
    <row r="84" spans="2:12" hidden="1" outlineLevel="1" x14ac:dyDescent="0.25">
      <c r="B84" s="28" t="s">
        <v>52</v>
      </c>
      <c r="C84" s="4">
        <f>Ene!C84+Feb!C84+Mar!C84</f>
        <v>21728</v>
      </c>
      <c r="D84" s="10"/>
      <c r="E84" s="10"/>
      <c r="F84" s="4">
        <f>[1]ENE!F84+[1]FEB!F84+[1]MAR!F84</f>
        <v>0</v>
      </c>
      <c r="G84" s="10"/>
      <c r="H84" s="10"/>
      <c r="I84" s="4">
        <f>[1]ENE!I84+[1]FEB!I84+[1]MAR!I84</f>
        <v>26463</v>
      </c>
      <c r="J84" s="10"/>
      <c r="K84" s="2"/>
    </row>
    <row r="85" spans="2:12" hidden="1" outlineLevel="1" x14ac:dyDescent="0.25">
      <c r="B85" s="28" t="s">
        <v>84</v>
      </c>
      <c r="C85" s="4">
        <f>Ene!C85+Feb!C85+Mar!C85</f>
        <v>16951</v>
      </c>
      <c r="D85" s="10"/>
      <c r="E85" s="10"/>
      <c r="F85" s="4">
        <f>[1]ENE!F85+[1]FEB!F85+[1]MAR!F85</f>
        <v>15866</v>
      </c>
      <c r="G85" s="10"/>
      <c r="H85" s="10"/>
      <c r="I85" s="4">
        <f>[1]ENE!I85+[1]FEB!I85+[1]MAR!I85</f>
        <v>1907</v>
      </c>
      <c r="J85" s="10"/>
    </row>
    <row r="86" spans="2:12" hidden="1" outlineLevel="1" x14ac:dyDescent="0.25">
      <c r="B86" s="28" t="s">
        <v>54</v>
      </c>
      <c r="C86" s="4">
        <f>Ene!C86+Feb!C86+Mar!C86</f>
        <v>1462</v>
      </c>
      <c r="D86" s="10"/>
      <c r="E86" s="10"/>
      <c r="F86" s="4">
        <f>[1]ENE!F86+[1]FEB!F86+[1]MAR!F86</f>
        <v>1035</v>
      </c>
      <c r="G86" s="10"/>
      <c r="H86" s="10"/>
      <c r="I86" s="4">
        <f>[1]ENE!I86+[1]FEB!I86+[1]MAR!I86</f>
        <v>811</v>
      </c>
      <c r="J86" s="10"/>
    </row>
    <row r="87" spans="2:12" hidden="1" outlineLevel="1" x14ac:dyDescent="0.25">
      <c r="B87" s="28" t="s">
        <v>83</v>
      </c>
      <c r="C87" s="4">
        <f>Ene!C87+Feb!C87+Mar!C87</f>
        <v>2066</v>
      </c>
      <c r="D87" s="10"/>
      <c r="E87" s="10"/>
      <c r="F87" s="4">
        <f>[1]ENE!F87+[1]FEB!F87+[1]MAR!F87</f>
        <v>281</v>
      </c>
      <c r="G87" s="10"/>
      <c r="H87" s="10"/>
      <c r="I87" s="4">
        <f>[1]ENE!I87+[1]FEB!I87+[1]MAR!I87</f>
        <v>0</v>
      </c>
      <c r="J87" s="10"/>
    </row>
    <row r="88" spans="2:12" hidden="1" outlineLevel="1" x14ac:dyDescent="0.25">
      <c r="B88" s="28" t="s">
        <v>55</v>
      </c>
      <c r="C88" s="4">
        <f>Ene!C88+Feb!C88+Mar!C88</f>
        <v>0</v>
      </c>
      <c r="D88" s="10"/>
      <c r="E88" s="10"/>
      <c r="F88" s="4">
        <f>[1]ENE!F88+[1]FEB!F88+[1]MAR!F88</f>
        <v>0</v>
      </c>
      <c r="G88" s="10"/>
      <c r="H88" s="10"/>
      <c r="I88" s="4">
        <f>[1]ENE!I88+[1]FEB!I88+[1]MAR!I88</f>
        <v>0</v>
      </c>
      <c r="J88" s="10"/>
    </row>
    <row r="89" spans="2:12" hidden="1" outlineLevel="1" x14ac:dyDescent="0.25">
      <c r="B89" s="28" t="s">
        <v>56</v>
      </c>
      <c r="C89" s="4">
        <f>Ene!C89+Feb!C89+Mar!C89</f>
        <v>10665</v>
      </c>
      <c r="D89" s="10"/>
      <c r="E89" s="10"/>
      <c r="F89" s="4">
        <f>[1]ENE!F89+[1]FEB!F89+[1]MAR!F89</f>
        <v>10665</v>
      </c>
      <c r="G89" s="10"/>
      <c r="H89" s="10"/>
      <c r="I89" s="4">
        <f>[1]ENE!I89+[1]FEB!I89+[1]MAR!I89</f>
        <v>10665</v>
      </c>
      <c r="J89" s="10"/>
    </row>
    <row r="90" spans="2:12" hidden="1" outlineLevel="1" x14ac:dyDescent="0.25">
      <c r="B90" s="28" t="s">
        <v>26</v>
      </c>
      <c r="C90" s="4">
        <f>Ene!C90+Feb!C90+Mar!C90</f>
        <v>144</v>
      </c>
      <c r="D90" s="10"/>
      <c r="E90" s="10"/>
      <c r="F90" s="4">
        <f>[1]ENE!F90+[1]FEB!F90+[1]MAR!F90</f>
        <v>98</v>
      </c>
      <c r="G90" s="10"/>
      <c r="H90" s="10"/>
      <c r="I90" s="4">
        <f>[1]ENE!I90+[1]FEB!I90+[1]MAR!I90</f>
        <v>3154</v>
      </c>
      <c r="J90" s="10"/>
    </row>
    <row r="91" spans="2:12" collapsed="1" x14ac:dyDescent="0.25">
      <c r="B91" s="56" t="s">
        <v>85</v>
      </c>
      <c r="C91" s="44">
        <f>C79-C80</f>
        <v>2456031</v>
      </c>
      <c r="D91" s="41">
        <f>C91/C5</f>
        <v>0.22943075547716979</v>
      </c>
      <c r="E91" s="41">
        <f>F91/C91-1</f>
        <v>0.20633697213105218</v>
      </c>
      <c r="F91" s="44">
        <f>F79-F80</f>
        <v>2962801</v>
      </c>
      <c r="G91" s="41">
        <f>F91/F5</f>
        <v>0.22482908085929482</v>
      </c>
      <c r="H91" s="41">
        <f>I91/F91-1</f>
        <v>-0.66083648547438723</v>
      </c>
      <c r="I91" s="44">
        <f>I79-I80</f>
        <v>1004874</v>
      </c>
      <c r="J91" s="41">
        <f>I91/$I$5</f>
        <v>8.0119015176364466E-2</v>
      </c>
      <c r="K91" s="8"/>
      <c r="L91" s="15"/>
    </row>
    <row r="92" spans="2:12" x14ac:dyDescent="0.25">
      <c r="I92" s="2"/>
    </row>
    <row r="93" spans="2:12" x14ac:dyDescent="0.25">
      <c r="C93" s="2"/>
      <c r="I93" s="2"/>
    </row>
    <row r="94" spans="2:12" x14ac:dyDescent="0.25">
      <c r="B94" t="s">
        <v>86</v>
      </c>
      <c r="C94" s="2">
        <f>Ene!C94+Feb!C94+Mar!C94</f>
        <v>401496</v>
      </c>
      <c r="D94" s="2">
        <f>Ene!D94+Feb!D94+Mar!D94</f>
        <v>431680</v>
      </c>
      <c r="E94" s="2">
        <f>Ene!E94+Feb!E94+Mar!E94</f>
        <v>450236</v>
      </c>
      <c r="F94" s="2"/>
      <c r="G94" s="2"/>
      <c r="H94" s="2"/>
      <c r="I94" s="2"/>
      <c r="J94" s="2"/>
    </row>
    <row r="95" spans="2:12" x14ac:dyDescent="0.25">
      <c r="B95" t="s">
        <v>87</v>
      </c>
      <c r="C95" s="2">
        <f>Ene!C95+Feb!C95+Mar!C95</f>
        <v>372434</v>
      </c>
      <c r="D95" s="2">
        <f>Ene!D95+Feb!D95+Mar!D95</f>
        <v>395303</v>
      </c>
      <c r="E95" s="2">
        <f>Ene!E95+Feb!E95+Mar!E95</f>
        <v>463712</v>
      </c>
    </row>
    <row r="97" spans="2:10" x14ac:dyDescent="0.25">
      <c r="B97" t="s">
        <v>70</v>
      </c>
      <c r="C97">
        <v>352244</v>
      </c>
      <c r="D97" s="8">
        <v>3.1856718024761206E-2</v>
      </c>
      <c r="E97" s="14">
        <v>-0.45597370004882976</v>
      </c>
      <c r="F97">
        <v>191630</v>
      </c>
      <c r="G97" s="8">
        <v>1.4333215279837273E-2</v>
      </c>
      <c r="H97" s="14">
        <v>6.9096227104315604</v>
      </c>
      <c r="I97">
        <v>1515721</v>
      </c>
      <c r="J97" s="8">
        <v>0.10781920626331494</v>
      </c>
    </row>
    <row r="98" spans="2:10" x14ac:dyDescent="0.25">
      <c r="C98">
        <v>312424</v>
      </c>
      <c r="D98" s="8">
        <v>0.88695336187415541</v>
      </c>
      <c r="F98">
        <v>168099</v>
      </c>
      <c r="G98" s="8">
        <v>0.87720607420550023</v>
      </c>
      <c r="I98">
        <v>1393651</v>
      </c>
      <c r="J98" s="8">
        <v>0.91946407023456167</v>
      </c>
    </row>
  </sheetData>
  <mergeCells count="3">
    <mergeCell ref="B2:J2"/>
    <mergeCell ref="C3:D3"/>
    <mergeCell ref="E3:F3"/>
  </mergeCells>
  <dataValidations count="1">
    <dataValidation type="list" allowBlank="1" showInputMessage="1" showErrorMessage="1" sqref="E3:F3" xr:uid="{E1E8176F-3E61-4159-8B60-5D958B8EEA27}">
      <formula1>MES</formula1>
    </dataValidation>
  </dataValidations>
  <printOptions gridLinesSet="0"/>
  <pageMargins left="0.78740157480314965" right="0.78740157480314965" top="0.9055118110236221" bottom="0.51181102362204722" header="0.31496062992125984" footer="0.51181102362204722"/>
  <pageSetup scale="53" orientation="portrait" horizontalDpi="4294967293" verticalDpi="72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D2A58E-1621-453D-8739-3C4C853606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Ene</vt:lpstr>
      <vt:lpstr>Feb</vt:lpstr>
      <vt:lpstr>Mar</vt:lpstr>
      <vt:lpstr>Abr</vt:lpstr>
      <vt:lpstr>A abril 30</vt:lpstr>
      <vt:lpstr>Macro</vt:lpstr>
      <vt:lpstr>Detalle utilidad bruta</vt:lpstr>
      <vt:lpstr>IA utilidad bruta</vt:lpstr>
      <vt:lpstr>sin varillas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Administrador</dc:creator>
  <cp:keywords/>
  <dc:description/>
  <cp:lastModifiedBy>Cesar Cuartas</cp:lastModifiedBy>
  <cp:revision/>
  <dcterms:created xsi:type="dcterms:W3CDTF">2006-12-22T20:01:02Z</dcterms:created>
  <dcterms:modified xsi:type="dcterms:W3CDTF">2026-05-21T16:52:35Z</dcterms:modified>
  <cp:category/>
  <cp:contentStatus/>
</cp:coreProperties>
</file>