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esardudleycastellanosnieto/Desktop/La Roncha/"/>
    </mc:Choice>
  </mc:AlternateContent>
  <xr:revisionPtr revIDLastSave="0" documentId="13_ncr:1_{B1B26FC9-7FF4-B84B-9B22-F8B85C578D2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ductos" sheetId="1" r:id="rId1"/>
    <sheet name="Compras" sheetId="2" r:id="rId2"/>
    <sheet name="Ventas" sheetId="3" r:id="rId3"/>
    <sheet name="Calendario " sheetId="7" r:id="rId4"/>
    <sheet name="Resultado por nombre" sheetId="4" r:id="rId5"/>
    <sheet name="Resultado por codigo" sheetId="6" r:id="rId6"/>
  </sheets>
  <definedNames>
    <definedName name="CODI" localSheetId="5">Tablaproductos[CODIGOS]</definedName>
    <definedName name="CODI">Tablaproductos[CODIGOS]</definedName>
    <definedName name="DESC" localSheetId="5">Tablaproductos[DESCRIPCION]</definedName>
    <definedName name="DESC">Tablaproductos[DESCRIPCION]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3" l="1"/>
  <c r="H27" i="3"/>
  <c r="I27" i="3" s="1"/>
  <c r="G7" i="3"/>
  <c r="G10" i="3"/>
  <c r="G16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C18" i="2"/>
  <c r="F18" i="2"/>
  <c r="F17" i="2"/>
  <c r="G18" i="2" s="1"/>
  <c r="N7" i="1"/>
  <c r="C17" i="2"/>
  <c r="I26" i="3"/>
  <c r="G16" i="2"/>
  <c r="B43" i="1"/>
  <c r="C43" i="1"/>
  <c r="C16" i="2"/>
  <c r="C15" i="2"/>
  <c r="C14" i="2"/>
  <c r="C13" i="2"/>
  <c r="C12" i="2"/>
  <c r="I21" i="3"/>
  <c r="C11" i="2" l="1"/>
  <c r="F11" i="2"/>
  <c r="G11" i="2" s="1"/>
  <c r="C10" i="2"/>
  <c r="C9" i="2"/>
  <c r="C8" i="2"/>
  <c r="B42" i="1"/>
  <c r="C42" i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G7" i="2"/>
  <c r="C7" i="2"/>
  <c r="C6" i="2"/>
  <c r="C5" i="2"/>
  <c r="C4" i="2"/>
  <c r="B11" i="1"/>
  <c r="C11" i="1" s="1"/>
  <c r="B10" i="1"/>
  <c r="C10" i="1" s="1"/>
  <c r="B9" i="1"/>
  <c r="C9" i="1" s="1"/>
  <c r="H4" i="3"/>
  <c r="I10" i="3" s="1"/>
  <c r="B8" i="1"/>
  <c r="C8" i="1" s="1"/>
  <c r="B6" i="4"/>
  <c r="B7" i="1"/>
  <c r="C7" i="1" s="1"/>
  <c r="B6" i="1"/>
  <c r="C6" i="1" s="1"/>
  <c r="B5" i="1"/>
  <c r="C5" i="1" s="1"/>
  <c r="B4" i="1"/>
  <c r="C4" i="1" s="1"/>
  <c r="B3" i="1"/>
  <c r="C3" i="1" s="1"/>
  <c r="E3" i="2" l="1"/>
  <c r="F3" i="2" s="1"/>
  <c r="M34" i="7"/>
  <c r="L34" i="7"/>
  <c r="N34" i="7" s="1"/>
  <c r="N32" i="7"/>
  <c r="N33" i="7"/>
  <c r="H32" i="7"/>
  <c r="G32" i="7"/>
  <c r="I30" i="7"/>
  <c r="I31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" i="7"/>
  <c r="C3" i="2"/>
  <c r="F43" i="1" s="1"/>
  <c r="G3" i="3"/>
  <c r="H3" i="3" s="1"/>
  <c r="E3" i="3"/>
  <c r="G43" i="1" s="1"/>
  <c r="B20" i="4"/>
  <c r="B8" i="6"/>
  <c r="B20" i="6"/>
  <c r="B18" i="6"/>
  <c r="B14" i="6"/>
  <c r="B12" i="6"/>
  <c r="B14" i="4"/>
  <c r="B12" i="4"/>
  <c r="B2" i="1"/>
  <c r="C2" i="1" s="1"/>
  <c r="H43" i="1" l="1"/>
  <c r="I43" i="1" s="1"/>
  <c r="I32" i="7"/>
  <c r="G41" i="1"/>
  <c r="G42" i="1"/>
  <c r="F41" i="1"/>
  <c r="F42" i="1"/>
  <c r="G39" i="1"/>
  <c r="G40" i="1"/>
  <c r="F39" i="1"/>
  <c r="F40" i="1"/>
  <c r="G37" i="1"/>
  <c r="G38" i="1"/>
  <c r="F37" i="1"/>
  <c r="H37" i="1" s="1"/>
  <c r="I37" i="1" s="1"/>
  <c r="F38" i="1"/>
  <c r="G35" i="1"/>
  <c r="G36" i="1"/>
  <c r="F35" i="1"/>
  <c r="F36" i="1"/>
  <c r="G33" i="1"/>
  <c r="G34" i="1"/>
  <c r="F33" i="1"/>
  <c r="H33" i="1" s="1"/>
  <c r="I33" i="1" s="1"/>
  <c r="F34" i="1"/>
  <c r="G31" i="1"/>
  <c r="G32" i="1"/>
  <c r="F31" i="1"/>
  <c r="F32" i="1"/>
  <c r="G29" i="1"/>
  <c r="G30" i="1"/>
  <c r="F29" i="1"/>
  <c r="F30" i="1"/>
  <c r="H30" i="1" s="1"/>
  <c r="I30" i="1" s="1"/>
  <c r="G27" i="1"/>
  <c r="G28" i="1"/>
  <c r="F27" i="1"/>
  <c r="F28" i="1"/>
  <c r="G25" i="1"/>
  <c r="G26" i="1"/>
  <c r="F25" i="1"/>
  <c r="F26" i="1"/>
  <c r="G23" i="1"/>
  <c r="G24" i="1"/>
  <c r="F23" i="1"/>
  <c r="F24" i="1"/>
  <c r="G21" i="1"/>
  <c r="G22" i="1"/>
  <c r="F21" i="1"/>
  <c r="F22" i="1"/>
  <c r="G19" i="1"/>
  <c r="G20" i="1"/>
  <c r="F19" i="1"/>
  <c r="F20" i="1"/>
  <c r="G17" i="1"/>
  <c r="G18" i="1"/>
  <c r="F17" i="1"/>
  <c r="H17" i="1" s="1"/>
  <c r="F18" i="1"/>
  <c r="G15" i="1"/>
  <c r="G16" i="1"/>
  <c r="F15" i="1"/>
  <c r="F16" i="1"/>
  <c r="G13" i="1"/>
  <c r="G14" i="1"/>
  <c r="F13" i="1"/>
  <c r="F14" i="1"/>
  <c r="G11" i="1"/>
  <c r="G12" i="1"/>
  <c r="F11" i="1"/>
  <c r="F12" i="1"/>
  <c r="G9" i="1"/>
  <c r="G10" i="1"/>
  <c r="F9" i="1"/>
  <c r="F10" i="1"/>
  <c r="G7" i="1"/>
  <c r="G8" i="1"/>
  <c r="F7" i="1"/>
  <c r="F8" i="1"/>
  <c r="G5" i="1"/>
  <c r="G6" i="1"/>
  <c r="F5" i="1"/>
  <c r="H5" i="1" s="1"/>
  <c r="I5" i="1" s="1"/>
  <c r="F6" i="1"/>
  <c r="G3" i="1"/>
  <c r="G4" i="1"/>
  <c r="F3" i="1"/>
  <c r="F4" i="1"/>
  <c r="N31" i="7"/>
  <c r="B18" i="4"/>
  <c r="G2" i="1"/>
  <c r="B22" i="4"/>
  <c r="B22" i="6"/>
  <c r="H20" i="1" l="1"/>
  <c r="H24" i="1"/>
  <c r="I24" i="1" s="1"/>
  <c r="H25" i="1"/>
  <c r="I25" i="1" s="1"/>
  <c r="H11" i="1"/>
  <c r="I11" i="1" s="1"/>
  <c r="H19" i="1"/>
  <c r="H40" i="1"/>
  <c r="I40" i="1" s="1"/>
  <c r="H31" i="1"/>
  <c r="I31" i="1" s="1"/>
  <c r="H39" i="1"/>
  <c r="I39" i="1" s="1"/>
  <c r="H16" i="1"/>
  <c r="I16" i="1" s="1"/>
  <c r="H41" i="1"/>
  <c r="I41" i="1" s="1"/>
  <c r="H7" i="1"/>
  <c r="I7" i="1" s="1"/>
  <c r="H15" i="1"/>
  <c r="I15" i="1" s="1"/>
  <c r="H28" i="1"/>
  <c r="I28" i="1" s="1"/>
  <c r="H32" i="1"/>
  <c r="I32" i="1" s="1"/>
  <c r="H13" i="1"/>
  <c r="I13" i="1" s="1"/>
  <c r="H21" i="1"/>
  <c r="I21" i="1" s="1"/>
  <c r="H34" i="1"/>
  <c r="I34" i="1" s="1"/>
  <c r="H3" i="1"/>
  <c r="I3" i="1" s="1"/>
  <c r="H6" i="1"/>
  <c r="I6" i="1" s="1"/>
  <c r="H4" i="1"/>
  <c r="I4" i="1" s="1"/>
  <c r="H9" i="1"/>
  <c r="I9" i="1" s="1"/>
  <c r="H12" i="1"/>
  <c r="I12" i="1" s="1"/>
  <c r="H35" i="1"/>
  <c r="I35" i="1" s="1"/>
  <c r="H8" i="1"/>
  <c r="I8" i="1" s="1"/>
  <c r="H22" i="1"/>
  <c r="I22" i="1" s="1"/>
  <c r="H29" i="1"/>
  <c r="I29" i="1" s="1"/>
  <c r="H10" i="1"/>
  <c r="I10" i="1" s="1"/>
  <c r="H23" i="1"/>
  <c r="H27" i="1"/>
  <c r="I27" i="1" s="1"/>
  <c r="H36" i="1"/>
  <c r="I36" i="1" s="1"/>
  <c r="H14" i="1"/>
  <c r="I14" i="1" s="1"/>
  <c r="H18" i="1"/>
  <c r="I18" i="1" s="1"/>
  <c r="H26" i="1"/>
  <c r="I26" i="1" s="1"/>
  <c r="H38" i="1"/>
  <c r="I38" i="1" s="1"/>
  <c r="H42" i="1"/>
  <c r="I42" i="1" s="1"/>
  <c r="I17" i="1"/>
  <c r="I20" i="1"/>
  <c r="I19" i="1"/>
  <c r="I23" i="1"/>
  <c r="B16" i="4"/>
  <c r="F2" i="1"/>
  <c r="H2" i="1" l="1"/>
  <c r="I2" i="1" s="1"/>
  <c r="B16" i="6"/>
  <c r="B10" i="6"/>
</calcChain>
</file>

<file path=xl/sharedStrings.xml><?xml version="1.0" encoding="utf-8"?>
<sst xmlns="http://schemas.openxmlformats.org/spreadsheetml/2006/main" count="187" uniqueCount="138">
  <si>
    <t>CODIGOS</t>
  </si>
  <si>
    <t>COD</t>
  </si>
  <si>
    <t>BARRAS</t>
  </si>
  <si>
    <t>DESCRIPCION</t>
  </si>
  <si>
    <t>STOCK INICIAL</t>
  </si>
  <si>
    <t>ENTRADAS</t>
  </si>
  <si>
    <t>SALIDAS</t>
  </si>
  <si>
    <t>STOCK ACTUAL</t>
  </si>
  <si>
    <t>RESULTADO</t>
  </si>
  <si>
    <t>ALMACEN</t>
  </si>
  <si>
    <t>ESTANTE</t>
  </si>
  <si>
    <t>NIVEL</t>
  </si>
  <si>
    <t>FECHA</t>
  </si>
  <si>
    <t>CODIGO</t>
  </si>
  <si>
    <t>INFORMACION DEL PRODUCTO</t>
  </si>
  <si>
    <t>Costo</t>
  </si>
  <si>
    <t>Precio Publico</t>
  </si>
  <si>
    <t>PRECIO PÚBLICO</t>
  </si>
  <si>
    <t>COSTO</t>
  </si>
  <si>
    <t>TOTAL</t>
  </si>
  <si>
    <t>UNIDADES</t>
  </si>
  <si>
    <t>CLIENTE</t>
  </si>
  <si>
    <t>HORA</t>
  </si>
  <si>
    <t>Día</t>
  </si>
  <si>
    <t>PRECIO PUBLICO</t>
  </si>
  <si>
    <t>ENERO</t>
  </si>
  <si>
    <t>COMPRA DE MATERIAL</t>
  </si>
  <si>
    <t xml:space="preserve">VENTAS </t>
  </si>
  <si>
    <t>Final</t>
  </si>
  <si>
    <t>Total</t>
  </si>
  <si>
    <t>Compras</t>
  </si>
  <si>
    <t>Ventas</t>
  </si>
  <si>
    <t>Balance</t>
  </si>
  <si>
    <t>FEBRERO</t>
  </si>
  <si>
    <t>MARZO</t>
  </si>
  <si>
    <t>desc</t>
  </si>
  <si>
    <t>Scabisinsus100ml</t>
  </si>
  <si>
    <t>Lasarnolsusp120ml</t>
  </si>
  <si>
    <t>otipets</t>
  </si>
  <si>
    <t>BalsamoBlanco</t>
  </si>
  <si>
    <t>EmetinIny</t>
  </si>
  <si>
    <t>100ml</t>
  </si>
  <si>
    <t>ENUCLEACION</t>
  </si>
  <si>
    <t>CURACIONCONSUTURA</t>
  </si>
  <si>
    <t>EUTANASIACH</t>
  </si>
  <si>
    <t>BENITA</t>
  </si>
  <si>
    <t>PELUSA</t>
  </si>
  <si>
    <t>VACUNAPUPPY</t>
  </si>
  <si>
    <t>PUPPYEXTRA</t>
  </si>
  <si>
    <t>LRVPUPPY</t>
  </si>
  <si>
    <t>LRVPUPPYEXTRA</t>
  </si>
  <si>
    <t>LRDYATREEN</t>
  </si>
  <si>
    <t>YATREN100</t>
  </si>
  <si>
    <t>HOSPITALIZACION</t>
  </si>
  <si>
    <t>DUQUESA</t>
  </si>
  <si>
    <t>LRVACUNAQUINTUPLE</t>
  </si>
  <si>
    <t>RAMBO</t>
  </si>
  <si>
    <t>COCA</t>
  </si>
  <si>
    <t>CONSULTA+MED</t>
  </si>
  <si>
    <t>BENITO</t>
  </si>
  <si>
    <t>VICKY</t>
  </si>
  <si>
    <t>VACUNAQUINTUPLE</t>
  </si>
  <si>
    <t>LRVACUNASEXTUPLE</t>
  </si>
  <si>
    <t>VACUNASEXTUPLE</t>
  </si>
  <si>
    <t>MAMISAN100GR</t>
  </si>
  <si>
    <t>LROTIPETS</t>
  </si>
  <si>
    <t>LRBALSAMOBLANCO</t>
  </si>
  <si>
    <t>RANITIPETSORAL</t>
  </si>
  <si>
    <t>ALVEUMJARABE</t>
  </si>
  <si>
    <t>BAMITOL90GR</t>
  </si>
  <si>
    <t>LRAZULSPRAY</t>
  </si>
  <si>
    <t>AZULSPRAY</t>
  </si>
  <si>
    <t>LRAZULGOTA</t>
  </si>
  <si>
    <t>AZULGOTA</t>
  </si>
  <si>
    <t>LRCUAJOCH</t>
  </si>
  <si>
    <t>CUAJO120</t>
  </si>
  <si>
    <t>SANITORARANDA</t>
  </si>
  <si>
    <t>LRSANITOR</t>
  </si>
  <si>
    <t>OCUSOLPOLVO</t>
  </si>
  <si>
    <t>LROLEOLAX</t>
  </si>
  <si>
    <t>OLEOLAX</t>
  </si>
  <si>
    <t>LRCONTRAC</t>
  </si>
  <si>
    <t>OXITOCINA</t>
  </si>
  <si>
    <t>POMADADELATIA</t>
  </si>
  <si>
    <t>LRPETSKRIM</t>
  </si>
  <si>
    <t>PETSKRIM</t>
  </si>
  <si>
    <t>GOTIKAS</t>
  </si>
  <si>
    <t>COLLARANTIPULGASGATO</t>
  </si>
  <si>
    <t>COLLARANTIPPULGASPERROG</t>
  </si>
  <si>
    <t>VETRIDERMJABON</t>
  </si>
  <si>
    <t>NECAIN</t>
  </si>
  <si>
    <t>TORTUGUETASBB</t>
  </si>
  <si>
    <t>SHAMPOOANTIPULGASFANCY</t>
  </si>
  <si>
    <t>ASUNTOLJABON</t>
  </si>
  <si>
    <t>BACTODERMSHAMPOO</t>
  </si>
  <si>
    <t>MICOPLEX</t>
  </si>
  <si>
    <t>SHAMPOOPNEGRO</t>
  </si>
  <si>
    <t>SHAMPOOPBLANCO</t>
  </si>
  <si>
    <t>SHAMPOOPDORADO</t>
  </si>
  <si>
    <t>LRCADENACH</t>
  </si>
  <si>
    <t>FILO</t>
  </si>
  <si>
    <t>CONSULTA</t>
  </si>
  <si>
    <t>PEPE</t>
  </si>
  <si>
    <t>MISUFUS</t>
  </si>
  <si>
    <t>DESPARASITACION5KG</t>
  </si>
  <si>
    <t>ECTOLINE4KG</t>
  </si>
  <si>
    <t>CORTEDEUÑAS</t>
  </si>
  <si>
    <t>COMIDA</t>
  </si>
  <si>
    <t>ALCANCIA</t>
  </si>
  <si>
    <t>CADENAVH</t>
  </si>
  <si>
    <t>HOJUELASPEZCH</t>
  </si>
  <si>
    <t>HOJUELASPEZM</t>
  </si>
  <si>
    <t>OJUELASPEZG</t>
  </si>
  <si>
    <t>APLICACIONDEMED</t>
  </si>
  <si>
    <t>CURACIONCONANESTESIA</t>
  </si>
  <si>
    <t>CANELA</t>
  </si>
  <si>
    <t>PRUEBATRIPLEGASTRICA</t>
  </si>
  <si>
    <t>SUGA</t>
  </si>
  <si>
    <t>BAÑO</t>
  </si>
  <si>
    <t>SKAR</t>
  </si>
  <si>
    <t>DESPARASITACION35KG</t>
  </si>
  <si>
    <t>MEDICACION</t>
  </si>
  <si>
    <t>JUGO</t>
  </si>
  <si>
    <t>AGUA</t>
  </si>
  <si>
    <t>ARI</t>
  </si>
  <si>
    <t>COMIDAPERRAS</t>
  </si>
  <si>
    <t>TAMALES</t>
  </si>
  <si>
    <t>COKY</t>
  </si>
  <si>
    <t>LRCADENAGDE</t>
  </si>
  <si>
    <t>CADENAMETALGDE</t>
  </si>
  <si>
    <t>WOODY</t>
  </si>
  <si>
    <t>ESTETICA</t>
  </si>
  <si>
    <t>CURACION+MED</t>
  </si>
  <si>
    <t>LRD7506342200564</t>
  </si>
  <si>
    <t>ARIPAGO</t>
  </si>
  <si>
    <t>ARICX</t>
  </si>
  <si>
    <t>POLAR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</si>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</sst>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h:mm\ AM/PM"/>
    <numFmt numFmtId="165" formatCode="&quot;$&quot;#,##0.00"/>
  </numFmts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2"/>
      <color theme="1"/>
      <name val="Archon Code 39 Barcode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Abadi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28"/>
      <color theme="1"/>
      <name val="Archon Code 39 Barcode"/>
    </font>
  </fonts>
  <fills count="15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4233"/>
        <bgColor indexed="64"/>
      </patternFill>
    </fill>
    <fill>
      <patternFill patternType="lightGrid">
        <fgColor rgb="FF00B0F0"/>
        <bgColor theme="9" tint="0.59996337778862885"/>
      </patternFill>
    </fill>
    <fill>
      <patternFill patternType="lightGrid">
        <fgColor theme="5" tint="0.79998168889431442"/>
        <bgColor theme="4" tint="0.39994506668294322"/>
      </patternFill>
    </fill>
    <fill>
      <patternFill patternType="darkGray">
        <fgColor theme="7" tint="0.59996337778862885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0">
    <xf numFmtId="0" fontId="0" fillId="0" borderId="0" xfId="0"/>
    <xf numFmtId="0" fontId="0" fillId="0" borderId="3" xfId="0" applyBorder="1"/>
    <xf numFmtId="14" fontId="0" fillId="0" borderId="3" xfId="0" applyNumberFormat="1" applyBorder="1"/>
    <xf numFmtId="44" fontId="0" fillId="0" borderId="0" xfId="1" applyFont="1" applyBorder="1"/>
    <xf numFmtId="0" fontId="0" fillId="0" borderId="29" xfId="0" applyBorder="1" applyAlignment="1">
      <alignment horizontal="center"/>
    </xf>
    <xf numFmtId="0" fontId="0" fillId="0" borderId="29" xfId="0" applyBorder="1"/>
    <xf numFmtId="0" fontId="0" fillId="12" borderId="3" xfId="0" applyFill="1" applyBorder="1"/>
    <xf numFmtId="0" fontId="0" fillId="13" borderId="3" xfId="0" applyFill="1" applyBorder="1"/>
    <xf numFmtId="44" fontId="0" fillId="12" borderId="3" xfId="1" applyFont="1" applyFill="1" applyBorder="1"/>
    <xf numFmtId="44" fontId="0" fillId="13" borderId="3" xfId="1" applyFont="1" applyFill="1" applyBorder="1"/>
    <xf numFmtId="0" fontId="0" fillId="14" borderId="18" xfId="0" applyFill="1" applyBorder="1"/>
    <xf numFmtId="44" fontId="0" fillId="14" borderId="3" xfId="1" applyFont="1" applyFill="1" applyBorder="1"/>
    <xf numFmtId="0" fontId="0" fillId="14" borderId="3" xfId="0" applyFill="1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" fontId="0" fillId="0" borderId="0" xfId="0" applyNumberFormat="1" applyAlignment="1" applyProtection="1">
      <alignment horizontal="left" vertical="top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44" fontId="0" fillId="0" borderId="0" xfId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7" borderId="16" xfId="0" applyFill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8" fillId="0" borderId="28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1" fontId="0" fillId="0" borderId="0" xfId="0" applyNumberFormat="1" applyAlignment="1">
      <alignment horizontal="left"/>
    </xf>
    <xf numFmtId="1" fontId="0" fillId="0" borderId="0" xfId="1" applyNumberFormat="1" applyFont="1" applyAlignment="1" applyProtection="1">
      <alignment horizontal="left"/>
    </xf>
    <xf numFmtId="44" fontId="0" fillId="0" borderId="0" xfId="1" applyFont="1" applyProtection="1"/>
    <xf numFmtId="0" fontId="1" fillId="0" borderId="1" xfId="0" applyFont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4" fontId="9" fillId="0" borderId="15" xfId="1" applyFont="1" applyFill="1" applyBorder="1" applyProtection="1">
      <protection locked="0"/>
    </xf>
    <xf numFmtId="44" fontId="9" fillId="0" borderId="17" xfId="1" applyFont="1" applyFill="1" applyBorder="1" applyProtection="1">
      <protection locked="0"/>
    </xf>
    <xf numFmtId="18" fontId="0" fillId="0" borderId="0" xfId="0" applyNumberFormat="1" applyProtection="1">
      <protection locked="0"/>
    </xf>
    <xf numFmtId="44" fontId="9" fillId="0" borderId="21" xfId="1" applyFont="1" applyFill="1" applyBorder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 applyAlignment="1" applyProtection="1">
      <alignment vertical="center"/>
      <protection locked="0"/>
    </xf>
    <xf numFmtId="44" fontId="9" fillId="0" borderId="22" xfId="1" applyFont="1" applyFill="1" applyBorder="1" applyProtection="1">
      <protection locked="0"/>
    </xf>
    <xf numFmtId="2" fontId="0" fillId="0" borderId="0" xfId="0" applyNumberFormat="1" applyAlignment="1">
      <alignment horizontal="left" vertical="center"/>
    </xf>
    <xf numFmtId="0" fontId="0" fillId="0" borderId="20" xfId="0" applyBorder="1" applyAlignment="1" applyProtection="1">
      <alignment vertical="center"/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5" fillId="3" borderId="21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44" fontId="6" fillId="0" borderId="0" xfId="0" applyNumberFormat="1" applyFont="1" applyProtection="1">
      <protection locked="0"/>
    </xf>
    <xf numFmtId="44" fontId="9" fillId="0" borderId="22" xfId="1" applyFont="1" applyFill="1" applyBorder="1" applyAlignment="1" applyProtection="1">
      <protection locked="0"/>
    </xf>
    <xf numFmtId="44" fontId="9" fillId="0" borderId="11" xfId="1" applyFont="1" applyFill="1" applyBorder="1" applyAlignment="1" applyProtection="1">
      <protection locked="0"/>
    </xf>
    <xf numFmtId="44" fontId="9" fillId="0" borderId="9" xfId="1" applyFont="1" applyFill="1" applyBorder="1" applyAlignment="1" applyProtection="1">
      <protection locked="0"/>
    </xf>
    <xf numFmtId="44" fontId="9" fillId="0" borderId="21" xfId="1" applyFont="1" applyFill="1" applyBorder="1" applyAlignment="1" applyProtection="1">
      <protection locked="0"/>
    </xf>
    <xf numFmtId="1" fontId="0" fillId="0" borderId="0" xfId="0" applyNumberFormat="1" applyAlignment="1" applyProtection="1">
      <alignment vertical="center"/>
      <protection locked="0"/>
    </xf>
    <xf numFmtId="165" fontId="7" fillId="8" borderId="18" xfId="0" applyNumberFormat="1" applyFont="1" applyFill="1" applyBorder="1" applyAlignment="1" applyProtection="1">
      <alignment horizontal="center" vertical="center"/>
      <protection locked="0"/>
    </xf>
    <xf numFmtId="165" fontId="7" fillId="8" borderId="19" xfId="0" applyNumberFormat="1" applyFont="1" applyFill="1" applyBorder="1" applyAlignment="1" applyProtection="1">
      <alignment horizontal="center" vertical="center"/>
      <protection locked="0"/>
    </xf>
    <xf numFmtId="165" fontId="7" fillId="8" borderId="20" xfId="0" applyNumberFormat="1" applyFont="1" applyFill="1" applyBorder="1" applyAlignment="1" applyProtection="1">
      <alignment horizontal="center" vertical="center"/>
      <protection locked="0"/>
    </xf>
    <xf numFmtId="165" fontId="7" fillId="9" borderId="4" xfId="0" applyNumberFormat="1" applyFont="1" applyFill="1" applyBorder="1" applyAlignment="1" applyProtection="1">
      <alignment horizontal="center" vertical="center"/>
      <protection locked="0"/>
    </xf>
    <xf numFmtId="165" fontId="7" fillId="9" borderId="5" xfId="0" applyNumberFormat="1" applyFont="1" applyFill="1" applyBorder="1" applyAlignment="1" applyProtection="1">
      <alignment horizontal="center" vertical="center"/>
      <protection locked="0"/>
    </xf>
    <xf numFmtId="0" fontId="0" fillId="11" borderId="3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44" fontId="0" fillId="0" borderId="3" xfId="1" applyFont="1" applyBorder="1" applyAlignment="1" applyProtection="1">
      <alignment horizontal="center" vertical="center"/>
    </xf>
    <xf numFmtId="44" fontId="0" fillId="0" borderId="25" xfId="1" applyFont="1" applyBorder="1" applyAlignment="1" applyProtection="1">
      <alignment horizontal="center" vertic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2" fontId="0" fillId="6" borderId="3" xfId="0" applyNumberFormat="1" applyFill="1" applyBorder="1" applyAlignment="1">
      <alignment horizontal="center" vertical="center"/>
    </xf>
    <xf numFmtId="2" fontId="0" fillId="6" borderId="25" xfId="0" applyNumberFormat="1" applyFill="1" applyBorder="1" applyAlignment="1">
      <alignment horizontal="center" vertical="center"/>
    </xf>
    <xf numFmtId="0" fontId="0" fillId="10" borderId="9" xfId="0" applyFill="1" applyBorder="1" applyAlignment="1" applyProtection="1">
      <alignment horizontal="center" vertical="center"/>
      <protection locked="0"/>
    </xf>
    <xf numFmtId="0" fontId="0" fillId="10" borderId="10" xfId="0" applyFill="1" applyBorder="1" applyAlignment="1" applyProtection="1">
      <alignment horizontal="center" vertical="center"/>
      <protection locked="0"/>
    </xf>
    <xf numFmtId="0" fontId="0" fillId="10" borderId="11" xfId="0" applyFill="1" applyBorder="1" applyAlignment="1" applyProtection="1">
      <alignment horizontal="center" vertical="center"/>
      <protection locked="0"/>
    </xf>
    <xf numFmtId="0" fontId="0" fillId="10" borderId="21" xfId="0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0" fillId="10" borderId="22" xfId="0" applyFill="1" applyBorder="1" applyAlignment="1" applyProtection="1">
      <alignment horizontal="center" vertical="center"/>
      <protection locked="0"/>
    </xf>
    <xf numFmtId="0" fontId="0" fillId="10" borderId="23" xfId="0" applyFill="1" applyBorder="1" applyAlignment="1" applyProtection="1">
      <alignment horizontal="center" vertical="center"/>
      <protection locked="0"/>
    </xf>
    <xf numFmtId="0" fontId="0" fillId="10" borderId="8" xfId="0" applyFill="1" applyBorder="1" applyAlignment="1" applyProtection="1">
      <alignment horizontal="center" vertical="center"/>
      <protection locked="0"/>
    </xf>
    <xf numFmtId="0" fontId="0" fillId="10" borderId="24" xfId="0" applyFill="1" applyBorder="1" applyAlignment="1" applyProtection="1">
      <alignment horizontal="center" vertical="center"/>
      <protection locked="0"/>
    </xf>
    <xf numFmtId="0" fontId="10" fillId="0" borderId="2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" fontId="0" fillId="4" borderId="3" xfId="0" applyNumberFormat="1" applyFill="1" applyBorder="1" applyAlignment="1" applyProtection="1">
      <alignment horizontal="center"/>
      <protection locked="0"/>
    </xf>
    <xf numFmtId="1" fontId="0" fillId="4" borderId="25" xfId="0" applyNumberFormat="1" applyFill="1" applyBorder="1" applyAlignment="1" applyProtection="1">
      <alignment horizontal="center"/>
      <protection locked="0"/>
    </xf>
    <xf numFmtId="0" fontId="0" fillId="6" borderId="3" xfId="0" applyFill="1" applyBorder="1" applyAlignment="1">
      <alignment horizontal="center"/>
    </xf>
    <xf numFmtId="0" fontId="0" fillId="6" borderId="25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4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protection locked="1" hidden="0"/>
    </dxf>
    <dxf>
      <protection locked="1" hidden="0"/>
    </dxf>
    <dxf>
      <protection locked="0" hidden="0"/>
    </dxf>
    <dxf>
      <numFmt numFmtId="2" formatCode="0.00"/>
      <alignment horizontal="left" vertical="center" textRotation="0" wrapText="0" indent="0" justifyLastLine="0" shrinkToFit="0" readingOrder="0"/>
      <protection locked="1" hidden="0"/>
    </dxf>
    <dxf>
      <numFmt numFmtId="164" formatCode="h:mm\ AM/PM"/>
      <alignment horizontal="general" vertical="center" textRotation="0" wrapText="0" indent="0" justifyLastLine="0" shrinkToFit="0" readingOrder="0"/>
      <protection locked="0" hidden="0"/>
    </dxf>
    <dxf>
      <numFmt numFmtId="164" formatCode="h:mm\ AM/PM"/>
      <protection locked="0" hidden="0"/>
    </dxf>
    <dxf>
      <numFmt numFmtId="19" formatCode="dd/mm/yy"/>
      <protection locked="0" hidden="0"/>
    </dxf>
    <dxf>
      <numFmt numFmtId="19" formatCode="dd/mm/yy"/>
      <protection locked="0" hidden="0"/>
    </dxf>
    <dxf>
      <border outline="0">
        <top style="thin">
          <color theme="4" tint="0.39997558519241921"/>
        </top>
      </border>
    </dxf>
    <dxf>
      <protection locked="0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5"/>
        </patternFill>
      </fill>
      <protection locked="0" hidden="0"/>
    </dxf>
    <dxf>
      <protection locked="1" hidden="0"/>
    </dxf>
    <dxf>
      <numFmt numFmtId="34" formatCode="_-&quot;$&quot;* #,##0.00_-;\-&quot;$&quot;* #,##0.00_-;_-&quot;$&quot;* &quot;-&quot;??_-;_-@_-"/>
      <protection locked="1" hidden="0"/>
    </dxf>
    <dxf>
      <protection locked="0" hidden="0"/>
    </dxf>
    <dxf>
      <alignment horizontal="general" vertical="center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  <protection locked="1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2"/>
        <color theme="1"/>
        <name val="Archon Code 39 Barcode"/>
        <scheme val="none"/>
      </font>
      <alignment horizontal="center" vertical="center" textRotation="0" wrapText="1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numFmt numFmtId="1" formatCode="0"/>
      <alignment horizontal="left" vertical="top" textRotation="0" wrapText="0" indent="0" justifyLastLine="0" shrinkToFit="0" readingOrder="0"/>
      <protection locked="0" hidden="0"/>
    </dxf>
    <dxf>
      <protection locked="0" hidden="0"/>
    </dxf>
    <dxf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4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productos" displayName="Tablaproductos" ref="A1:N43" totalsRowShown="0" headerRowDxfId="40" dataDxfId="39">
  <autoFilter ref="A1:N43" xr:uid="{00000000-0009-0000-0100-000002000000}"/>
  <sortState xmlns:xlrd2="http://schemas.microsoft.com/office/spreadsheetml/2017/richdata2" ref="A2:N21">
    <sortCondition ref="D1:D21"/>
  </sortState>
  <tableColumns count="14">
    <tableColumn id="1" xr3:uid="{00000000-0010-0000-0000-000001000000}" name="CODIGOS" dataDxfId="38"/>
    <tableColumn id="2" xr3:uid="{00000000-0010-0000-0000-000002000000}" name="COD" dataDxfId="37">
      <calculatedColumnFormula>"*"&amp;Tablaproductos[[#This Row],[CODIGOS]]&amp;"*"</calculatedColumnFormula>
    </tableColumn>
    <tableColumn id="3" xr3:uid="{00000000-0010-0000-0000-000003000000}" name="BARRAS" dataDxfId="36">
      <calculatedColumnFormula>Tablaproductos[[#This Row],[COD]]</calculatedColumnFormula>
    </tableColumn>
    <tableColumn id="4" xr3:uid="{00000000-0010-0000-0000-000004000000}" name="DESCRIPCION" dataDxfId="35"/>
    <tableColumn id="5" xr3:uid="{00000000-0010-0000-0000-000005000000}" name="STOCK INICIAL" dataDxfId="34"/>
    <tableColumn id="6" xr3:uid="{00000000-0010-0000-0000-000006000000}" name="ENTRADAS" dataDxfId="33">
      <calculatedColumnFormula>SUMIF(TablaENTRADAS[CODIGO], Tablaproductos[[#This Row],[CODIGOS]], TablaENTRADAS[UNIDADES])</calculatedColumnFormula>
    </tableColumn>
    <tableColumn id="7" xr3:uid="{00000000-0010-0000-0000-000007000000}" name="SALIDAS" dataDxfId="32">
      <calculatedColumnFormula>SUMIF(TablaSalidas[CODIGO], Tablaproductos[[#This Row],[CODIGOS]], TablaSalidas[UNIDADES])</calculatedColumnFormula>
    </tableColumn>
    <tableColumn id="8" xr3:uid="{00000000-0010-0000-0000-000008000000}" name="STOCK ACTUAL" dataDxfId="31">
      <calculatedColumnFormula>Tablaproductos[[#This Row],[STOCK INICIAL]]+Tablaproductos[[#This Row],[ENTRADAS]]-Tablaproductos[[#This Row],[SALIDAS]]</calculatedColumnFormula>
    </tableColumn>
    <tableColumn id="9" xr3:uid="{00000000-0010-0000-0000-000009000000}" name="RESULTADO" dataDxfId="30">
      <calculatedColumnFormula>IF(Tablaproductos[[#This Row],[STOCK ACTUAL]]&gt;=1, "Stock suficiente", IF(Tablaproductos[[#This Row],[STOCK ACTUAL]]&gt;=0, "Stock agotandose", "Urge resurtir"))</calculatedColumnFormula>
    </tableColumn>
    <tableColumn id="10" xr3:uid="{00000000-0010-0000-0000-00000A000000}" name="ALMACEN" dataDxfId="29"/>
    <tableColumn id="11" xr3:uid="{00000000-0010-0000-0000-00000B000000}" name="ESTANTE" dataDxfId="28"/>
    <tableColumn id="12" xr3:uid="{00000000-0010-0000-0000-00000C000000}" name="NIVEL" dataDxfId="27"/>
    <tableColumn id="13" xr3:uid="{00000000-0010-0000-0000-00000D000000}" name="Precio Publico" dataDxfId="26" dataCellStyle="Moneda"/>
    <tableColumn id="14" xr3:uid="{00000000-0010-0000-0000-00000E000000}" name="Costo" dataDxfId="25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ENTRADAS" displayName="TablaENTRADAS" ref="A2:F18" totalsRowShown="0" headerRowDxfId="24" dataDxfId="23">
  <autoFilter ref="A2:F18" xr:uid="{00000000-0009-0000-0100-000003000000}"/>
  <tableColumns count="6">
    <tableColumn id="1" xr3:uid="{00000000-0010-0000-0100-000001000000}" name="FECHA" dataDxfId="22"/>
    <tableColumn id="3" xr3:uid="{00000000-0010-0000-0100-000003000000}" name="DESCRIPCION" dataDxfId="21"/>
    <tableColumn id="2" xr3:uid="{00000000-0010-0000-0100-000002000000}" name="CODIGO" dataDxfId="20" totalsRowDxfId="19">
      <calculatedColumnFormula>INDEX(Tablaproductos[#All], MATCH(TablaENTRADAS[[#This Row],[DESCRIPCION]], Tablaproductos[[#All],[DESCRIPCION]], 0), 1)</calculatedColumnFormula>
    </tableColumn>
    <tableColumn id="4" xr3:uid="{00000000-0010-0000-0100-000004000000}" name="UNIDADES" dataDxfId="18"/>
    <tableColumn id="5" xr3:uid="{00000000-0010-0000-0100-000005000000}" name="COSTO" dataDxfId="17" dataCellStyle="Moneda">
      <calculatedColumnFormula>INDEX(Tablaproductos[#All], MATCH(TablaENTRADAS[[#This Row],[DESCRIPCION]], Tablaproductos[[#All],[DESCRIPCION]], 0), 14)</calculatedColumnFormula>
    </tableColumn>
    <tableColumn id="6" xr3:uid="{00000000-0010-0000-0100-000006000000}" name="TOTAL" dataDxfId="16" dataCellStyle="Moneda">
      <calculatedColumnFormula>TablaENTRADAS[[#This Row],[UNIDADES]]*TablaENTRADAS[[#This Row],[COSTO]]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Salidas" displayName="TablaSalidas" ref="A2:H27" totalsRowShown="0" headerRowDxfId="15" dataDxfId="13" headerRowBorderDxfId="14" tableBorderDxfId="12">
  <autoFilter ref="A2:H27" xr:uid="{00000000-0009-0000-0100-000004000000}"/>
  <tableColumns count="8">
    <tableColumn id="1" xr3:uid="{00000000-0010-0000-0200-000001000000}" name="CLIENTE" dataDxfId="11"/>
    <tableColumn id="7" xr3:uid="{00000000-0010-0000-0200-000007000000}" name="FECHA" dataDxfId="10"/>
    <tableColumn id="8" xr3:uid="{00000000-0010-0000-0200-000008000000}" name="HORA" dataDxfId="9"/>
    <tableColumn id="5" xr3:uid="{00000000-0010-0000-0200-000005000000}" name="DESCRIPCION" dataDxfId="8"/>
    <tableColumn id="2" xr3:uid="{00000000-0010-0000-0200-000002000000}" name="CODIGO" dataDxfId="7">
      <calculatedColumnFormula>INDEX(Tablaproductos[[#All],[CODIGOS]:[Precio Publico]],  MATCH(TablaSalidas[[#This Row],[DESCRIPCION]], Tablaproductos[[#All],[DESCRIPCION]], 0), 1)</calculatedColumnFormula>
    </tableColumn>
    <tableColumn id="4" xr3:uid="{00000000-0010-0000-0200-000004000000}" name="UNIDADES" dataDxfId="6"/>
    <tableColumn id="3" xr3:uid="{00000000-0010-0000-0200-000003000000}" name="PRECIO PUBLICO" dataDxfId="5" dataCellStyle="Moneda">
      <calculatedColumnFormula>INDEX(Tablaproductos[#All],  MATCH(TablaSalidas[[#This Row],[DESCRIPCION]], Tablaproductos[[#All],[DESCRIPCION]], 0), 13)</calculatedColumnFormula>
    </tableColumn>
    <tableColumn id="6" xr3:uid="{00000000-0010-0000-0200-000006000000}" name="TOTAL" dataDxfId="4" dataCellStyle="Moneda">
      <calculatedColumnFormula>TablaSalidas[[#This Row],[UNIDADES]]*TablaSalidas[[#This Row],[PRECIO PUBLICO]]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43"/>
  <sheetViews>
    <sheetView zoomScale="64" zoomScaleNormal="64" workbookViewId="0">
      <selection activeCell="I10" sqref="I10"/>
    </sheetView>
  </sheetViews>
  <sheetFormatPr baseColWidth="10" defaultColWidth="0" defaultRowHeight="16" x14ac:dyDescent="0.2"/>
  <cols>
    <col min="1" max="1" width="17.83203125" style="14" bestFit="1" customWidth="1"/>
    <col min="2" max="2" width="16.33203125" style="14" bestFit="1" customWidth="1"/>
    <col min="3" max="3" width="25" style="14" customWidth="1"/>
    <col min="4" max="4" width="17.33203125" style="14" bestFit="1" customWidth="1"/>
    <col min="5" max="5" width="15.33203125" style="14" customWidth="1"/>
    <col min="6" max="6" width="12.6640625" style="14" customWidth="1"/>
    <col min="7" max="7" width="10.83203125" style="14" customWidth="1"/>
    <col min="8" max="8" width="16" style="14" customWidth="1"/>
    <col min="9" max="9" width="16.33203125" style="14" bestFit="1" customWidth="1"/>
    <col min="10" max="10" width="11.6640625" style="14" customWidth="1"/>
    <col min="11" max="11" width="11" style="14" customWidth="1"/>
    <col min="12" max="14" width="10.83203125" style="14" customWidth="1"/>
    <col min="15" max="16384" width="10.83203125" style="14" hidden="1"/>
  </cols>
  <sheetData>
    <row r="1" spans="1:1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15</v>
      </c>
    </row>
    <row r="2" spans="1:14" ht="40" customHeight="1" x14ac:dyDescent="0.2">
      <c r="A2" s="15"/>
      <c r="B2" s="16" t="str">
        <f>"*"&amp;Tablaproductos[[#This Row],[CODIGOS]]&amp;"*"</f>
        <v>**</v>
      </c>
      <c r="C2" s="17" t="str">
        <f>Tablaproductos[[#This Row],[COD]]</f>
        <v>**</v>
      </c>
      <c r="D2" s="13" t="s">
        <v>35</v>
      </c>
      <c r="E2" s="13"/>
      <c r="F2" s="19">
        <f>SUMIF(TablaENTRADAS[CODIGO], Tablaproductos[[#This Row],[CODIGOS]], TablaENTRADAS[UNIDADES])</f>
        <v>0</v>
      </c>
      <c r="G2" s="19">
        <f>SUMIF(TablaSalidas[CODIGO], Tablaproductos[[#This Row],[CODIGOS]], TablaSalidas[UNIDADES])</f>
        <v>0</v>
      </c>
      <c r="H2" s="19">
        <f>Tablaproductos[[#This Row],[STOCK INICIAL]]+Tablaproductos[[#This Row],[ENTRADAS]]-Tablaproductos[[#This Row],[SALIDAS]]</f>
        <v>0</v>
      </c>
      <c r="I2" s="13" t="str">
        <f>IF(Tablaproductos[[#This Row],[STOCK ACTUAL]]&gt;=1, "Stock suficiente", IF(Tablaproductos[[#This Row],[STOCK ACTUAL]]&gt;=0, "Stock agotandose", "Urge resurtir"))</f>
        <v>Stock agotandose</v>
      </c>
      <c r="J2" s="13"/>
      <c r="K2" s="13"/>
      <c r="L2" s="13"/>
      <c r="M2" s="18"/>
      <c r="N2" s="18"/>
    </row>
    <row r="3" spans="1:14" ht="28" x14ac:dyDescent="0.2">
      <c r="A3" s="15">
        <v>7501088596001</v>
      </c>
      <c r="B3" s="16" t="str">
        <f>"*"&amp;Tablaproductos[[#This Row],[CODIGOS]]&amp;"*"</f>
        <v>*7501088596001*</v>
      </c>
      <c r="C3" s="17" t="str">
        <f>Tablaproductos[[#This Row],[COD]]</f>
        <v>*7501088596001*</v>
      </c>
      <c r="D3" s="13" t="s">
        <v>36</v>
      </c>
      <c r="E3" s="13">
        <v>1</v>
      </c>
      <c r="F3" s="19">
        <f>SUMIF(TablaENTRADAS[CODIGO], Tablaproductos[[#This Row],[CODIGOS]], TablaENTRADAS[UNIDADES])</f>
        <v>0</v>
      </c>
      <c r="G3" s="19">
        <f>SUMIF(TablaSalidas[CODIGO], Tablaproductos[[#This Row],[CODIGOS]], TablaSalidas[UNIDADES])</f>
        <v>0</v>
      </c>
      <c r="H3" s="19">
        <f>Tablaproductos[[#This Row],[STOCK INICIAL]]+Tablaproductos[[#This Row],[ENTRADAS]]-Tablaproductos[[#This Row],[SALIDAS]]</f>
        <v>1</v>
      </c>
      <c r="I3" s="13" t="str">
        <f>IF(Tablaproductos[[#This Row],[STOCK ACTUAL]]&gt;=1, "Stock suficiente", IF(Tablaproductos[[#This Row],[STOCK ACTUAL]]&gt;=0, "Stock agotandose", "Urge resurtir"))</f>
        <v>Stock suficiente</v>
      </c>
      <c r="J3" s="13"/>
      <c r="K3" s="13"/>
      <c r="L3" s="13"/>
      <c r="M3" s="18">
        <v>250</v>
      </c>
      <c r="N3" s="18"/>
    </row>
    <row r="4" spans="1:14" ht="28" x14ac:dyDescent="0.2">
      <c r="A4" s="15">
        <v>734448000802</v>
      </c>
      <c r="B4" s="16" t="str">
        <f>"*"&amp;Tablaproductos[[#This Row],[CODIGOS]]&amp;"*"</f>
        <v>*734448000802*</v>
      </c>
      <c r="C4" s="17" t="str">
        <f>Tablaproductos[[#This Row],[COD]]</f>
        <v>*734448000802*</v>
      </c>
      <c r="D4" s="13" t="s">
        <v>37</v>
      </c>
      <c r="E4" s="13">
        <v>1</v>
      </c>
      <c r="F4" s="19">
        <f>SUMIF(TablaENTRADAS[CODIGO], Tablaproductos[[#This Row],[CODIGOS]], TablaENTRADAS[UNIDADES])</f>
        <v>0</v>
      </c>
      <c r="G4" s="19">
        <f>SUMIF(TablaSalidas[CODIGO], Tablaproductos[[#This Row],[CODIGOS]], TablaSalidas[UNIDADES])</f>
        <v>0</v>
      </c>
      <c r="H4" s="19">
        <f>Tablaproductos[[#This Row],[STOCK INICIAL]]+Tablaproductos[[#This Row],[ENTRADAS]]-Tablaproductos[[#This Row],[SALIDAS]]</f>
        <v>1</v>
      </c>
      <c r="I4" s="13" t="str">
        <f>IF(Tablaproductos[[#This Row],[STOCK ACTUAL]]&gt;=1, "Stock suficiente", IF(Tablaproductos[[#This Row],[STOCK ACTUAL]]&gt;=0, "Stock agotandose", "Urge resurtir"))</f>
        <v>Stock suficiente</v>
      </c>
      <c r="J4" s="13"/>
      <c r="K4" s="13"/>
      <c r="L4" s="13"/>
      <c r="M4" s="18"/>
      <c r="N4" s="18"/>
    </row>
    <row r="5" spans="1:14" ht="28" x14ac:dyDescent="0.2">
      <c r="A5" s="15" t="s">
        <v>65</v>
      </c>
      <c r="B5" s="16" t="str">
        <f>"*"&amp;Tablaproductos[[#This Row],[CODIGOS]]&amp;"*"</f>
        <v>*LROTIPETS*</v>
      </c>
      <c r="C5" s="17" t="str">
        <f>Tablaproductos[[#This Row],[COD]]</f>
        <v>*LROTIPETS*</v>
      </c>
      <c r="D5" s="13" t="s">
        <v>38</v>
      </c>
      <c r="E5" s="13">
        <v>2</v>
      </c>
      <c r="F5" s="19">
        <f>SUMIF(TablaENTRADAS[CODIGO], Tablaproductos[[#This Row],[CODIGOS]], TablaENTRADAS[UNIDADES])</f>
        <v>0</v>
      </c>
      <c r="G5" s="19">
        <f>SUMIF(TablaSalidas[CODIGO], Tablaproductos[[#This Row],[CODIGOS]], TablaSalidas[UNIDADES])</f>
        <v>0</v>
      </c>
      <c r="H5" s="19">
        <f>Tablaproductos[[#This Row],[STOCK INICIAL]]+Tablaproductos[[#This Row],[ENTRADAS]]-Tablaproductos[[#This Row],[SALIDAS]]</f>
        <v>2</v>
      </c>
      <c r="I5" s="13" t="str">
        <f>IF(Tablaproductos[[#This Row],[STOCK ACTUAL]]&gt;=2, "Stock suficiente", IF(Tablaproductos[[#This Row],[STOCK ACTUAL]]&gt;=1, "Stock agotandose", "Urge resurtir"))</f>
        <v>Stock suficiente</v>
      </c>
      <c r="J5" s="13"/>
      <c r="K5" s="13"/>
      <c r="L5" s="13"/>
      <c r="M5" s="18">
        <v>110</v>
      </c>
      <c r="N5" s="18"/>
    </row>
    <row r="6" spans="1:14" ht="28" x14ac:dyDescent="0.2">
      <c r="A6" s="15" t="s">
        <v>66</v>
      </c>
      <c r="B6" s="16" t="str">
        <f>"*"&amp;Tablaproductos[[#This Row],[CODIGOS]]&amp;"*"</f>
        <v>*LRBALSAMOBLANCO*</v>
      </c>
      <c r="C6" s="17" t="str">
        <f>Tablaproductos[[#This Row],[COD]]</f>
        <v>*LRBALSAMOBLANCO*</v>
      </c>
      <c r="D6" s="13" t="s">
        <v>39</v>
      </c>
      <c r="E6" s="13">
        <v>1</v>
      </c>
      <c r="F6" s="19">
        <f>SUMIF(TablaENTRADAS[CODIGO], Tablaproductos[[#This Row],[CODIGOS]], TablaENTRADAS[UNIDADES])</f>
        <v>0</v>
      </c>
      <c r="G6" s="19">
        <f>SUMIF(TablaSalidas[CODIGO], Tablaproductos[[#This Row],[CODIGOS]], TablaSalidas[UNIDADES])</f>
        <v>0</v>
      </c>
      <c r="H6" s="19">
        <f>Tablaproductos[[#This Row],[STOCK INICIAL]]+Tablaproductos[[#This Row],[ENTRADAS]]-Tablaproductos[[#This Row],[SALIDAS]]</f>
        <v>1</v>
      </c>
      <c r="I6" s="13" t="str">
        <f>IF(Tablaproductos[[#This Row],[STOCK ACTUAL]]&gt;=1, "Stock suficiente", IF(Tablaproductos[[#This Row],[STOCK ACTUAL]]&gt;=0, "Stock agotandose", "Urge resurtir"))</f>
        <v>Stock suficiente</v>
      </c>
      <c r="J6" s="13"/>
      <c r="K6" s="13"/>
      <c r="L6" s="13"/>
      <c r="M6" s="18"/>
      <c r="N6" s="18"/>
    </row>
    <row r="7" spans="1:14" ht="56" x14ac:dyDescent="0.2">
      <c r="A7" s="15" t="s">
        <v>133</v>
      </c>
      <c r="B7" s="16" t="str">
        <f>"*"&amp;Tablaproductos[[#This Row],[CODIGOS]]&amp;"*"</f>
        <v>*LRD7506342200564*</v>
      </c>
      <c r="C7" s="17" t="str">
        <f>Tablaproductos[[#This Row],[COD]]</f>
        <v>*LRD7506342200564*</v>
      </c>
      <c r="D7" s="13" t="s">
        <v>40</v>
      </c>
      <c r="E7" s="13">
        <v>150</v>
      </c>
      <c r="F7" s="19">
        <f>SUMIF(TablaENTRADAS[CODIGO], Tablaproductos[[#This Row],[CODIGOS]], TablaENTRADAS[UNIDADES])</f>
        <v>0</v>
      </c>
      <c r="G7" s="19">
        <f>SUMIF(TablaSalidas[CODIGO], Tablaproductos[[#This Row],[CODIGOS]], TablaSalidas[UNIDADES])</f>
        <v>0</v>
      </c>
      <c r="H7" s="19">
        <f>Tablaproductos[[#This Row],[STOCK INICIAL]]+Tablaproductos[[#This Row],[ENTRADAS]]-Tablaproductos[[#This Row],[SALIDAS]]</f>
        <v>150</v>
      </c>
      <c r="I7" s="13" t="str">
        <f>IF(Tablaproductos[[#This Row],[STOCK ACTUAL]]&gt;=100, "Stock suficiente", IF(Tablaproductos[[#This Row],[STOCK ACTUAL]]&gt;=25, "Stock agotandose", "Urge resurtir"))</f>
        <v>Stock suficiente</v>
      </c>
      <c r="J7" s="13"/>
      <c r="K7" s="13"/>
      <c r="L7" s="13"/>
      <c r="M7" s="18">
        <v>50</v>
      </c>
      <c r="N7" s="18">
        <f>80/50</f>
        <v>1.6</v>
      </c>
    </row>
    <row r="8" spans="1:14" ht="28" x14ac:dyDescent="0.2">
      <c r="A8" s="15" t="s">
        <v>50</v>
      </c>
      <c r="B8" s="16" t="str">
        <f>"*"&amp;Tablaproductos[[#This Row],[CODIGOS]]&amp;"*"</f>
        <v>*LRVPUPPYEXTRA*</v>
      </c>
      <c r="C8" s="17" t="str">
        <f>Tablaproductos[[#This Row],[COD]]</f>
        <v>*LRVPUPPYEXTRA*</v>
      </c>
      <c r="D8" s="13" t="s">
        <v>48</v>
      </c>
      <c r="E8" s="13">
        <v>5</v>
      </c>
      <c r="F8" s="19">
        <f>SUMIF(TablaENTRADAS[CODIGO], Tablaproductos[[#This Row],[CODIGOS]], TablaENTRADAS[UNIDADES])</f>
        <v>0</v>
      </c>
      <c r="G8" s="19">
        <f>SUMIF(TablaSalidas[CODIGO], Tablaproductos[[#This Row],[CODIGOS]], TablaSalidas[UNIDADES])</f>
        <v>0</v>
      </c>
      <c r="H8" s="19">
        <f>Tablaproductos[[#This Row],[STOCK INICIAL]]+Tablaproductos[[#This Row],[ENTRADAS]]-Tablaproductos[[#This Row],[SALIDAS]]</f>
        <v>5</v>
      </c>
      <c r="I8" s="13" t="str">
        <f>IF(Tablaproductos[[#This Row],[STOCK ACTUAL]]&gt;=1, "Stock suficiente", IF(Tablaproductos[[#This Row],[STOCK ACTUAL]]&gt;=0, "Stock agotandose", "Urge resurtir"))</f>
        <v>Stock suficiente</v>
      </c>
      <c r="J8" s="13"/>
      <c r="K8" s="13"/>
      <c r="L8" s="13"/>
      <c r="M8" s="18">
        <v>260</v>
      </c>
      <c r="N8" s="18">
        <v>110</v>
      </c>
    </row>
    <row r="9" spans="1:14" ht="28" x14ac:dyDescent="0.2">
      <c r="A9" s="15" t="s">
        <v>49</v>
      </c>
      <c r="B9" s="16" t="str">
        <f>"*"&amp;Tablaproductos[[#This Row],[CODIGOS]]&amp;"*"</f>
        <v>*LRVPUPPY*</v>
      </c>
      <c r="C9" s="17" t="str">
        <f>Tablaproductos[[#This Row],[COD]]</f>
        <v>*LRVPUPPY*</v>
      </c>
      <c r="D9" s="13" t="s">
        <v>47</v>
      </c>
      <c r="E9" s="13">
        <v>10</v>
      </c>
      <c r="F9" s="19">
        <f>SUMIF(TablaENTRADAS[CODIGO], Tablaproductos[[#This Row],[CODIGOS]], TablaENTRADAS[UNIDADES])</f>
        <v>0</v>
      </c>
      <c r="G9" s="19">
        <f>SUMIF(TablaSalidas[CODIGO], Tablaproductos[[#This Row],[CODIGOS]], TablaSalidas[UNIDADES])</f>
        <v>2</v>
      </c>
      <c r="H9" s="19">
        <f>Tablaproductos[[#This Row],[STOCK INICIAL]]+Tablaproductos[[#This Row],[ENTRADAS]]-Tablaproductos[[#This Row],[SALIDAS]]</f>
        <v>8</v>
      </c>
      <c r="I9" s="13" t="str">
        <f>IF(Tablaproductos[[#This Row],[STOCK ACTUAL]]&gt;=5, "Stock suficiente", IF(Tablaproductos[[#This Row],[STOCK ACTUAL]]&gt;=2, "Stock agotandose", "Urge resurtir"))</f>
        <v>Stock suficiente</v>
      </c>
      <c r="J9" s="13"/>
      <c r="K9" s="13"/>
      <c r="L9" s="13"/>
      <c r="M9" s="18">
        <v>240</v>
      </c>
      <c r="N9" s="18">
        <v>110</v>
      </c>
    </row>
    <row r="10" spans="1:14" ht="28" x14ac:dyDescent="0.2">
      <c r="A10" s="15" t="s">
        <v>51</v>
      </c>
      <c r="B10" s="16" t="str">
        <f>"*"&amp;Tablaproductos[[#This Row],[CODIGOS]]&amp;"*"</f>
        <v>*LRDYATREEN*</v>
      </c>
      <c r="C10" s="17" t="str">
        <f>Tablaproductos[[#This Row],[COD]]</f>
        <v>*LRDYATREEN*</v>
      </c>
      <c r="D10" s="13" t="s">
        <v>52</v>
      </c>
      <c r="E10" s="13">
        <v>100</v>
      </c>
      <c r="F10" s="19">
        <f>SUMIF(TablaENTRADAS[CODIGO], Tablaproductos[[#This Row],[CODIGOS]], TablaENTRADAS[UNIDADES])</f>
        <v>0</v>
      </c>
      <c r="G10" s="19">
        <f>SUMIF(TablaSalidas[CODIGO], Tablaproductos[[#This Row],[CODIGOS]], TablaSalidas[UNIDADES])</f>
        <v>0</v>
      </c>
      <c r="H10" s="19">
        <f>Tablaproductos[[#This Row],[STOCK INICIAL]]+Tablaproductos[[#This Row],[ENTRADAS]]-Tablaproductos[[#This Row],[SALIDAS]]</f>
        <v>100</v>
      </c>
      <c r="I10" s="13" t="str">
        <f>IF(Tablaproductos[[#This Row],[STOCK ACTUAL]]&gt;=100, "Stock suficiente", IF(Tablaproductos[[#This Row],[STOCK ACTUAL]]&gt;=30, "Stock agotandose", "Urge resurtir"))</f>
        <v>Stock suficiente</v>
      </c>
      <c r="J10" s="13"/>
      <c r="K10" s="13"/>
      <c r="L10" s="13"/>
      <c r="M10" s="18"/>
      <c r="N10" s="18"/>
    </row>
    <row r="11" spans="1:14" ht="56" x14ac:dyDescent="0.2">
      <c r="A11" s="15" t="s">
        <v>55</v>
      </c>
      <c r="B11" s="16" t="str">
        <f>"*"&amp;Tablaproductos[[#This Row],[CODIGOS]]&amp;"*"</f>
        <v>*LRVACUNAQUINTUPLE*</v>
      </c>
      <c r="C11" s="17" t="str">
        <f>Tablaproductos[[#This Row],[COD]]</f>
        <v>*LRVACUNAQUINTUPLE*</v>
      </c>
      <c r="D11" s="13" t="s">
        <v>61</v>
      </c>
      <c r="E11" s="13">
        <v>5</v>
      </c>
      <c r="F11" s="19">
        <f>SUMIF(TablaENTRADAS[CODIGO], Tablaproductos[[#This Row],[CODIGOS]], TablaENTRADAS[UNIDADES])</f>
        <v>0</v>
      </c>
      <c r="G11" s="19">
        <f>SUMIF(TablaSalidas[CODIGO], Tablaproductos[[#This Row],[CODIGOS]], TablaSalidas[UNIDADES])</f>
        <v>0</v>
      </c>
      <c r="H11" s="19">
        <f>Tablaproductos[[#This Row],[STOCK INICIAL]]+Tablaproductos[[#This Row],[ENTRADAS]]-Tablaproductos[[#This Row],[SALIDAS]]</f>
        <v>5</v>
      </c>
      <c r="I11" s="13" t="str">
        <f>IF(Tablaproductos[[#This Row],[STOCK ACTUAL]]&gt;=5, "Stock suficiente", IF(Tablaproductos[[#This Row],[STOCK ACTUAL]]&gt;=1, "Stock agotandose", "Urge resurtir"))</f>
        <v>Stock suficiente</v>
      </c>
      <c r="J11" s="13"/>
      <c r="K11" s="13"/>
      <c r="L11" s="13"/>
      <c r="M11" s="18">
        <v>300</v>
      </c>
      <c r="N11" s="18"/>
    </row>
    <row r="12" spans="1:14" ht="56" x14ac:dyDescent="0.2">
      <c r="A12" s="15" t="s">
        <v>62</v>
      </c>
      <c r="B12" s="16" t="str">
        <f>"*"&amp;Tablaproductos[[#This Row],[CODIGOS]]&amp;"*"</f>
        <v>*LRVACUNASEXTUPLE*</v>
      </c>
      <c r="C12" s="17" t="str">
        <f>Tablaproductos[[#This Row],[COD]]</f>
        <v>*LRVACUNASEXTUPLE*</v>
      </c>
      <c r="D12" s="13" t="s">
        <v>63</v>
      </c>
      <c r="E12" s="13">
        <v>5</v>
      </c>
      <c r="F12" s="19">
        <f>SUMIF(TablaENTRADAS[CODIGO], Tablaproductos[[#This Row],[CODIGOS]], TablaENTRADAS[UNIDADES])</f>
        <v>0</v>
      </c>
      <c r="G12" s="19">
        <f>SUMIF(TablaSalidas[CODIGO], Tablaproductos[[#This Row],[CODIGOS]], TablaSalidas[UNIDADES])</f>
        <v>0</v>
      </c>
      <c r="H12" s="19">
        <f>Tablaproductos[[#This Row],[STOCK INICIAL]]+Tablaproductos[[#This Row],[ENTRADAS]]-Tablaproductos[[#This Row],[SALIDAS]]</f>
        <v>5</v>
      </c>
      <c r="I12" s="13" t="str">
        <f>IF(Tablaproductos[[#This Row],[STOCK ACTUAL]]&gt;=5, "Stock suficiente", IF(Tablaproductos[[#This Row],[STOCK ACTUAL]]&gt;=1, "Stock agotandose", "Urge resurtir"))</f>
        <v>Stock suficiente</v>
      </c>
      <c r="J12" s="13"/>
      <c r="K12" s="13"/>
      <c r="L12" s="13"/>
      <c r="M12" s="18">
        <v>300</v>
      </c>
      <c r="N12" s="18"/>
    </row>
    <row r="13" spans="1:14" ht="28" x14ac:dyDescent="0.2">
      <c r="A13" s="15">
        <v>7503019612057</v>
      </c>
      <c r="B13" s="16" t="str">
        <f>"*"&amp;Tablaproductos[[#This Row],[CODIGOS]]&amp;"*"</f>
        <v>*7503019612057*</v>
      </c>
      <c r="C13" s="17" t="str">
        <f>Tablaproductos[[#This Row],[COD]]</f>
        <v>*7503019612057*</v>
      </c>
      <c r="D13" s="13" t="s">
        <v>64</v>
      </c>
      <c r="E13" s="13">
        <v>1</v>
      </c>
      <c r="F13" s="19">
        <f>SUMIF(TablaENTRADAS[CODIGO], Tablaproductos[[#This Row],[CODIGOS]], TablaENTRADAS[UNIDADES])</f>
        <v>0</v>
      </c>
      <c r="G13" s="19">
        <f>SUMIF(TablaSalidas[CODIGO], Tablaproductos[[#This Row],[CODIGOS]], TablaSalidas[UNIDADES])</f>
        <v>0</v>
      </c>
      <c r="H13" s="19">
        <f>Tablaproductos[[#This Row],[STOCK INICIAL]]+Tablaproductos[[#This Row],[ENTRADAS]]-Tablaproductos[[#This Row],[SALIDAS]]</f>
        <v>1</v>
      </c>
      <c r="I13" s="13" t="str">
        <f>IF(Tablaproductos[[#This Row],[STOCK ACTUAL]]&gt;=1, "Stock suficiente", IF(Tablaproductos[[#This Row],[STOCK ACTUAL]]&gt;=0, "Stock agotandose", "Urge resurtir"))</f>
        <v>Stock suficiente</v>
      </c>
      <c r="J13" s="13"/>
      <c r="K13" s="13"/>
      <c r="L13" s="13"/>
      <c r="M13" s="18">
        <v>250</v>
      </c>
      <c r="N13" s="18"/>
    </row>
    <row r="14" spans="1:14" ht="28" x14ac:dyDescent="0.2">
      <c r="A14" s="15">
        <v>88172101</v>
      </c>
      <c r="B14" s="16" t="str">
        <f>"*"&amp;Tablaproductos[[#This Row],[CODIGOS]]&amp;"*"</f>
        <v>*88172101*</v>
      </c>
      <c r="C14" s="17" t="str">
        <f>Tablaproductos[[#This Row],[COD]]</f>
        <v>*88172101*</v>
      </c>
      <c r="D14" s="13" t="s">
        <v>67</v>
      </c>
      <c r="E14" s="13">
        <v>2</v>
      </c>
      <c r="F14" s="19">
        <f>SUMIF(TablaENTRADAS[CODIGO], Tablaproductos[[#This Row],[CODIGOS]], TablaENTRADAS[UNIDADES])</f>
        <v>0</v>
      </c>
      <c r="G14" s="19">
        <f>SUMIF(TablaSalidas[CODIGO], Tablaproductos[[#This Row],[CODIGOS]], TablaSalidas[UNIDADES])</f>
        <v>0</v>
      </c>
      <c r="H14" s="19">
        <f>Tablaproductos[[#This Row],[STOCK INICIAL]]+Tablaproductos[[#This Row],[ENTRADAS]]-Tablaproductos[[#This Row],[SALIDAS]]</f>
        <v>2</v>
      </c>
      <c r="I14" s="13" t="str">
        <f>IF(Tablaproductos[[#This Row],[STOCK ACTUAL]]&gt;=1, "Stock suficiente", IF(Tablaproductos[[#This Row],[STOCK ACTUAL]]&gt;=0, "Stock agotandose", "Urge resurtir"))</f>
        <v>Stock suficiente</v>
      </c>
      <c r="J14" s="13"/>
      <c r="K14" s="13"/>
      <c r="L14" s="13"/>
      <c r="M14" s="18">
        <v>130</v>
      </c>
      <c r="N14" s="18"/>
    </row>
    <row r="15" spans="1:14" ht="28" x14ac:dyDescent="0.2">
      <c r="A15" s="15">
        <v>7506412700970</v>
      </c>
      <c r="B15" s="16" t="str">
        <f>"*"&amp;Tablaproductos[[#This Row],[CODIGOS]]&amp;"*"</f>
        <v>*7506412700970*</v>
      </c>
      <c r="C15" s="17" t="str">
        <f>Tablaproductos[[#This Row],[COD]]</f>
        <v>*7506412700970*</v>
      </c>
      <c r="D15" s="13" t="s">
        <v>68</v>
      </c>
      <c r="E15" s="13">
        <v>2</v>
      </c>
      <c r="F15" s="19">
        <f>SUMIF(TablaENTRADAS[CODIGO], Tablaproductos[[#This Row],[CODIGOS]], TablaENTRADAS[UNIDADES])</f>
        <v>0</v>
      </c>
      <c r="G15" s="19">
        <f>SUMIF(TablaSalidas[CODIGO], Tablaproductos[[#This Row],[CODIGOS]], TablaSalidas[UNIDADES])</f>
        <v>0</v>
      </c>
      <c r="H15" s="19">
        <f>Tablaproductos[[#This Row],[STOCK INICIAL]]+Tablaproductos[[#This Row],[ENTRADAS]]-Tablaproductos[[#This Row],[SALIDAS]]</f>
        <v>2</v>
      </c>
      <c r="I15" s="13" t="str">
        <f>IF(Tablaproductos[[#This Row],[STOCK ACTUAL]]&gt;=2, "Stock suficiente", IF(Tablaproductos[[#This Row],[STOCK ACTUAL]]&gt;=1, "Stock agotandose", "Urge resurtir"))</f>
        <v>Stock suficiente</v>
      </c>
      <c r="J15" s="13"/>
      <c r="K15" s="13"/>
      <c r="L15" s="13"/>
      <c r="M15" s="18">
        <v>200</v>
      </c>
      <c r="N15" s="18"/>
    </row>
    <row r="16" spans="1:14" ht="28" x14ac:dyDescent="0.2">
      <c r="A16" s="15">
        <v>7501051144475</v>
      </c>
      <c r="B16" s="16" t="str">
        <f>"*"&amp;Tablaproductos[[#This Row],[CODIGOS]]&amp;"*"</f>
        <v>*7501051144475*</v>
      </c>
      <c r="C16" s="17" t="str">
        <f>Tablaproductos[[#This Row],[COD]]</f>
        <v>*7501051144475*</v>
      </c>
      <c r="D16" s="13" t="s">
        <v>69</v>
      </c>
      <c r="E16" s="13">
        <v>2</v>
      </c>
      <c r="F16" s="19">
        <f>SUMIF(TablaENTRADAS[CODIGO], Tablaproductos[[#This Row],[CODIGOS]], TablaENTRADAS[UNIDADES])</f>
        <v>0</v>
      </c>
      <c r="G16" s="19">
        <f>SUMIF(TablaSalidas[CODIGO], Tablaproductos[[#This Row],[CODIGOS]], TablaSalidas[UNIDADES])</f>
        <v>0</v>
      </c>
      <c r="H16" s="19">
        <f>Tablaproductos[[#This Row],[STOCK INICIAL]]+Tablaproductos[[#This Row],[ENTRADAS]]-Tablaproductos[[#This Row],[SALIDAS]]</f>
        <v>2</v>
      </c>
      <c r="I16" s="13" t="str">
        <f>IF(Tablaproductos[[#This Row],[STOCK ACTUAL]]&gt;=2, "Stock suficiente", IF(Tablaproductos[[#This Row],[STOCK ACTUAL]]&gt;=1, "Stock agotandose", "Urge resurtir"))</f>
        <v>Stock suficiente</v>
      </c>
      <c r="J16" s="13"/>
      <c r="K16" s="13"/>
      <c r="L16" s="13"/>
      <c r="M16" s="18">
        <v>250</v>
      </c>
      <c r="N16" s="18"/>
    </row>
    <row r="17" spans="1:14" ht="28" x14ac:dyDescent="0.2">
      <c r="A17" s="15" t="s">
        <v>70</v>
      </c>
      <c r="B17" s="16" t="str">
        <f>"*"&amp;Tablaproductos[[#This Row],[CODIGOS]]&amp;"*"</f>
        <v>*LRAZULSPRAY*</v>
      </c>
      <c r="C17" s="17" t="str">
        <f>Tablaproductos[[#This Row],[COD]]</f>
        <v>*LRAZULSPRAY*</v>
      </c>
      <c r="D17" s="13" t="s">
        <v>71</v>
      </c>
      <c r="E17" s="13">
        <v>1</v>
      </c>
      <c r="F17" s="19">
        <f>SUMIF(TablaENTRADAS[CODIGO], Tablaproductos[[#This Row],[CODIGOS]], TablaENTRADAS[UNIDADES])</f>
        <v>0</v>
      </c>
      <c r="G17" s="19">
        <f>SUMIF(TablaSalidas[CODIGO], Tablaproductos[[#This Row],[CODIGOS]], TablaSalidas[UNIDADES])</f>
        <v>0</v>
      </c>
      <c r="H17" s="19">
        <f>Tablaproductos[[#This Row],[STOCK INICIAL]]+Tablaproductos[[#This Row],[ENTRADAS]]-Tablaproductos[[#This Row],[SALIDAS]]</f>
        <v>1</v>
      </c>
      <c r="I17" s="13" t="str">
        <f>IF(Tablaproductos[[#This Row],[STOCK ACTUAL]]&gt;=1, "Stock suficiente", IF(Tablaproductos[[#This Row],[STOCK ACTUAL]]&gt;=0, "Stock agotandose", "Urge resurtir"))</f>
        <v>Stock suficiente</v>
      </c>
      <c r="J17" s="13"/>
      <c r="K17" s="13"/>
      <c r="L17" s="13"/>
      <c r="M17" s="18"/>
      <c r="N17" s="18"/>
    </row>
    <row r="18" spans="1:14" ht="28" x14ac:dyDescent="0.2">
      <c r="A18" s="15" t="s">
        <v>72</v>
      </c>
      <c r="B18" s="49" t="str">
        <f>"*"&amp;Tablaproductos[[#This Row],[CODIGOS]]&amp;"*"</f>
        <v>*LRAZULGOTA*</v>
      </c>
      <c r="C18" s="17" t="str">
        <f>Tablaproductos[[#This Row],[COD]]</f>
        <v>*LRAZULGOTA*</v>
      </c>
      <c r="D18" s="13" t="s">
        <v>73</v>
      </c>
      <c r="E18" s="13">
        <v>1</v>
      </c>
      <c r="F18" s="19">
        <f>SUMIF(TablaENTRADAS[CODIGO], Tablaproductos[[#This Row],[CODIGOS]], TablaENTRADAS[UNIDADES])</f>
        <v>0</v>
      </c>
      <c r="G18" s="19">
        <f>SUMIF(TablaSalidas[CODIGO], Tablaproductos[[#This Row],[CODIGOS]], TablaSalidas[UNIDADES])</f>
        <v>0</v>
      </c>
      <c r="H18" s="19">
        <f>Tablaproductos[[#This Row],[STOCK INICIAL]]+Tablaproductos[[#This Row],[ENTRADAS]]-Tablaproductos[[#This Row],[SALIDAS]]</f>
        <v>1</v>
      </c>
      <c r="I18" s="13" t="str">
        <f>IF(Tablaproductos[[#This Row],[STOCK ACTUAL]]&gt;=1, "Stock suficiente", IF(Tablaproductos[[#This Row],[STOCK ACTUAL]]&gt;=0, "Stock agotandose", "Urge resurtir"))</f>
        <v>Stock suficiente</v>
      </c>
      <c r="J18" s="13"/>
      <c r="K18" s="13"/>
      <c r="L18" s="13"/>
      <c r="M18" s="18"/>
      <c r="N18" s="18"/>
    </row>
    <row r="19" spans="1:14" ht="27" x14ac:dyDescent="0.2">
      <c r="A19" s="15" t="s">
        <v>74</v>
      </c>
      <c r="B19" s="16" t="str">
        <f>"*"&amp;Tablaproductos[[#This Row],[CODIGOS]]&amp;"*"</f>
        <v>*LRCUAJOCH*</v>
      </c>
      <c r="C19" s="17"/>
      <c r="D19" s="13" t="s">
        <v>75</v>
      </c>
      <c r="E19" s="13">
        <v>1</v>
      </c>
      <c r="F19" s="19">
        <f>SUMIF(TablaENTRADAS[CODIGO], Tablaproductos[[#This Row],[CODIGOS]], TablaENTRADAS[UNIDADES])</f>
        <v>0</v>
      </c>
      <c r="G19" s="19">
        <f>SUMIF(TablaSalidas[CODIGO], Tablaproductos[[#This Row],[CODIGOS]], TablaSalidas[UNIDADES])</f>
        <v>0</v>
      </c>
      <c r="H19" s="19">
        <f>Tablaproductos[[#This Row],[STOCK INICIAL]]+Tablaproductos[[#This Row],[ENTRADAS]]-Tablaproductos[[#This Row],[SALIDAS]]</f>
        <v>1</v>
      </c>
      <c r="I19" s="13" t="str">
        <f>IF(Tablaproductos[[#This Row],[STOCK ACTUAL]]&gt;=5, "Stock suficiente", IF(Tablaproductos[[#This Row],[STOCK ACTUAL]]&gt;=2, "Stock agotandose", "Urge resurtir"))</f>
        <v>Urge resurtir</v>
      </c>
      <c r="J19" s="13"/>
      <c r="K19" s="13"/>
      <c r="L19" s="13"/>
      <c r="M19" s="18"/>
      <c r="N19" s="18"/>
    </row>
    <row r="20" spans="1:14" ht="28" x14ac:dyDescent="0.2">
      <c r="A20" s="15" t="s">
        <v>77</v>
      </c>
      <c r="B20" s="16" t="str">
        <f>"*"&amp;Tablaproductos[[#This Row],[CODIGOS]]&amp;"*"</f>
        <v>*LRSANITOR*</v>
      </c>
      <c r="C20" s="17" t="str">
        <f>Tablaproductos[[#This Row],[COD]]</f>
        <v>*LRSANITOR*</v>
      </c>
      <c r="D20" s="13" t="s">
        <v>76</v>
      </c>
      <c r="E20" s="13">
        <v>2</v>
      </c>
      <c r="F20" s="19">
        <f>SUMIF(TablaENTRADAS[CODIGO], Tablaproductos[[#This Row],[CODIGOS]], TablaENTRADAS[UNIDADES])</f>
        <v>0</v>
      </c>
      <c r="G20" s="19">
        <f>SUMIF(TablaSalidas[CODIGO], Tablaproductos[[#This Row],[CODIGOS]], TablaSalidas[UNIDADES])</f>
        <v>0</v>
      </c>
      <c r="H20" s="19">
        <f>Tablaproductos[[#This Row],[STOCK INICIAL]]+Tablaproductos[[#This Row],[ENTRADAS]]-Tablaproductos[[#This Row],[SALIDAS]]</f>
        <v>2</v>
      </c>
      <c r="I20" s="13" t="str">
        <f>IF(Tablaproductos[[#This Row],[STOCK ACTUAL]]&gt;=1, "Stock suficiente", IF(Tablaproductos[[#This Row],[STOCK ACTUAL]]&gt;=0, "Stock agotandose", "Urge resurtir"))</f>
        <v>Stock suficiente</v>
      </c>
      <c r="J20" s="13"/>
      <c r="K20" s="13"/>
      <c r="L20" s="13"/>
      <c r="M20" s="18">
        <v>180</v>
      </c>
      <c r="N20" s="18"/>
    </row>
    <row r="21" spans="1:14" ht="28" x14ac:dyDescent="0.2">
      <c r="A21" s="15">
        <v>734448001038</v>
      </c>
      <c r="B21" s="16" t="str">
        <f>"*"&amp;Tablaproductos[[#This Row],[CODIGOS]]&amp;"*"</f>
        <v>*734448001038*</v>
      </c>
      <c r="C21" s="17" t="str">
        <f>Tablaproductos[[#This Row],[COD]]</f>
        <v>*734448001038*</v>
      </c>
      <c r="D21" s="13" t="s">
        <v>78</v>
      </c>
      <c r="E21" s="13">
        <v>2</v>
      </c>
      <c r="F21" s="19">
        <f>SUMIF(TablaENTRADAS[CODIGO], Tablaproductos[[#This Row],[CODIGOS]], TablaENTRADAS[UNIDADES])</f>
        <v>0</v>
      </c>
      <c r="G21" s="19">
        <f>SUMIF(TablaSalidas[CODIGO], Tablaproductos[[#This Row],[CODIGOS]], TablaSalidas[UNIDADES])</f>
        <v>0</v>
      </c>
      <c r="H21" s="19">
        <f>Tablaproductos[[#This Row],[STOCK INICIAL]]+Tablaproductos[[#This Row],[ENTRADAS]]-Tablaproductos[[#This Row],[SALIDAS]]</f>
        <v>2</v>
      </c>
      <c r="I21" s="13" t="str">
        <f>IF(Tablaproductos[[#This Row],[STOCK ACTUAL]]&gt;=1, "Stock suficiente", IF(Tablaproductos[[#This Row],[STOCK ACTUAL]]&gt;=0, "Stock agotandose", "Urge resurtir"))</f>
        <v>Stock suficiente</v>
      </c>
      <c r="J21" s="13"/>
      <c r="K21" s="13"/>
      <c r="L21" s="13"/>
      <c r="M21" s="18">
        <v>150</v>
      </c>
      <c r="N21" s="18"/>
    </row>
    <row r="22" spans="1:14" ht="28" x14ac:dyDescent="0.2">
      <c r="A22" s="15" t="s">
        <v>79</v>
      </c>
      <c r="B22" s="16" t="str">
        <f>"*"&amp;Tablaproductos[[#This Row],[CODIGOS]]&amp;"*"</f>
        <v>*LROLEOLAX*</v>
      </c>
      <c r="C22" s="17" t="str">
        <f>Tablaproductos[[#This Row],[COD]]</f>
        <v>*LROLEOLAX*</v>
      </c>
      <c r="D22" s="13" t="s">
        <v>80</v>
      </c>
      <c r="E22" s="13">
        <v>2</v>
      </c>
      <c r="F22" s="19">
        <f>SUMIF(TablaENTRADAS[CODIGO], Tablaproductos[[#This Row],[CODIGOS]], TablaENTRADAS[UNIDADES])</f>
        <v>0</v>
      </c>
      <c r="G22" s="19">
        <f>SUMIF(TablaSalidas[CODIGO], Tablaproductos[[#This Row],[CODIGOS]], TablaSalidas[UNIDADES])</f>
        <v>0</v>
      </c>
      <c r="H22" s="19">
        <f>Tablaproductos[[#This Row],[STOCK INICIAL]]+Tablaproductos[[#This Row],[ENTRADAS]]-Tablaproductos[[#This Row],[SALIDAS]]</f>
        <v>2</v>
      </c>
      <c r="I22" s="13" t="str">
        <f>IF(Tablaproductos[[#This Row],[STOCK ACTUAL]]&gt;=2, "Stock suficiente", IF(Tablaproductos[[#This Row],[STOCK ACTUAL]]&gt;=1, "Stock agotandose", "Urge resurtir"))</f>
        <v>Stock suficiente</v>
      </c>
      <c r="J22" s="13"/>
      <c r="K22" s="13"/>
      <c r="L22" s="13"/>
      <c r="M22" s="18">
        <v>200</v>
      </c>
      <c r="N22" s="18"/>
    </row>
    <row r="23" spans="1:14" ht="28" x14ac:dyDescent="0.2">
      <c r="A23" s="15" t="s">
        <v>81</v>
      </c>
      <c r="B23" s="16" t="str">
        <f>"*"&amp;Tablaproductos[[#This Row],[CODIGOS]]&amp;"*"</f>
        <v>*LRCONTRAC*</v>
      </c>
      <c r="C23" s="17" t="str">
        <f>Tablaproductos[[#This Row],[COD]]</f>
        <v>*LRCONTRAC*</v>
      </c>
      <c r="D23" s="13" t="s">
        <v>82</v>
      </c>
      <c r="E23" s="13">
        <v>2</v>
      </c>
      <c r="F23" s="19">
        <f>SUMIF(TablaENTRADAS[CODIGO], Tablaproductos[[#This Row],[CODIGOS]], TablaENTRADAS[UNIDADES])</f>
        <v>0</v>
      </c>
      <c r="G23" s="19">
        <f>SUMIF(TablaSalidas[CODIGO], Tablaproductos[[#This Row],[CODIGOS]], TablaSalidas[UNIDADES])</f>
        <v>0</v>
      </c>
      <c r="H23" s="19">
        <f>Tablaproductos[[#This Row],[STOCK INICIAL]]+Tablaproductos[[#This Row],[ENTRADAS]]-Tablaproductos[[#This Row],[SALIDAS]]</f>
        <v>2</v>
      </c>
      <c r="I23" s="13" t="str">
        <f>IF(Tablaproductos[[#This Row],[STOCK ACTUAL]]&gt;=1, "Stock suficiente", IF(Tablaproductos[[#This Row],[STOCK ACTUAL]]&gt;=0, "Stock agotandose", "Urge resurtir"))</f>
        <v>Stock suficiente</v>
      </c>
      <c r="J23" s="13"/>
      <c r="K23" s="13"/>
      <c r="L23" s="13"/>
      <c r="M23" s="18">
        <v>160</v>
      </c>
      <c r="N23" s="18"/>
    </row>
    <row r="24" spans="1:14" ht="28" x14ac:dyDescent="0.2">
      <c r="A24" s="15">
        <v>7501556450026</v>
      </c>
      <c r="B24" s="16" t="str">
        <f>"*"&amp;Tablaproductos[[#This Row],[CODIGOS]]&amp;"*"</f>
        <v>*7501556450026*</v>
      </c>
      <c r="C24" s="17" t="str">
        <f>Tablaproductos[[#This Row],[COD]]</f>
        <v>*7501556450026*</v>
      </c>
      <c r="D24" s="13" t="s">
        <v>111</v>
      </c>
      <c r="E24" s="13">
        <v>2</v>
      </c>
      <c r="F24" s="19">
        <f>SUMIF(TablaENTRADAS[CODIGO], Tablaproductos[[#This Row],[CODIGOS]], TablaENTRADAS[UNIDADES])</f>
        <v>0</v>
      </c>
      <c r="G24" s="19">
        <f>SUMIF(TablaSalidas[CODIGO], Tablaproductos[[#This Row],[CODIGOS]], TablaSalidas[UNIDADES])</f>
        <v>0</v>
      </c>
      <c r="H24" s="19">
        <f>Tablaproductos[[#This Row],[STOCK INICIAL]]+Tablaproductos[[#This Row],[ENTRADAS]]-Tablaproductos[[#This Row],[SALIDAS]]</f>
        <v>2</v>
      </c>
      <c r="I24" s="13" t="str">
        <f>IF(Tablaproductos[[#This Row],[STOCK ACTUAL]]&gt;=L264, "Stock suficiente", IF(Tablaproductos[[#This Row],[STOCK ACTUAL]]&gt;=2, "Stock agotandose", "Urge resurtir"))</f>
        <v>Stock suficiente</v>
      </c>
      <c r="J24" s="13"/>
      <c r="K24" s="13"/>
      <c r="L24" s="13"/>
      <c r="M24" s="18">
        <v>32</v>
      </c>
      <c r="N24" s="18"/>
    </row>
    <row r="25" spans="1:14" ht="28" x14ac:dyDescent="0.2">
      <c r="A25" s="15">
        <v>16205376</v>
      </c>
      <c r="B25" s="16" t="str">
        <f>"*"&amp;Tablaproductos[[#This Row],[CODIGOS]]&amp;"*"</f>
        <v>*16205376*</v>
      </c>
      <c r="C25" s="17" t="str">
        <f>Tablaproductos[[#This Row],[COD]]</f>
        <v>*16205376*</v>
      </c>
      <c r="D25" s="13" t="s">
        <v>110</v>
      </c>
      <c r="E25" s="13">
        <v>5</v>
      </c>
      <c r="F25" s="19">
        <f>SUMIF(TablaENTRADAS[CODIGO], Tablaproductos[[#This Row],[CODIGOS]], TablaENTRADAS[UNIDADES])</f>
        <v>0</v>
      </c>
      <c r="G25" s="19">
        <f>SUMIF(TablaSalidas[CODIGO], Tablaproductos[[#This Row],[CODIGOS]], TablaSalidas[UNIDADES])</f>
        <v>0</v>
      </c>
      <c r="H25" s="19">
        <f>Tablaproductos[[#This Row],[STOCK INICIAL]]+Tablaproductos[[#This Row],[ENTRADAS]]-Tablaproductos[[#This Row],[SALIDAS]]</f>
        <v>5</v>
      </c>
      <c r="I25" s="13" t="str">
        <f>IF(Tablaproductos[[#This Row],[STOCK ACTUAL]]&gt;=1, "Stock suficiente", IF(Tablaproductos[[#This Row],[STOCK ACTUAL]]&gt;=0, "Stock agotandose", "Urge resurtir"))</f>
        <v>Stock suficiente</v>
      </c>
      <c r="J25" s="13"/>
      <c r="K25" s="13"/>
      <c r="L25" s="13"/>
      <c r="M25" s="18">
        <v>25</v>
      </c>
      <c r="N25" s="18"/>
    </row>
    <row r="26" spans="1:14" ht="28" x14ac:dyDescent="0.2">
      <c r="A26" s="15">
        <v>7501556450019</v>
      </c>
      <c r="B26" s="16" t="str">
        <f>"*"&amp;Tablaproductos[[#This Row],[CODIGOS]]&amp;"*"</f>
        <v>*7501556450019*</v>
      </c>
      <c r="C26" s="17" t="str">
        <f>Tablaproductos[[#This Row],[COD]]</f>
        <v>*7501556450019*</v>
      </c>
      <c r="D26" s="13" t="s">
        <v>112</v>
      </c>
      <c r="E26" s="13">
        <v>4</v>
      </c>
      <c r="F26" s="19">
        <f>SUMIF(TablaENTRADAS[CODIGO], Tablaproductos[[#This Row],[CODIGOS]], TablaENTRADAS[UNIDADES])</f>
        <v>0</v>
      </c>
      <c r="G26" s="19">
        <f>SUMIF(TablaSalidas[CODIGO], Tablaproductos[[#This Row],[CODIGOS]], TablaSalidas[UNIDADES])</f>
        <v>0</v>
      </c>
      <c r="H26" s="19">
        <f>Tablaproductos[[#This Row],[STOCK INICIAL]]+Tablaproductos[[#This Row],[ENTRADAS]]-Tablaproductos[[#This Row],[SALIDAS]]</f>
        <v>4</v>
      </c>
      <c r="I26" s="13" t="str">
        <f>IF(Tablaproductos[[#This Row],[STOCK ACTUAL]]&gt;=1, "Stock suficiente", IF(Tablaproductos[[#This Row],[STOCK ACTUAL]]&gt;=0, "Stock agotandose", "Urge resurtir"))</f>
        <v>Stock suficiente</v>
      </c>
      <c r="J26" s="13"/>
      <c r="K26" s="13"/>
      <c r="L26" s="13"/>
      <c r="M26" s="18">
        <v>42</v>
      </c>
      <c r="N26" s="18"/>
    </row>
    <row r="27" spans="1:14" ht="28" x14ac:dyDescent="0.2">
      <c r="A27" s="15">
        <v>7502235960003</v>
      </c>
      <c r="B27" s="16" t="str">
        <f>"*"&amp;Tablaproductos[[#This Row],[CODIGOS]]&amp;"*"</f>
        <v>*7502235960003*</v>
      </c>
      <c r="C27" s="17" t="str">
        <f>Tablaproductos[[#This Row],[COD]]</f>
        <v>*7502235960003*</v>
      </c>
      <c r="D27" s="13" t="s">
        <v>83</v>
      </c>
      <c r="E27" s="13">
        <v>1</v>
      </c>
      <c r="F27" s="19">
        <f>SUMIF(TablaENTRADAS[CODIGO], Tablaproductos[[#This Row],[CODIGOS]], TablaENTRADAS[UNIDADES])</f>
        <v>0</v>
      </c>
      <c r="G27" s="19">
        <f>SUMIF(TablaSalidas[CODIGO], Tablaproductos[[#This Row],[CODIGOS]], TablaSalidas[UNIDADES])</f>
        <v>0</v>
      </c>
      <c r="H27" s="19">
        <f>Tablaproductos[[#This Row],[STOCK INICIAL]]+Tablaproductos[[#This Row],[ENTRADAS]]-Tablaproductos[[#This Row],[SALIDAS]]</f>
        <v>1</v>
      </c>
      <c r="I27" s="13" t="str">
        <f>IF(Tablaproductos[[#This Row],[STOCK ACTUAL]]&gt;=1, "Stock suficiente", IF(Tablaproductos[[#This Row],[STOCK ACTUAL]]&gt;=0, "Stock agotandose", "Urge resurtir"))</f>
        <v>Stock suficiente</v>
      </c>
      <c r="J27" s="13"/>
      <c r="K27" s="13"/>
      <c r="L27" s="13"/>
      <c r="M27" s="18">
        <v>220</v>
      </c>
      <c r="N27" s="18"/>
    </row>
    <row r="28" spans="1:14" ht="28" x14ac:dyDescent="0.2">
      <c r="A28" s="15">
        <v>7506342200038</v>
      </c>
      <c r="B28" s="16" t="str">
        <f>"*"&amp;Tablaproductos[[#This Row],[CODIGOS]]&amp;"*"</f>
        <v>*7506342200038*</v>
      </c>
      <c r="C28" s="17" t="str">
        <f>Tablaproductos[[#This Row],[COD]]</f>
        <v>*7506342200038*</v>
      </c>
      <c r="D28" s="13" t="s">
        <v>86</v>
      </c>
      <c r="E28" s="13">
        <v>2</v>
      </c>
      <c r="F28" s="19">
        <f>SUMIF(TablaENTRADAS[CODIGO], Tablaproductos[[#This Row],[CODIGOS]], TablaENTRADAS[UNIDADES])</f>
        <v>0</v>
      </c>
      <c r="G28" s="19">
        <f>SUMIF(TablaSalidas[CODIGO], Tablaproductos[[#This Row],[CODIGOS]], TablaSalidas[UNIDADES])</f>
        <v>0</v>
      </c>
      <c r="H28" s="19">
        <f>Tablaproductos[[#This Row],[STOCK INICIAL]]+Tablaproductos[[#This Row],[ENTRADAS]]-Tablaproductos[[#This Row],[SALIDAS]]</f>
        <v>2</v>
      </c>
      <c r="I28" s="13" t="str">
        <f>IF(Tablaproductos[[#This Row],[STOCK ACTUAL]]&gt;=2, "Stock suficiente", IF(Tablaproductos[[#This Row],[STOCK ACTUAL]]&gt;=1, "Stock agotandose", "Urge resurtir"))</f>
        <v>Stock suficiente</v>
      </c>
      <c r="J28" s="13"/>
      <c r="K28" s="13"/>
      <c r="L28" s="13"/>
      <c r="M28" s="18"/>
      <c r="N28" s="18"/>
    </row>
    <row r="29" spans="1:14" ht="28" x14ac:dyDescent="0.2">
      <c r="A29" s="15" t="s">
        <v>84</v>
      </c>
      <c r="B29" s="16" t="str">
        <f>"*"&amp;Tablaproductos[[#This Row],[CODIGOS]]&amp;"*"</f>
        <v>*LRPETSKRIM*</v>
      </c>
      <c r="C29" s="17" t="str">
        <f>Tablaproductos[[#This Row],[COD]]</f>
        <v>*LRPETSKRIM*</v>
      </c>
      <c r="D29" s="13" t="s">
        <v>85</v>
      </c>
      <c r="E29" s="13">
        <v>4</v>
      </c>
      <c r="F29" s="19">
        <f>SUMIF(TablaENTRADAS[CODIGO], Tablaproductos[[#This Row],[CODIGOS]], TablaENTRADAS[UNIDADES])</f>
        <v>0</v>
      </c>
      <c r="G29" s="19">
        <f>SUMIF(TablaSalidas[CODIGO], Tablaproductos[[#This Row],[CODIGOS]], TablaSalidas[UNIDADES])</f>
        <v>0</v>
      </c>
      <c r="H29" s="19">
        <f>Tablaproductos[[#This Row],[STOCK INICIAL]]+Tablaproductos[[#This Row],[ENTRADAS]]-Tablaproductos[[#This Row],[SALIDAS]]</f>
        <v>4</v>
      </c>
      <c r="I29" s="13" t="str">
        <f>IF(Tablaproductos[[#This Row],[STOCK ACTUAL]]&gt;=4, "Stock suficiente", IF(Tablaproductos[[#This Row],[STOCK ACTUAL]]&gt;=1, "Stock agotandose", "Urge resurtir"))</f>
        <v>Stock suficiente</v>
      </c>
      <c r="J29" s="13"/>
      <c r="K29" s="13"/>
      <c r="L29" s="13"/>
      <c r="M29" s="18"/>
      <c r="N29" s="18"/>
    </row>
    <row r="30" spans="1:14" ht="28" x14ac:dyDescent="0.2">
      <c r="A30" s="15">
        <v>7501556436013</v>
      </c>
      <c r="B30" s="16" t="str">
        <f>"*"&amp;Tablaproductos[[#This Row],[CODIGOS]]&amp;"*"</f>
        <v>*7501556436013*</v>
      </c>
      <c r="C30" s="17" t="str">
        <f>Tablaproductos[[#This Row],[COD]]</f>
        <v>*7501556436013*</v>
      </c>
      <c r="D30" s="13" t="s">
        <v>87</v>
      </c>
      <c r="E30" s="13">
        <v>3</v>
      </c>
      <c r="F30" s="19">
        <f>SUMIF(TablaENTRADAS[CODIGO], Tablaproductos[[#This Row],[CODIGOS]], TablaENTRADAS[UNIDADES])</f>
        <v>0</v>
      </c>
      <c r="G30" s="19">
        <f>SUMIF(TablaSalidas[CODIGO], Tablaproductos[[#This Row],[CODIGOS]], TablaSalidas[UNIDADES])</f>
        <v>0</v>
      </c>
      <c r="H30" s="19">
        <f>Tablaproductos[[#This Row],[STOCK INICIAL]]+Tablaproductos[[#This Row],[ENTRADAS]]-Tablaproductos[[#This Row],[SALIDAS]]</f>
        <v>3</v>
      </c>
      <c r="I30" s="13" t="str">
        <f>IF(Tablaproductos[[#This Row],[STOCK ACTUAL]]&gt;=3, "Stock suficiente", IF(Tablaproductos[[#This Row],[STOCK ACTUAL]]&gt;=1, "Stock agotandose", "Urge resurtir"))</f>
        <v>Stock suficiente</v>
      </c>
      <c r="J30" s="13"/>
      <c r="K30" s="13"/>
      <c r="L30" s="13"/>
      <c r="M30" s="18">
        <v>120</v>
      </c>
      <c r="N30" s="18"/>
    </row>
    <row r="31" spans="1:14" ht="28" x14ac:dyDescent="0.2">
      <c r="A31" s="15">
        <v>7501556436044</v>
      </c>
      <c r="B31" s="16" t="str">
        <f>"*"&amp;Tablaproductos[[#This Row],[CODIGOS]]&amp;"*"</f>
        <v>*7501556436044*</v>
      </c>
      <c r="C31" s="17" t="str">
        <f>Tablaproductos[[#This Row],[COD]]</f>
        <v>*7501556436044*</v>
      </c>
      <c r="D31" s="13" t="s">
        <v>88</v>
      </c>
      <c r="E31" s="13">
        <v>3</v>
      </c>
      <c r="F31" s="19">
        <f>SUMIF(TablaENTRADAS[CODIGO], Tablaproductos[[#This Row],[CODIGOS]], TablaENTRADAS[UNIDADES])</f>
        <v>0</v>
      </c>
      <c r="G31" s="19">
        <f>SUMIF(TablaSalidas[CODIGO], Tablaproductos[[#This Row],[CODIGOS]], TablaSalidas[UNIDADES])</f>
        <v>0</v>
      </c>
      <c r="H31" s="19">
        <f>Tablaproductos[[#This Row],[STOCK INICIAL]]+Tablaproductos[[#This Row],[ENTRADAS]]-Tablaproductos[[#This Row],[SALIDAS]]</f>
        <v>3</v>
      </c>
      <c r="I31" s="13" t="str">
        <f>IF(Tablaproductos[[#This Row],[STOCK ACTUAL]]&gt;=3, "Stock suficiente", IF(Tablaproductos[[#This Row],[STOCK ACTUAL]]&gt;=1, "Stock agotandose", "Urge resurtir"))</f>
        <v>Stock suficiente</v>
      </c>
      <c r="J31" s="13"/>
      <c r="K31" s="13"/>
      <c r="L31" s="13"/>
      <c r="M31" s="18">
        <v>180</v>
      </c>
      <c r="N31" s="18"/>
    </row>
    <row r="32" spans="1:14" ht="28" x14ac:dyDescent="0.2">
      <c r="A32" s="15">
        <v>7501051100020</v>
      </c>
      <c r="B32" s="16" t="str">
        <f>"*"&amp;Tablaproductos[[#This Row],[CODIGOS]]&amp;"*"</f>
        <v>*7501051100020*</v>
      </c>
      <c r="C32" s="17" t="str">
        <f>Tablaproductos[[#This Row],[COD]]</f>
        <v>*7501051100020*</v>
      </c>
      <c r="D32" s="13" t="s">
        <v>89</v>
      </c>
      <c r="E32" s="13">
        <v>2</v>
      </c>
      <c r="F32" s="19">
        <f>SUMIF(TablaENTRADAS[CODIGO], Tablaproductos[[#This Row],[CODIGOS]], TablaENTRADAS[UNIDADES])</f>
        <v>0</v>
      </c>
      <c r="G32" s="19">
        <f>SUMIF(TablaSalidas[CODIGO], Tablaproductos[[#This Row],[CODIGOS]], TablaSalidas[UNIDADES])</f>
        <v>0</v>
      </c>
      <c r="H32" s="19">
        <f>Tablaproductos[[#This Row],[STOCK INICIAL]]+Tablaproductos[[#This Row],[ENTRADAS]]-Tablaproductos[[#This Row],[SALIDAS]]</f>
        <v>2</v>
      </c>
      <c r="I32" s="13" t="str">
        <f>IF(Tablaproductos[[#This Row],[STOCK ACTUAL]]&gt;=2, "Stock suficiente", IF(Tablaproductos[[#This Row],[STOCK ACTUAL]]&gt;=1, "Stock agotandose", "Urge resurtir"))</f>
        <v>Stock suficiente</v>
      </c>
      <c r="J32" s="13"/>
      <c r="K32" s="13"/>
      <c r="L32" s="13"/>
      <c r="M32" s="18">
        <v>220</v>
      </c>
      <c r="N32" s="18"/>
    </row>
    <row r="33" spans="1:14" ht="28" x14ac:dyDescent="0.2">
      <c r="A33" s="15">
        <v>734448001021</v>
      </c>
      <c r="B33" s="16" t="str">
        <f>"*"&amp;Tablaproductos[[#This Row],[CODIGOS]]&amp;"*"</f>
        <v>*734448001021*</v>
      </c>
      <c r="C33" s="17" t="str">
        <f>Tablaproductos[[#This Row],[COD]]</f>
        <v>*734448001021*</v>
      </c>
      <c r="D33" s="13" t="s">
        <v>90</v>
      </c>
      <c r="E33" s="13">
        <v>4</v>
      </c>
      <c r="F33" s="19">
        <f>SUMIF(TablaENTRADAS[CODIGO], Tablaproductos[[#This Row],[CODIGOS]], TablaENTRADAS[UNIDADES])</f>
        <v>0</v>
      </c>
      <c r="G33" s="19">
        <f>SUMIF(TablaSalidas[CODIGO], Tablaproductos[[#This Row],[CODIGOS]], TablaSalidas[UNIDADES])</f>
        <v>0</v>
      </c>
      <c r="H33" s="19">
        <f>Tablaproductos[[#This Row],[STOCK INICIAL]]+Tablaproductos[[#This Row],[ENTRADAS]]-Tablaproductos[[#This Row],[SALIDAS]]</f>
        <v>4</v>
      </c>
      <c r="I33" s="13" t="str">
        <f>IF(Tablaproductos[[#This Row],[STOCK ACTUAL]]&gt;=4, "Stock suficiente", IF(Tablaproductos[[#This Row],[STOCK ACTUAL]]&gt;=2, "Stock agotandose", "Urge resurtir"))</f>
        <v>Stock suficiente</v>
      </c>
      <c r="J33" s="13"/>
      <c r="K33" s="13"/>
      <c r="L33" s="13"/>
      <c r="M33" s="18">
        <v>100</v>
      </c>
      <c r="N33" s="18"/>
    </row>
    <row r="34" spans="1:14" ht="28" x14ac:dyDescent="0.2">
      <c r="A34" s="15">
        <v>7502217850186</v>
      </c>
      <c r="B34" s="16" t="str">
        <f>"*"&amp;Tablaproductos[[#This Row],[CODIGOS]]&amp;"*"</f>
        <v>*7502217850186*</v>
      </c>
      <c r="C34" s="17" t="str">
        <f>Tablaproductos[[#This Row],[COD]]</f>
        <v>*7502217850186*</v>
      </c>
      <c r="D34" s="13" t="s">
        <v>91</v>
      </c>
      <c r="E34" s="13">
        <v>2</v>
      </c>
      <c r="F34" s="19">
        <f>SUMIF(TablaENTRADAS[CODIGO], Tablaproductos[[#This Row],[CODIGOS]], TablaENTRADAS[UNIDADES])</f>
        <v>0</v>
      </c>
      <c r="G34" s="19">
        <f>SUMIF(TablaSalidas[CODIGO], Tablaproductos[[#This Row],[CODIGOS]], TablaSalidas[UNIDADES])</f>
        <v>0</v>
      </c>
      <c r="H34" s="19">
        <f>Tablaproductos[[#This Row],[STOCK INICIAL]]+Tablaproductos[[#This Row],[ENTRADAS]]-Tablaproductos[[#This Row],[SALIDAS]]</f>
        <v>2</v>
      </c>
      <c r="I34" s="13" t="str">
        <f>IF(Tablaproductos[[#This Row],[STOCK ACTUAL]]&gt;=2, "Stock suficiente", IF(Tablaproductos[[#This Row],[STOCK ACTUAL]]&gt;=1, "Stock agotandose", "Urge resurtir"))</f>
        <v>Stock suficiente</v>
      </c>
      <c r="J34" s="13"/>
      <c r="K34" s="13"/>
      <c r="L34" s="13"/>
      <c r="M34" s="18">
        <v>30</v>
      </c>
      <c r="N34" s="18"/>
    </row>
    <row r="35" spans="1:14" ht="28" x14ac:dyDescent="0.2">
      <c r="A35" s="15">
        <v>7501556439670</v>
      </c>
      <c r="B35" s="16" t="str">
        <f>"*"&amp;Tablaproductos[[#This Row],[CODIGOS]]&amp;"*"</f>
        <v>*7501556439670*</v>
      </c>
      <c r="C35" s="17" t="str">
        <f>Tablaproductos[[#This Row],[COD]]</f>
        <v>*7501556439670*</v>
      </c>
      <c r="D35" s="13" t="s">
        <v>92</v>
      </c>
      <c r="E35" s="13">
        <v>4</v>
      </c>
      <c r="F35" s="19">
        <f>SUMIF(TablaENTRADAS[CODIGO], Tablaproductos[[#This Row],[CODIGOS]], TablaENTRADAS[UNIDADES])</f>
        <v>0</v>
      </c>
      <c r="G35" s="19">
        <f>SUMIF(TablaSalidas[CODIGO], Tablaproductos[[#This Row],[CODIGOS]], TablaSalidas[UNIDADES])</f>
        <v>0</v>
      </c>
      <c r="H35" s="19">
        <f>Tablaproductos[[#This Row],[STOCK INICIAL]]+Tablaproductos[[#This Row],[ENTRADAS]]-Tablaproductos[[#This Row],[SALIDAS]]</f>
        <v>4</v>
      </c>
      <c r="I35" s="13" t="str">
        <f>IF(Tablaproductos[[#This Row],[STOCK ACTUAL]]&gt;=4, "Stock suficiente", IF(Tablaproductos[[#This Row],[STOCK ACTUAL]]&gt;=2, "Stock agotandose", "Urge resurtir"))</f>
        <v>Stock suficiente</v>
      </c>
      <c r="J35" s="13"/>
      <c r="K35" s="13"/>
      <c r="L35" s="13"/>
      <c r="M35" s="18">
        <v>80</v>
      </c>
      <c r="N35" s="18"/>
    </row>
    <row r="36" spans="1:14" ht="28" x14ac:dyDescent="0.2">
      <c r="A36" s="15">
        <v>7501051100013</v>
      </c>
      <c r="B36" s="16" t="str">
        <f>"*"&amp;Tablaproductos[[#This Row],[CODIGOS]]&amp;"*"</f>
        <v>*7501051100013*</v>
      </c>
      <c r="C36" s="17" t="str">
        <f>Tablaproductos[[#This Row],[COD]]</f>
        <v>*7501051100013*</v>
      </c>
      <c r="D36" s="13" t="s">
        <v>93</v>
      </c>
      <c r="E36" s="13">
        <v>2</v>
      </c>
      <c r="F36" s="19">
        <f>SUMIF(TablaENTRADAS[CODIGO], Tablaproductos[[#This Row],[CODIGOS]], TablaENTRADAS[UNIDADES])</f>
        <v>0</v>
      </c>
      <c r="G36" s="19">
        <f>SUMIF(TablaSalidas[CODIGO], Tablaproductos[[#This Row],[CODIGOS]], TablaSalidas[UNIDADES])</f>
        <v>0</v>
      </c>
      <c r="H36" s="19">
        <f>Tablaproductos[[#This Row],[STOCK INICIAL]]+Tablaproductos[[#This Row],[ENTRADAS]]-Tablaproductos[[#This Row],[SALIDAS]]</f>
        <v>2</v>
      </c>
      <c r="I36" s="13" t="str">
        <f>IF(Tablaproductos[[#This Row],[STOCK ACTUAL]]&gt;=2, "Stock suficiente", IF(Tablaproductos[[#This Row],[STOCK ACTUAL]]&gt;=1, "Stock agotandose", "Urge resurtir"))</f>
        <v>Stock suficiente</v>
      </c>
      <c r="J36" s="13"/>
      <c r="K36" s="13"/>
      <c r="L36" s="13"/>
      <c r="M36" s="18">
        <v>100</v>
      </c>
      <c r="N36" s="18"/>
    </row>
    <row r="37" spans="1:14" ht="28" x14ac:dyDescent="0.2">
      <c r="A37" s="15">
        <v>7503002113417</v>
      </c>
      <c r="B37" s="16" t="str">
        <f>"*"&amp;Tablaproductos[[#This Row],[CODIGOS]]&amp;"*"</f>
        <v>*7503002113417*</v>
      </c>
      <c r="C37" s="17" t="str">
        <f>Tablaproductos[[#This Row],[COD]]</f>
        <v>*7503002113417*</v>
      </c>
      <c r="D37" s="13" t="s">
        <v>94</v>
      </c>
      <c r="E37" s="13">
        <v>1</v>
      </c>
      <c r="F37" s="19">
        <f>SUMIF(TablaENTRADAS[CODIGO], Tablaproductos[[#This Row],[CODIGOS]], TablaENTRADAS[UNIDADES])</f>
        <v>0</v>
      </c>
      <c r="G37" s="19">
        <f>SUMIF(TablaSalidas[CODIGO], Tablaproductos[[#This Row],[CODIGOS]], TablaSalidas[UNIDADES])</f>
        <v>0</v>
      </c>
      <c r="H37" s="19">
        <f>Tablaproductos[[#This Row],[STOCK INICIAL]]+Tablaproductos[[#This Row],[ENTRADAS]]-Tablaproductos[[#This Row],[SALIDAS]]</f>
        <v>1</v>
      </c>
      <c r="I37" s="13" t="str">
        <f>IF(Tablaproductos[[#This Row],[STOCK ACTUAL]]&gt;=1, "Stock suficiente", IF(Tablaproductos[[#This Row],[STOCK ACTUAL]]&gt;=0, "Stock agotandose", "Urge resurtir"))</f>
        <v>Stock suficiente</v>
      </c>
      <c r="J37" s="13"/>
      <c r="K37" s="13"/>
      <c r="L37" s="13"/>
      <c r="M37" s="18">
        <v>350</v>
      </c>
      <c r="N37" s="18"/>
    </row>
    <row r="38" spans="1:14" ht="28" x14ac:dyDescent="0.2">
      <c r="A38" s="15">
        <v>7503002113271</v>
      </c>
      <c r="B38" s="16" t="str">
        <f>"*"&amp;Tablaproductos[[#This Row],[CODIGOS]]&amp;"*"</f>
        <v>*7503002113271*</v>
      </c>
      <c r="C38" s="17" t="str">
        <f>Tablaproductos[[#This Row],[COD]]</f>
        <v>*7503002113271*</v>
      </c>
      <c r="D38" s="13" t="s">
        <v>95</v>
      </c>
      <c r="E38" s="13">
        <v>1</v>
      </c>
      <c r="F38" s="19">
        <f>SUMIF(TablaENTRADAS[CODIGO], Tablaproductos[[#This Row],[CODIGOS]], TablaENTRADAS[UNIDADES])</f>
        <v>0</v>
      </c>
      <c r="G38" s="19">
        <f>SUMIF(TablaSalidas[CODIGO], Tablaproductos[[#This Row],[CODIGOS]], TablaSalidas[UNIDADES])</f>
        <v>0</v>
      </c>
      <c r="H38" s="19">
        <f>Tablaproductos[[#This Row],[STOCK INICIAL]]+Tablaproductos[[#This Row],[ENTRADAS]]-Tablaproductos[[#This Row],[SALIDAS]]</f>
        <v>1</v>
      </c>
      <c r="I38" s="13" t="str">
        <f>IF(Tablaproductos[[#This Row],[STOCK ACTUAL]]&gt;=1, "Stock suficiente", IF(Tablaproductos[[#This Row],[STOCK ACTUAL]]&gt;=0, "Stock agotandose", "Urge resurtir"))</f>
        <v>Stock suficiente</v>
      </c>
      <c r="J38" s="13"/>
      <c r="K38" s="13"/>
      <c r="L38" s="13"/>
      <c r="M38" s="18">
        <v>350</v>
      </c>
      <c r="N38" s="18"/>
    </row>
    <row r="39" spans="1:14" ht="28" x14ac:dyDescent="0.2">
      <c r="A39" s="15">
        <v>7501556439618</v>
      </c>
      <c r="B39" s="16" t="str">
        <f>"*"&amp;Tablaproductos[[#This Row],[CODIGOS]]&amp;"*"</f>
        <v>*7501556439618*</v>
      </c>
      <c r="C39" s="17" t="str">
        <f>Tablaproductos[[#This Row],[COD]]</f>
        <v>*7501556439618*</v>
      </c>
      <c r="D39" s="13" t="s">
        <v>96</v>
      </c>
      <c r="E39" s="13">
        <v>2</v>
      </c>
      <c r="F39" s="19">
        <f>SUMIF(TablaENTRADAS[CODIGO], Tablaproductos[[#This Row],[CODIGOS]], TablaENTRADAS[UNIDADES])</f>
        <v>0</v>
      </c>
      <c r="G39" s="19">
        <f>SUMIF(TablaSalidas[CODIGO], Tablaproductos[[#This Row],[CODIGOS]], TablaSalidas[UNIDADES])</f>
        <v>0</v>
      </c>
      <c r="H39" s="19">
        <f>Tablaproductos[[#This Row],[STOCK INICIAL]]+Tablaproductos[[#This Row],[ENTRADAS]]-Tablaproductos[[#This Row],[SALIDAS]]</f>
        <v>2</v>
      </c>
      <c r="I39" s="13" t="str">
        <f>IF(Tablaproductos[[#This Row],[STOCK ACTUAL]]&gt;=5, "Stock suficiente", IF(Tablaproductos[[#This Row],[STOCK ACTUAL]]&gt;=2, "Stock agotandose", "Urge resurtir"))</f>
        <v>Stock agotandose</v>
      </c>
      <c r="J39" s="13"/>
      <c r="K39" s="13"/>
      <c r="L39" s="13"/>
      <c r="M39" s="18">
        <v>80</v>
      </c>
      <c r="N39" s="18"/>
    </row>
    <row r="40" spans="1:14" ht="28" x14ac:dyDescent="0.2">
      <c r="A40" s="15">
        <v>7501556439632</v>
      </c>
      <c r="B40" s="16" t="str">
        <f>"*"&amp;Tablaproductos[[#This Row],[CODIGOS]]&amp;"*"</f>
        <v>*7501556439632*</v>
      </c>
      <c r="C40" s="17" t="str">
        <f>Tablaproductos[[#This Row],[COD]]</f>
        <v>*7501556439632*</v>
      </c>
      <c r="D40" s="13" t="s">
        <v>97</v>
      </c>
      <c r="E40" s="13">
        <v>2</v>
      </c>
      <c r="F40" s="19">
        <f>SUMIF(TablaENTRADAS[CODIGO], Tablaproductos[[#This Row],[CODIGOS]], TablaENTRADAS[UNIDADES])</f>
        <v>0</v>
      </c>
      <c r="G40" s="19">
        <f>SUMIF(TablaSalidas[CODIGO], Tablaproductos[[#This Row],[CODIGOS]], TablaSalidas[UNIDADES])</f>
        <v>0</v>
      </c>
      <c r="H40" s="19">
        <f>Tablaproductos[[#This Row],[STOCK INICIAL]]+Tablaproductos[[#This Row],[ENTRADAS]]-Tablaproductos[[#This Row],[SALIDAS]]</f>
        <v>2</v>
      </c>
      <c r="I40" s="13" t="str">
        <f>IF(Tablaproductos[[#This Row],[STOCK ACTUAL]]&gt;=2, "Stock suficiente", IF(Tablaproductos[[#This Row],[STOCK ACTUAL]]&gt;=1, "Stock agotandose", "Urge resurtir"))</f>
        <v>Stock suficiente</v>
      </c>
      <c r="J40" s="13"/>
      <c r="K40" s="13"/>
      <c r="L40" s="13"/>
      <c r="M40" s="18">
        <v>80</v>
      </c>
      <c r="N40" s="18"/>
    </row>
    <row r="41" spans="1:14" ht="28" x14ac:dyDescent="0.2">
      <c r="A41" s="15">
        <v>7501556439625</v>
      </c>
      <c r="B41" s="16" t="str">
        <f>"*"&amp;Tablaproductos[[#This Row],[CODIGOS]]&amp;"*"</f>
        <v>*7501556439625*</v>
      </c>
      <c r="C41" s="17" t="str">
        <f>Tablaproductos[[#This Row],[COD]]</f>
        <v>*7501556439625*</v>
      </c>
      <c r="D41" s="13" t="s">
        <v>98</v>
      </c>
      <c r="E41" s="13">
        <v>2</v>
      </c>
      <c r="F41" s="19">
        <f>SUMIF(TablaENTRADAS[CODIGO], Tablaproductos[[#This Row],[CODIGOS]], TablaENTRADAS[UNIDADES])</f>
        <v>0</v>
      </c>
      <c r="G41" s="19">
        <f>SUMIF(TablaSalidas[CODIGO], Tablaproductos[[#This Row],[CODIGOS]], TablaSalidas[UNIDADES])</f>
        <v>0</v>
      </c>
      <c r="H41" s="19">
        <f>Tablaproductos[[#This Row],[STOCK INICIAL]]+Tablaproductos[[#This Row],[ENTRADAS]]-Tablaproductos[[#This Row],[SALIDAS]]</f>
        <v>2</v>
      </c>
      <c r="I41" s="13" t="str">
        <f>IF(Tablaproductos[[#This Row],[STOCK ACTUAL]]&gt;=2, "Stock suficiente", IF(Tablaproductos[[#This Row],[STOCK ACTUAL]]&gt;=1, "Stock agotandose", "Urge resurtir"))</f>
        <v>Stock suficiente</v>
      </c>
      <c r="J41" s="13"/>
      <c r="K41" s="13"/>
      <c r="L41" s="13"/>
      <c r="M41" s="18">
        <v>80</v>
      </c>
      <c r="N41" s="18"/>
    </row>
    <row r="42" spans="1:14" ht="28" x14ac:dyDescent="0.2">
      <c r="A42" s="15" t="s">
        <v>99</v>
      </c>
      <c r="B42" s="16" t="str">
        <f>"*"&amp;Tablaproductos[[#This Row],[CODIGOS]]&amp;"*"</f>
        <v>*LRCADENACH*</v>
      </c>
      <c r="C42" s="17" t="str">
        <f>Tablaproductos[[#This Row],[COD]]</f>
        <v>*LRCADENACH*</v>
      </c>
      <c r="D42" s="13" t="s">
        <v>109</v>
      </c>
      <c r="E42" s="13">
        <v>6</v>
      </c>
      <c r="F42" s="19">
        <f>SUMIF(TablaENTRADAS[CODIGO], Tablaproductos[[#This Row],[CODIGOS]], TablaENTRADAS[UNIDADES])</f>
        <v>0</v>
      </c>
      <c r="G42" s="19">
        <f>SUMIF(TablaSalidas[CODIGO], Tablaproductos[[#This Row],[CODIGOS]], TablaSalidas[UNIDADES])</f>
        <v>0</v>
      </c>
      <c r="H42" s="19">
        <f>Tablaproductos[[#This Row],[STOCK INICIAL]]+Tablaproductos[[#This Row],[ENTRADAS]]-Tablaproductos[[#This Row],[SALIDAS]]</f>
        <v>6</v>
      </c>
      <c r="I42" s="13" t="str">
        <f>IF(Tablaproductos[[#This Row],[STOCK ACTUAL]]&gt;=8, "Stock suficiente", IF(Tablaproductos[[#This Row],[STOCK ACTUAL]]&gt;=4, "Stock agotandose", "Urge resurtir"))</f>
        <v>Stock agotandose</v>
      </c>
      <c r="J42" s="13"/>
      <c r="K42" s="13"/>
      <c r="L42" s="13"/>
      <c r="M42" s="18"/>
      <c r="N42" s="18"/>
    </row>
    <row r="43" spans="1:14" ht="28" x14ac:dyDescent="0.2">
      <c r="A43" s="15" t="s">
        <v>128</v>
      </c>
      <c r="B43" s="16" t="str">
        <f>"*"&amp;Tablaproductos[[#This Row],[CODIGOS]]&amp;"*"</f>
        <v>*LRCADENAGDE*</v>
      </c>
      <c r="C43" s="17" t="str">
        <f>Tablaproductos[[#This Row],[COD]]</f>
        <v>*LRCADENAGDE*</v>
      </c>
      <c r="D43" s="13" t="s">
        <v>129</v>
      </c>
      <c r="E43" s="13">
        <v>5</v>
      </c>
      <c r="F43" s="19">
        <f>SUMIF(TablaENTRADAS[CODIGO], Tablaproductos[[#This Row],[CODIGOS]], TablaENTRADAS[UNIDADES])</f>
        <v>0</v>
      </c>
      <c r="G43" s="19">
        <f>SUMIF(TablaSalidas[CODIGO], Tablaproductos[[#This Row],[CODIGOS]], TablaSalidas[UNIDADES])</f>
        <v>0</v>
      </c>
      <c r="H43" s="19">
        <f>Tablaproductos[[#This Row],[STOCK INICIAL]]+Tablaproductos[[#This Row],[ENTRADAS]]-Tablaproductos[[#This Row],[SALIDAS]]</f>
        <v>5</v>
      </c>
      <c r="I43" s="13" t="str">
        <f>IF(Tablaproductos[[#This Row],[STOCK ACTUAL]]&gt;=1, "Stock suficiente", IF(Tablaproductos[[#This Row],[STOCK ACTUAL]]&gt;=0, "Stock agotandose", "Urge resurtir"))</f>
        <v>Stock suficiente</v>
      </c>
      <c r="J43" s="13"/>
      <c r="K43" s="13"/>
      <c r="L43" s="13"/>
      <c r="M43" s="18"/>
      <c r="N43" s="18"/>
    </row>
  </sheetData>
  <conditionalFormatting sqref="H2:H43">
    <cfRule type="containsText" dxfId="3" priority="5" operator="containsText" text="Suficiente">
      <formula>NOT(ISERROR(SEARCH("Suficiente",H2)))</formula>
    </cfRule>
  </conditionalFormatting>
  <conditionalFormatting sqref="I2:I43">
    <cfRule type="containsText" dxfId="2" priority="1" operator="containsText" text="urge">
      <formula>NOT(ISERROR(SEARCH("urge",I2)))</formula>
    </cfRule>
    <cfRule type="containsText" dxfId="1" priority="3" operator="containsText" text="agotandose">
      <formula>NOT(ISERROR(SEARCH("agotandose",I2)))</formula>
    </cfRule>
    <cfRule type="containsText" dxfId="0" priority="4" operator="containsText" text="suficiente">
      <formula>NOT(ISERROR(SEARCH("suficiente",I2)))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G21"/>
  <sheetViews>
    <sheetView tabSelected="1" zoomScale="87" zoomScaleNormal="87" workbookViewId="0">
      <selection activeCell="C15" sqref="C15"/>
    </sheetView>
  </sheetViews>
  <sheetFormatPr baseColWidth="10" defaultColWidth="0" defaultRowHeight="16" x14ac:dyDescent="0.2"/>
  <cols>
    <col min="1" max="1" width="12.6640625" style="14" customWidth="1"/>
    <col min="2" max="2" width="21.83203125" style="14" bestFit="1" customWidth="1"/>
    <col min="3" max="3" width="21.33203125" style="14" customWidth="1"/>
    <col min="4" max="4" width="12.6640625" style="14" bestFit="1" customWidth="1"/>
    <col min="5" max="6" width="18.5" style="14" bestFit="1" customWidth="1"/>
    <col min="7" max="7" width="10.83203125" style="23" customWidth="1"/>
    <col min="8" max="8" width="10.83203125" style="14" hidden="1" customWidth="1"/>
    <col min="9" max="16384" width="10.83203125" style="14" hidden="1"/>
  </cols>
  <sheetData>
    <row r="1" spans="1:7" ht="92" customHeight="1" x14ac:dyDescent="0.2">
      <c r="A1" s="50" t="s">
        <v>26</v>
      </c>
      <c r="B1" s="51"/>
      <c r="C1" s="51"/>
      <c r="D1" s="51"/>
      <c r="E1" s="51"/>
      <c r="F1" s="51"/>
      <c r="G1" s="52"/>
    </row>
    <row r="2" spans="1:7" x14ac:dyDescent="0.2">
      <c r="A2" s="14" t="s">
        <v>12</v>
      </c>
      <c r="B2" s="14" t="s">
        <v>3</v>
      </c>
      <c r="C2" s="14" t="s">
        <v>13</v>
      </c>
      <c r="D2" s="14" t="s">
        <v>20</v>
      </c>
      <c r="E2" s="14" t="s">
        <v>18</v>
      </c>
      <c r="F2" s="14" t="s">
        <v>19</v>
      </c>
      <c r="G2" s="20" t="s">
        <v>23</v>
      </c>
    </row>
    <row r="3" spans="1:7" x14ac:dyDescent="0.2">
      <c r="A3" s="21"/>
      <c r="C3" s="24" t="e">
        <f>INDEX(Tablaproductos[#All], MATCH(TablaENTRADAS[[#This Row],[DESCRIPCION]], Tablaproductos[[#All],[DESCRIPCION]], 0), 1)</f>
        <v>#N/A</v>
      </c>
      <c r="E3" s="26" t="e">
        <f>INDEX(Tablaproductos[#All], MATCH(TablaENTRADAS[[#This Row],[DESCRIPCION]], Tablaproductos[[#All],[DESCRIPCION]], 0), 14)</f>
        <v>#N/A</v>
      </c>
      <c r="F3" s="26" t="e">
        <f>TablaENTRADAS[[#This Row],[UNIDADES]]*TablaENTRADAS[[#This Row],[COSTO]]</f>
        <v>#N/A</v>
      </c>
      <c r="G3" s="44"/>
    </row>
    <row r="4" spans="1:7" x14ac:dyDescent="0.2">
      <c r="A4" s="21">
        <v>45323</v>
      </c>
      <c r="B4" s="14" t="s">
        <v>124</v>
      </c>
      <c r="C4" s="24" t="e">
        <f>INDEX(Tablaproductos[#All], MATCH(TablaENTRADAS[[#This Row],[DESCRIPCION]], Tablaproductos[[#All],[DESCRIPCION]], 0), 1)</f>
        <v>#N/A</v>
      </c>
      <c r="E4" s="26">
        <v>500</v>
      </c>
      <c r="F4" s="26">
        <v>500</v>
      </c>
      <c r="G4" s="44"/>
    </row>
    <row r="5" spans="1:7" x14ac:dyDescent="0.2">
      <c r="A5" s="21">
        <v>45323</v>
      </c>
      <c r="B5" s="14" t="s">
        <v>56</v>
      </c>
      <c r="C5" s="24" t="e">
        <f>INDEX(Tablaproductos[#All], MATCH(TablaENTRADAS[[#This Row],[DESCRIPCION]], Tablaproductos[[#All],[DESCRIPCION]], 0), 1)</f>
        <v>#N/A</v>
      </c>
      <c r="E5" s="26">
        <v>500</v>
      </c>
      <c r="F5" s="26">
        <v>500</v>
      </c>
      <c r="G5" s="44"/>
    </row>
    <row r="6" spans="1:7" x14ac:dyDescent="0.2">
      <c r="A6" s="21">
        <v>45323</v>
      </c>
      <c r="B6" s="14" t="s">
        <v>57</v>
      </c>
      <c r="C6" s="24" t="e">
        <f>INDEX(Tablaproductos[#All], MATCH(TablaENTRADAS[[#This Row],[DESCRIPCION]], Tablaproductos[[#All],[DESCRIPCION]], 0), 1)</f>
        <v>#N/A</v>
      </c>
      <c r="E6" s="26">
        <v>32</v>
      </c>
      <c r="F6" s="26">
        <v>32</v>
      </c>
      <c r="G6" s="44"/>
    </row>
    <row r="7" spans="1:7" x14ac:dyDescent="0.2">
      <c r="A7" s="22">
        <v>45323</v>
      </c>
      <c r="B7" s="14" t="s">
        <v>60</v>
      </c>
      <c r="C7" s="24" t="e">
        <f>INDEX(Tablaproductos[#All], MATCH(TablaENTRADAS[[#This Row],[DESCRIPCION]], Tablaproductos[[#All],[DESCRIPCION]], 0), 1)</f>
        <v>#N/A</v>
      </c>
      <c r="E7" s="26">
        <v>500</v>
      </c>
      <c r="F7" s="26">
        <v>500</v>
      </c>
      <c r="G7" s="44">
        <f>SUM(F4:F7)</f>
        <v>1532</v>
      </c>
    </row>
    <row r="8" spans="1:7" x14ac:dyDescent="0.2">
      <c r="A8" s="22">
        <v>45324</v>
      </c>
      <c r="B8" s="14" t="s">
        <v>107</v>
      </c>
      <c r="C8" s="24" t="e">
        <f>INDEX(Tablaproductos[#All], MATCH(TablaENTRADAS[[#This Row],[DESCRIPCION]], Tablaproductos[[#All],[DESCRIPCION]], 0), 1)</f>
        <v>#N/A</v>
      </c>
      <c r="E8" s="26">
        <v>163</v>
      </c>
      <c r="F8" s="26">
        <v>163</v>
      </c>
      <c r="G8" s="44"/>
    </row>
    <row r="9" spans="1:7" x14ac:dyDescent="0.2">
      <c r="A9" s="22">
        <v>45324</v>
      </c>
      <c r="B9" s="14" t="s">
        <v>108</v>
      </c>
      <c r="C9" s="24" t="e">
        <f>INDEX(Tablaproductos[#All], MATCH(TablaENTRADAS[[#This Row],[DESCRIPCION]], Tablaproductos[[#All],[DESCRIPCION]], 0), 1)</f>
        <v>#N/A</v>
      </c>
      <c r="E9" s="26">
        <v>30</v>
      </c>
      <c r="F9" s="26">
        <v>30</v>
      </c>
      <c r="G9" s="44"/>
    </row>
    <row r="10" spans="1:7" x14ac:dyDescent="0.2">
      <c r="A10" s="22">
        <v>45324</v>
      </c>
      <c r="B10" s="14" t="s">
        <v>107</v>
      </c>
      <c r="C10" s="24" t="e">
        <f>INDEX(Tablaproductos[#All], MATCH(TablaENTRADAS[[#This Row],[DESCRIPCION]], Tablaproductos[[#All],[DESCRIPCION]], 0), 1)</f>
        <v>#N/A</v>
      </c>
      <c r="E10" s="26">
        <v>40</v>
      </c>
      <c r="F10" s="26">
        <v>40</v>
      </c>
      <c r="G10" s="44"/>
    </row>
    <row r="11" spans="1:7" x14ac:dyDescent="0.2">
      <c r="A11" s="22">
        <v>45324</v>
      </c>
      <c r="B11" s="14" t="s">
        <v>116</v>
      </c>
      <c r="C11" s="24" t="e">
        <f>INDEX(Tablaproductos[#All], MATCH(TablaENTRADAS[[#This Row],[DESCRIPCION]], Tablaproductos[[#All],[DESCRIPCION]], 0), 1)</f>
        <v>#N/A</v>
      </c>
      <c r="D11" s="14">
        <v>2</v>
      </c>
      <c r="E11" s="26">
        <v>380</v>
      </c>
      <c r="F11" s="26">
        <f>TablaENTRADAS[[#This Row],[UNIDADES]]*TablaENTRADAS[[#This Row],[COSTO]]</f>
        <v>760</v>
      </c>
      <c r="G11" s="44">
        <f>SUM(F8:F11)</f>
        <v>993</v>
      </c>
    </row>
    <row r="12" spans="1:7" x14ac:dyDescent="0.2">
      <c r="A12" s="21">
        <v>45325</v>
      </c>
      <c r="B12" s="14" t="s">
        <v>122</v>
      </c>
      <c r="C12" s="25" t="e">
        <f>INDEX(Tablaproductos[#All], MATCH(TablaENTRADAS[[#This Row],[DESCRIPCION]], Tablaproductos[[#All],[DESCRIPCION]], 0), 1)</f>
        <v>#N/A</v>
      </c>
      <c r="E12" s="26">
        <v>50</v>
      </c>
      <c r="F12" s="26">
        <v>50</v>
      </c>
      <c r="G12" s="44"/>
    </row>
    <row r="13" spans="1:7" x14ac:dyDescent="0.2">
      <c r="A13" s="21">
        <v>45325</v>
      </c>
      <c r="B13" s="14" t="s">
        <v>123</v>
      </c>
      <c r="C13" s="24" t="e">
        <f>INDEX(Tablaproductos[#All], MATCH(TablaENTRADAS[[#This Row],[DESCRIPCION]], Tablaproductos[[#All],[DESCRIPCION]], 0), 1)</f>
        <v>#N/A</v>
      </c>
      <c r="E13" s="26">
        <v>75</v>
      </c>
      <c r="F13" s="26">
        <v>75</v>
      </c>
      <c r="G13" s="44"/>
    </row>
    <row r="14" spans="1:7" x14ac:dyDescent="0.2">
      <c r="A14" s="21">
        <v>45325</v>
      </c>
      <c r="B14" s="14" t="s">
        <v>124</v>
      </c>
      <c r="C14" s="24" t="e">
        <f>INDEX(Tablaproductos[#All], MATCH(TablaENTRADAS[[#This Row],[DESCRIPCION]], Tablaproductos[[#All],[DESCRIPCION]], 0), 1)</f>
        <v>#N/A</v>
      </c>
      <c r="E14" s="26">
        <v>250</v>
      </c>
      <c r="F14" s="26">
        <v>250</v>
      </c>
      <c r="G14" s="44"/>
    </row>
    <row r="15" spans="1:7" x14ac:dyDescent="0.2">
      <c r="A15" s="21">
        <v>45325</v>
      </c>
      <c r="B15" s="14" t="s">
        <v>125</v>
      </c>
      <c r="C15" s="24" t="e">
        <f>INDEX(Tablaproductos[#All], MATCH(TablaENTRADAS[[#This Row],[DESCRIPCION]], Tablaproductos[[#All],[DESCRIPCION]], 0), 1)</f>
        <v>#N/A</v>
      </c>
      <c r="E15" s="26">
        <v>50</v>
      </c>
      <c r="F15" s="26">
        <v>50</v>
      </c>
      <c r="G15" s="44"/>
    </row>
    <row r="16" spans="1:7" x14ac:dyDescent="0.2">
      <c r="A16" s="21">
        <v>45325</v>
      </c>
      <c r="B16" s="14" t="s">
        <v>126</v>
      </c>
      <c r="C16" s="24" t="e">
        <f>INDEX(Tablaproductos[#All], MATCH(TablaENTRADAS[[#This Row],[DESCRIPCION]], Tablaproductos[[#All],[DESCRIPCION]], 0), 1)</f>
        <v>#N/A</v>
      </c>
      <c r="E16" s="26">
        <v>400</v>
      </c>
      <c r="F16" s="26">
        <v>400</v>
      </c>
      <c r="G16" s="44">
        <f>SUM(F12:F16)</f>
        <v>825</v>
      </c>
    </row>
    <row r="17" spans="1:7" x14ac:dyDescent="0.2">
      <c r="A17" s="21">
        <v>45326</v>
      </c>
      <c r="B17" s="14" t="s">
        <v>134</v>
      </c>
      <c r="C17" s="24" t="e">
        <f>INDEX(Tablaproductos[#All], MATCH(TablaENTRADAS[[#This Row],[DESCRIPCION]], Tablaproductos[[#All],[DESCRIPCION]], 0), 1)</f>
        <v>#N/A</v>
      </c>
      <c r="D17" s="14">
        <v>1</v>
      </c>
      <c r="E17" s="26">
        <v>1200</v>
      </c>
      <c r="F17" s="26">
        <f>TablaENTRADAS[[#This Row],[UNIDADES]]*TablaENTRADAS[[#This Row],[COSTO]]</f>
        <v>1200</v>
      </c>
      <c r="G17" s="44"/>
    </row>
    <row r="18" spans="1:7" x14ac:dyDescent="0.2">
      <c r="A18" s="21">
        <v>45326</v>
      </c>
      <c r="B18" s="14" t="s">
        <v>135</v>
      </c>
      <c r="C18" s="24" t="e">
        <f>INDEX(Tablaproductos[#All], MATCH(TablaENTRADAS[[#This Row],[DESCRIPCION]], Tablaproductos[[#All],[DESCRIPCION]], 0), 1)</f>
        <v>#N/A</v>
      </c>
      <c r="D18" s="14">
        <v>1</v>
      </c>
      <c r="E18" s="26">
        <v>1000</v>
      </c>
      <c r="F18" s="26">
        <f>TablaENTRADAS[[#This Row],[UNIDADES]]*TablaENTRADAS[[#This Row],[COSTO]]</f>
        <v>1000</v>
      </c>
      <c r="G18" s="44">
        <f>SUM(F17:F18)</f>
        <v>2200</v>
      </c>
    </row>
    <row r="19" spans="1:7" x14ac:dyDescent="0.2">
      <c r="A19" s="21"/>
      <c r="C19" s="24"/>
      <c r="E19" s="26"/>
      <c r="F19" s="26"/>
      <c r="G19" s="44"/>
    </row>
    <row r="20" spans="1:7" x14ac:dyDescent="0.2">
      <c r="A20" s="21"/>
      <c r="C20" s="24"/>
      <c r="E20" s="26"/>
      <c r="F20" s="26"/>
      <c r="G20" s="44"/>
    </row>
    <row r="21" spans="1:7" x14ac:dyDescent="0.2">
      <c r="A21" s="21"/>
      <c r="C21" s="24"/>
      <c r="E21" s="26"/>
      <c r="F21" s="26"/>
    </row>
  </sheetData>
  <mergeCells count="1">
    <mergeCell ref="A1:G1"/>
  </mergeCells>
  <phoneticPr fontId="3" type="noConversion"/>
  <dataValidations count="1">
    <dataValidation type="list" errorStyle="information" allowBlank="1" showInputMessage="1" showErrorMessage="1" errorTitle="Capture inf. pertinente" error="Recuerde capturar la información corresondiente del servicio y el precio acordado por el mismo." sqref="B3:B18" xr:uid="{00000000-0002-0000-0100-000000000000}">
      <formula1>INDIRECT("DESC")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28"/>
  <sheetViews>
    <sheetView topLeftCell="A7" zoomScale="91" zoomScaleNormal="91" workbookViewId="0">
      <selection activeCell="D30" sqref="D30"/>
    </sheetView>
  </sheetViews>
  <sheetFormatPr baseColWidth="10" defaultColWidth="0" defaultRowHeight="16" x14ac:dyDescent="0.2"/>
  <cols>
    <col min="1" max="1" width="25" style="14" customWidth="1"/>
    <col min="2" max="3" width="10.83203125" style="14" customWidth="1"/>
    <col min="4" max="4" width="14.83203125" style="14" bestFit="1" customWidth="1"/>
    <col min="5" max="5" width="16.83203125" style="14" bestFit="1" customWidth="1"/>
    <col min="6" max="6" width="10.83203125" style="14" customWidth="1"/>
    <col min="7" max="7" width="11.6640625" style="14" customWidth="1"/>
    <col min="8" max="8" width="10.83203125" style="14" customWidth="1"/>
    <col min="9" max="9" width="10.83203125" style="33" customWidth="1"/>
    <col min="10" max="10" width="10.83203125" style="36" customWidth="1"/>
    <col min="11" max="16384" width="10.83203125" style="14" hidden="1"/>
  </cols>
  <sheetData>
    <row r="1" spans="1:10" ht="65" customHeight="1" thickBot="1" x14ac:dyDescent="0.25">
      <c r="A1" s="53" t="s">
        <v>27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7" thickBot="1" x14ac:dyDescent="0.25">
      <c r="A2" s="14" t="s">
        <v>21</v>
      </c>
      <c r="B2" s="14" t="s">
        <v>12</v>
      </c>
      <c r="C2" s="14" t="s">
        <v>22</v>
      </c>
      <c r="D2" s="27" t="s">
        <v>3</v>
      </c>
      <c r="E2" s="28" t="s">
        <v>13</v>
      </c>
      <c r="F2" s="29" t="s">
        <v>20</v>
      </c>
      <c r="G2" s="28" t="s">
        <v>24</v>
      </c>
      <c r="H2" s="28" t="s">
        <v>19</v>
      </c>
      <c r="I2" s="30" t="s">
        <v>28</v>
      </c>
      <c r="J2" s="31" t="s">
        <v>23</v>
      </c>
    </row>
    <row r="3" spans="1:10" x14ac:dyDescent="0.2">
      <c r="A3" s="32"/>
      <c r="B3" s="21"/>
      <c r="C3" s="32"/>
      <c r="D3" s="16"/>
      <c r="E3" s="37" t="e">
        <f>INDEX(Tablaproductos[[#All],[CODIGOS]:[Precio Publico]],  MATCH(TablaSalidas[[#This Row],[DESCRIPCION]], Tablaproductos[[#All],[DESCRIPCION]], 0), 1)</f>
        <v>#N/A</v>
      </c>
      <c r="G3" s="26" t="e">
        <f>INDEX(Tablaproductos[#All],  MATCH(TablaSalidas[[#This Row],[DESCRIPCION]], Tablaproductos[[#All],[DESCRIPCION]], 0), 13)</f>
        <v>#N/A</v>
      </c>
      <c r="H3" s="26" t="e">
        <f>TablaSalidas[[#This Row],[UNIDADES]]*TablaSalidas[[#This Row],[PRECIO PUBLICO]]</f>
        <v>#N/A</v>
      </c>
      <c r="I3" s="47"/>
      <c r="J3" s="46"/>
    </row>
    <row r="4" spans="1:10" x14ac:dyDescent="0.2">
      <c r="A4" s="21" t="s">
        <v>45</v>
      </c>
      <c r="B4" s="21">
        <v>45323</v>
      </c>
      <c r="C4" s="34"/>
      <c r="D4" s="35" t="s">
        <v>42</v>
      </c>
      <c r="E4" s="37" t="e">
        <f>INDEX(Tablaproductos[[#All],[CODIGOS]:[Precio Publico]],  MATCH(TablaSalidas[[#This Row],[DESCRIPCION]], Tablaproductos[[#All],[DESCRIPCION]], 0), 1)</f>
        <v>#N/A</v>
      </c>
      <c r="F4" s="14">
        <v>1</v>
      </c>
      <c r="G4" s="26">
        <v>1200</v>
      </c>
      <c r="H4" s="26">
        <f>TablaSalidas[[#This Row],[UNIDADES]]*TablaSalidas[[#This Row],[PRECIO PUBLICO]]</f>
        <v>1200</v>
      </c>
      <c r="I4" s="48"/>
      <c r="J4" s="45"/>
    </row>
    <row r="5" spans="1:10" x14ac:dyDescent="0.2">
      <c r="A5" s="21" t="s">
        <v>46</v>
      </c>
      <c r="B5" s="21">
        <v>45323</v>
      </c>
      <c r="C5" s="34"/>
      <c r="D5" s="35" t="s">
        <v>43</v>
      </c>
      <c r="E5" s="37" t="e">
        <f>INDEX(Tablaproductos[[#All],[CODIGOS]:[Precio Publico]],  MATCH(TablaSalidas[[#This Row],[DESCRIPCION]], Tablaproductos[[#All],[DESCRIPCION]], 0), 1)</f>
        <v>#N/A</v>
      </c>
      <c r="F5" s="14">
        <v>1</v>
      </c>
      <c r="G5" s="26">
        <v>850</v>
      </c>
      <c r="H5" s="26">
        <v>850</v>
      </c>
      <c r="I5" s="48"/>
      <c r="J5" s="45"/>
    </row>
    <row r="6" spans="1:10" x14ac:dyDescent="0.2">
      <c r="A6" s="21"/>
      <c r="B6" s="21">
        <v>45323</v>
      </c>
      <c r="C6" s="34"/>
      <c r="D6" s="35" t="s">
        <v>44</v>
      </c>
      <c r="E6" s="37" t="e">
        <f>INDEX(Tablaproductos[[#All],[CODIGOS]:[Precio Publico]],  MATCH(TablaSalidas[[#This Row],[DESCRIPCION]], Tablaproductos[[#All],[DESCRIPCION]], 0), 1)</f>
        <v>#N/A</v>
      </c>
      <c r="F6" s="14">
        <v>1</v>
      </c>
      <c r="G6" s="26">
        <v>400</v>
      </c>
      <c r="H6" s="26">
        <v>400</v>
      </c>
      <c r="I6" s="48"/>
      <c r="J6" s="45"/>
    </row>
    <row r="7" spans="1:10" x14ac:dyDescent="0.2">
      <c r="A7" s="21"/>
      <c r="B7" s="21">
        <v>45323</v>
      </c>
      <c r="C7" s="34"/>
      <c r="D7" s="35" t="s">
        <v>47</v>
      </c>
      <c r="E7" s="37" t="str">
        <f>INDEX(Tablaproductos[[#All],[CODIGOS]:[Precio Publico]],  MATCH(TablaSalidas[[#This Row],[DESCRIPCION]], Tablaproductos[[#All],[DESCRIPCION]], 0), 1)</f>
        <v>LRVPUPPY</v>
      </c>
      <c r="F7" s="14">
        <v>1</v>
      </c>
      <c r="G7" s="26">
        <f>INDEX(Tablaproductos[#All],  MATCH(TablaSalidas[[#This Row],[DESCRIPCION]], Tablaproductos[[#All],[DESCRIPCION]], 0), 13)</f>
        <v>240</v>
      </c>
      <c r="H7" s="26">
        <v>240</v>
      </c>
      <c r="I7" s="48"/>
      <c r="J7" s="45"/>
    </row>
    <row r="8" spans="1:10" x14ac:dyDescent="0.2">
      <c r="A8" s="21" t="s">
        <v>54</v>
      </c>
      <c r="B8" s="21">
        <v>45323</v>
      </c>
      <c r="C8" s="34"/>
      <c r="D8" s="35" t="s">
        <v>53</v>
      </c>
      <c r="E8" s="37" t="e">
        <f>INDEX(Tablaproductos[[#All],[CODIGOS]:[Precio Publico]],  MATCH(TablaSalidas[[#This Row],[DESCRIPCION]], Tablaproductos[[#All],[DESCRIPCION]], 0), 1)</f>
        <v>#N/A</v>
      </c>
      <c r="F8" s="14">
        <v>1</v>
      </c>
      <c r="G8" s="26">
        <v>500</v>
      </c>
      <c r="H8" s="26">
        <v>500</v>
      </c>
      <c r="I8" s="48"/>
      <c r="J8" s="45"/>
    </row>
    <row r="9" spans="1:10" x14ac:dyDescent="0.2">
      <c r="A9" s="21"/>
      <c r="B9" s="21">
        <v>45323</v>
      </c>
      <c r="C9" s="34"/>
      <c r="D9" s="35" t="s">
        <v>58</v>
      </c>
      <c r="E9" s="37" t="e">
        <f>INDEX(Tablaproductos[[#All],[CODIGOS]:[Precio Publico]],  MATCH(TablaSalidas[[#This Row],[DESCRIPCION]], Tablaproductos[[#All],[DESCRIPCION]], 0), 1)</f>
        <v>#N/A</v>
      </c>
      <c r="F9" s="14">
        <v>1</v>
      </c>
      <c r="G9" s="26">
        <v>300</v>
      </c>
      <c r="H9" s="26">
        <v>300</v>
      </c>
      <c r="I9" s="48"/>
      <c r="J9" s="45"/>
    </row>
    <row r="10" spans="1:10" x14ac:dyDescent="0.2">
      <c r="A10" s="21" t="s">
        <v>59</v>
      </c>
      <c r="B10" s="21">
        <v>45323</v>
      </c>
      <c r="C10" s="34"/>
      <c r="D10" s="35" t="s">
        <v>47</v>
      </c>
      <c r="E10" s="37" t="str">
        <f>INDEX(Tablaproductos[[#All],[CODIGOS]:[Precio Publico]],  MATCH(TablaSalidas[[#This Row],[DESCRIPCION]], Tablaproductos[[#All],[DESCRIPCION]], 0), 1)</f>
        <v>LRVPUPPY</v>
      </c>
      <c r="F10" s="14">
        <v>1</v>
      </c>
      <c r="G10" s="26">
        <f>INDEX(Tablaproductos[#All],  MATCH(TablaSalidas[[#This Row],[DESCRIPCION]], Tablaproductos[[#All],[DESCRIPCION]], 0), 13)</f>
        <v>240</v>
      </c>
      <c r="H10" s="26">
        <v>240</v>
      </c>
      <c r="I10" s="48">
        <f>SUM(H4:H10)</f>
        <v>3730</v>
      </c>
      <c r="J10" s="45"/>
    </row>
    <row r="11" spans="1:10" x14ac:dyDescent="0.2">
      <c r="A11" s="21" t="s">
        <v>100</v>
      </c>
      <c r="B11" s="21">
        <v>45324</v>
      </c>
      <c r="C11" s="34"/>
      <c r="D11" s="35" t="s">
        <v>101</v>
      </c>
      <c r="E11" s="37" t="e">
        <f>INDEX(Tablaproductos[[#All],[CODIGOS]:[Precio Publico]],  MATCH(TablaSalidas[[#This Row],[DESCRIPCION]], Tablaproductos[[#All],[DESCRIPCION]], 0), 1)</f>
        <v>#N/A</v>
      </c>
      <c r="G11" s="26">
        <v>150</v>
      </c>
      <c r="H11" s="26">
        <v>150</v>
      </c>
      <c r="I11" s="48"/>
      <c r="J11" s="45"/>
    </row>
    <row r="12" spans="1:10" x14ac:dyDescent="0.2">
      <c r="A12" s="21" t="s">
        <v>102</v>
      </c>
      <c r="B12" s="21">
        <v>45324</v>
      </c>
      <c r="C12" s="34"/>
      <c r="D12" s="35" t="s">
        <v>58</v>
      </c>
      <c r="E12" s="37" t="e">
        <f>INDEX(Tablaproductos[[#All],[CODIGOS]:[Precio Publico]],  MATCH(TablaSalidas[[#This Row],[DESCRIPCION]], Tablaproductos[[#All],[DESCRIPCION]], 0), 1)</f>
        <v>#N/A</v>
      </c>
      <c r="G12" s="26">
        <v>450</v>
      </c>
      <c r="H12" s="26">
        <v>450</v>
      </c>
      <c r="I12" s="48"/>
      <c r="J12" s="45"/>
    </row>
    <row r="13" spans="1:10" x14ac:dyDescent="0.2">
      <c r="A13" s="21" t="s">
        <v>103</v>
      </c>
      <c r="B13" s="21">
        <v>45324</v>
      </c>
      <c r="C13" s="34"/>
      <c r="D13" s="35" t="s">
        <v>104</v>
      </c>
      <c r="E13" s="37" t="e">
        <f>INDEX(Tablaproductos[[#All],[CODIGOS]:[Precio Publico]],  MATCH(TablaSalidas[[#This Row],[DESCRIPCION]], Tablaproductos[[#All],[DESCRIPCION]], 0), 1)</f>
        <v>#N/A</v>
      </c>
      <c r="G13" s="26">
        <v>100</v>
      </c>
      <c r="H13" s="26">
        <v>100</v>
      </c>
      <c r="I13" s="48"/>
      <c r="J13" s="45"/>
    </row>
    <row r="14" spans="1:10" x14ac:dyDescent="0.2">
      <c r="A14" s="21"/>
      <c r="B14" s="21">
        <v>45324</v>
      </c>
      <c r="C14" s="34"/>
      <c r="D14" s="35" t="s">
        <v>105</v>
      </c>
      <c r="E14" s="37" t="e">
        <f>INDEX(Tablaproductos[[#All],[CODIGOS]:[Precio Publico]],  MATCH(TablaSalidas[[#This Row],[DESCRIPCION]], Tablaproductos[[#All],[DESCRIPCION]], 0), 1)</f>
        <v>#N/A</v>
      </c>
      <c r="G14" s="26">
        <v>150</v>
      </c>
      <c r="H14" s="26">
        <v>150</v>
      </c>
      <c r="I14" s="48"/>
      <c r="J14" s="45"/>
    </row>
    <row r="15" spans="1:10" x14ac:dyDescent="0.2">
      <c r="A15" s="21"/>
      <c r="B15" s="21">
        <v>45324</v>
      </c>
      <c r="C15" s="34"/>
      <c r="D15" s="35" t="s">
        <v>106</v>
      </c>
      <c r="E15" s="37" t="e">
        <f>INDEX(Tablaproductos[[#All],[CODIGOS]:[Precio Publico]],  MATCH(TablaSalidas[[#This Row],[DESCRIPCION]], Tablaproductos[[#All],[DESCRIPCION]], 0), 1)</f>
        <v>#N/A</v>
      </c>
      <c r="G15" s="26">
        <v>30</v>
      </c>
      <c r="H15" s="26">
        <v>30</v>
      </c>
      <c r="I15" s="48"/>
      <c r="J15" s="45"/>
    </row>
    <row r="16" spans="1:10" x14ac:dyDescent="0.2">
      <c r="A16" s="21"/>
      <c r="B16" s="21">
        <v>45324</v>
      </c>
      <c r="C16" s="34"/>
      <c r="D16" s="35" t="s">
        <v>110</v>
      </c>
      <c r="E16" s="37">
        <f>INDEX(Tablaproductos[[#All],[CODIGOS]:[Precio Publico]],  MATCH(TablaSalidas[[#This Row],[DESCRIPCION]], Tablaproductos[[#All],[DESCRIPCION]], 0), 1)</f>
        <v>16205376</v>
      </c>
      <c r="G16" s="26">
        <f>INDEX(Tablaproductos[#All],  MATCH(TablaSalidas[[#This Row],[DESCRIPCION]], Tablaproductos[[#All],[DESCRIPCION]], 0), 13)</f>
        <v>25</v>
      </c>
      <c r="H16" s="26">
        <v>25</v>
      </c>
      <c r="I16" s="48"/>
      <c r="J16" s="45"/>
    </row>
    <row r="17" spans="1:10" x14ac:dyDescent="0.2">
      <c r="A17" s="21"/>
      <c r="B17" s="21">
        <v>33271</v>
      </c>
      <c r="C17" s="34"/>
      <c r="D17" s="35" t="s">
        <v>113</v>
      </c>
      <c r="E17" s="37" t="e">
        <f>INDEX(Tablaproductos[[#All],[CODIGOS]:[Precio Publico]],  MATCH(TablaSalidas[[#This Row],[DESCRIPCION]], Tablaproductos[[#All],[DESCRIPCION]], 0), 1)</f>
        <v>#N/A</v>
      </c>
      <c r="G17" s="26">
        <v>30</v>
      </c>
      <c r="H17" s="26">
        <v>30</v>
      </c>
      <c r="I17" s="48"/>
      <c r="J17" s="45"/>
    </row>
    <row r="18" spans="1:10" x14ac:dyDescent="0.2">
      <c r="A18" s="21"/>
      <c r="B18" s="21">
        <v>33271</v>
      </c>
      <c r="C18" s="34"/>
      <c r="D18" s="35" t="s">
        <v>114</v>
      </c>
      <c r="E18" s="37" t="e">
        <f>INDEX(Tablaproductos[[#All],[CODIGOS]:[Precio Publico]],  MATCH(TablaSalidas[[#This Row],[DESCRIPCION]], Tablaproductos[[#All],[DESCRIPCION]], 0), 1)</f>
        <v>#N/A</v>
      </c>
      <c r="G18" s="26">
        <v>500</v>
      </c>
      <c r="H18" s="26">
        <v>500</v>
      </c>
      <c r="I18" s="48"/>
      <c r="J18" s="45"/>
    </row>
    <row r="19" spans="1:10" x14ac:dyDescent="0.2">
      <c r="A19" s="21" t="s">
        <v>115</v>
      </c>
      <c r="B19" s="21">
        <v>33271</v>
      </c>
      <c r="C19" s="34"/>
      <c r="D19" s="35" t="s">
        <v>53</v>
      </c>
      <c r="E19" s="37" t="e">
        <f>INDEX(Tablaproductos[[#All],[CODIGOS]:[Precio Publico]],  MATCH(TablaSalidas[[#This Row],[DESCRIPCION]], Tablaproductos[[#All],[DESCRIPCION]], 0), 1)</f>
        <v>#N/A</v>
      </c>
      <c r="G19" s="26">
        <v>200</v>
      </c>
      <c r="H19" s="26">
        <v>200</v>
      </c>
    </row>
    <row r="20" spans="1:10" x14ac:dyDescent="0.2">
      <c r="A20" s="21" t="s">
        <v>115</v>
      </c>
      <c r="B20" s="21">
        <v>33271</v>
      </c>
      <c r="C20" s="34"/>
      <c r="D20" s="35" t="s">
        <v>116</v>
      </c>
      <c r="E20" s="37" t="e">
        <f>INDEX(Tablaproductos[[#All],[CODIGOS]:[Precio Publico]],  MATCH(TablaSalidas[[#This Row],[DESCRIPCION]], Tablaproductos[[#All],[DESCRIPCION]], 0), 1)</f>
        <v>#N/A</v>
      </c>
      <c r="G20" s="26">
        <v>50</v>
      </c>
      <c r="H20" s="26">
        <v>650</v>
      </c>
    </row>
    <row r="21" spans="1:10" x14ac:dyDescent="0.2">
      <c r="A21" s="21" t="s">
        <v>117</v>
      </c>
      <c r="B21" s="21">
        <v>33271</v>
      </c>
      <c r="C21" s="34"/>
      <c r="D21" s="35" t="s">
        <v>118</v>
      </c>
      <c r="E21" s="37" t="e">
        <f>INDEX(Tablaproductos[[#All],[CODIGOS]:[Precio Publico]],  MATCH(TablaSalidas[[#This Row],[DESCRIPCION]], Tablaproductos[[#All],[DESCRIPCION]], 0), 1)</f>
        <v>#N/A</v>
      </c>
      <c r="G21" s="26">
        <v>350</v>
      </c>
      <c r="H21" s="26">
        <v>350</v>
      </c>
      <c r="I21" s="33">
        <f>SUM(H11:H21)</f>
        <v>2635</v>
      </c>
    </row>
    <row r="22" spans="1:10" x14ac:dyDescent="0.2">
      <c r="A22" s="21" t="s">
        <v>119</v>
      </c>
      <c r="B22" s="21">
        <v>45325</v>
      </c>
      <c r="C22" s="34"/>
      <c r="D22" s="35" t="s">
        <v>120</v>
      </c>
      <c r="E22" s="37" t="e">
        <f>INDEX(Tablaproductos[[#All],[CODIGOS]:[Precio Publico]],  MATCH(TablaSalidas[[#This Row],[DESCRIPCION]], Tablaproductos[[#All],[DESCRIPCION]], 0), 1)</f>
        <v>#N/A</v>
      </c>
      <c r="G22" s="26">
        <v>280</v>
      </c>
      <c r="H22" s="26">
        <v>280</v>
      </c>
    </row>
    <row r="23" spans="1:10" x14ac:dyDescent="0.2">
      <c r="A23" s="21"/>
      <c r="B23" s="21">
        <v>45325</v>
      </c>
      <c r="C23" s="34"/>
      <c r="D23" s="35" t="s">
        <v>121</v>
      </c>
      <c r="E23" s="37" t="e">
        <f>INDEX(Tablaproductos[[#All],[CODIGOS]:[Precio Publico]],  MATCH(TablaSalidas[[#This Row],[DESCRIPCION]], Tablaproductos[[#All],[DESCRIPCION]], 0), 1)</f>
        <v>#N/A</v>
      </c>
      <c r="G23" s="26">
        <v>250</v>
      </c>
      <c r="H23" s="26">
        <v>250</v>
      </c>
    </row>
    <row r="24" spans="1:10" x14ac:dyDescent="0.2">
      <c r="A24" s="21" t="s">
        <v>127</v>
      </c>
      <c r="B24" s="21">
        <v>45331</v>
      </c>
      <c r="C24" s="34"/>
      <c r="D24" s="35" t="s">
        <v>58</v>
      </c>
      <c r="E24" s="37" t="e">
        <f>INDEX(Tablaproductos[[#All],[CODIGOS]:[Precio Publico]],  MATCH(TablaSalidas[[#This Row],[DESCRIPCION]], Tablaproductos[[#All],[DESCRIPCION]], 0), 1)</f>
        <v>#N/A</v>
      </c>
      <c r="G24" s="26">
        <v>500</v>
      </c>
      <c r="H24" s="26">
        <v>500</v>
      </c>
    </row>
    <row r="25" spans="1:10" x14ac:dyDescent="0.2">
      <c r="A25" s="21" t="s">
        <v>130</v>
      </c>
      <c r="B25" s="21">
        <v>33272</v>
      </c>
      <c r="C25" s="34"/>
      <c r="D25" s="35" t="s">
        <v>131</v>
      </c>
      <c r="E25" s="37" t="e">
        <f>INDEX(Tablaproductos[[#All],[CODIGOS]:[Precio Publico]],  MATCH(TablaSalidas[[#This Row],[DESCRIPCION]], Tablaproductos[[#All],[DESCRIPCION]], 0), 1)</f>
        <v>#N/A</v>
      </c>
      <c r="G25" s="26">
        <v>270</v>
      </c>
      <c r="H25" s="26">
        <v>270</v>
      </c>
    </row>
    <row r="26" spans="1:10" x14ac:dyDescent="0.2">
      <c r="A26" s="21" t="s">
        <v>130</v>
      </c>
      <c r="B26" s="21">
        <v>45325</v>
      </c>
      <c r="C26" s="34"/>
      <c r="D26" s="35" t="s">
        <v>132</v>
      </c>
      <c r="E26" s="37" t="e">
        <f>INDEX(Tablaproductos[[#All],[CODIGOS]:[Precio Publico]],  MATCH(TablaSalidas[[#This Row],[DESCRIPCION]], Tablaproductos[[#All],[DESCRIPCION]], 0), 1)</f>
        <v>#N/A</v>
      </c>
      <c r="G26" s="26">
        <v>450</v>
      </c>
      <c r="H26" s="26">
        <v>450</v>
      </c>
      <c r="I26" s="33">
        <f>SUM(H22:H26)</f>
        <v>1750</v>
      </c>
    </row>
    <row r="27" spans="1:10" x14ac:dyDescent="0.2">
      <c r="A27" s="21" t="s">
        <v>136</v>
      </c>
      <c r="B27" s="21">
        <v>45326</v>
      </c>
      <c r="C27" s="34"/>
      <c r="D27" s="35" t="s">
        <v>137</v>
      </c>
      <c r="E27" s="37" t="e">
        <f>INDEX(Tablaproductos[[#All],[CODIGOS]:[Precio Publico]],  MATCH(TablaSalidas[[#This Row],[DESCRIPCION]], Tablaproductos[[#All],[DESCRIPCION]], 0), 1)</f>
        <v>#N/A</v>
      </c>
      <c r="F27" s="14">
        <v>1</v>
      </c>
      <c r="G27" s="26">
        <v>3000</v>
      </c>
      <c r="H27" s="26">
        <f>TablaSalidas[[#This Row],[UNIDADES]]*TablaSalidas[[#This Row],[PRECIO PUBLICO]]</f>
        <v>3000</v>
      </c>
      <c r="I27" s="33">
        <f>SUM(TablaSalidas[[#This Row],[TOTAL]])</f>
        <v>3000</v>
      </c>
    </row>
    <row r="28" spans="1:10" x14ac:dyDescent="0.2">
      <c r="A28" s="21"/>
      <c r="B28" s="21"/>
      <c r="C28" s="34"/>
      <c r="D28" s="35"/>
      <c r="E28" s="37"/>
      <c r="G28" s="26"/>
      <c r="H28" s="26"/>
    </row>
  </sheetData>
  <mergeCells count="1">
    <mergeCell ref="A1:J1"/>
  </mergeCells>
  <dataValidations count="1">
    <dataValidation type="list" errorStyle="information" allowBlank="1" showInputMessage="1" showErrorMessage="1" errorTitle="Capture la informacion pertinent" error="Recuerde capturar la información corresondiente del servicio y el precio acordado por el mismo." sqref="D3:D27" xr:uid="{00000000-0002-0000-0200-000000000000}">
      <formula1>INDIRECT("DESC", 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workbookViewId="0">
      <selection activeCell="G7" sqref="G7"/>
    </sheetView>
  </sheetViews>
  <sheetFormatPr baseColWidth="10" defaultRowHeight="16" x14ac:dyDescent="0.2"/>
  <sheetData>
    <row r="1" spans="1:14" x14ac:dyDescent="0.2">
      <c r="A1" s="55" t="s">
        <v>25</v>
      </c>
      <c r="B1" s="55"/>
      <c r="C1" s="55"/>
      <c r="D1" s="56"/>
      <c r="E1" s="4"/>
      <c r="F1" s="55" t="s">
        <v>33</v>
      </c>
      <c r="G1" s="55"/>
      <c r="H1" s="55"/>
      <c r="I1" s="55"/>
      <c r="K1" s="55" t="s">
        <v>34</v>
      </c>
      <c r="L1" s="55"/>
      <c r="M1" s="55"/>
      <c r="N1" s="56"/>
    </row>
    <row r="2" spans="1:14" x14ac:dyDescent="0.2">
      <c r="A2" s="1" t="s">
        <v>23</v>
      </c>
      <c r="B2" s="6" t="s">
        <v>30</v>
      </c>
      <c r="C2" s="7" t="s">
        <v>31</v>
      </c>
      <c r="D2" s="10" t="s">
        <v>32</v>
      </c>
      <c r="E2" s="5"/>
      <c r="F2" s="1" t="s">
        <v>23</v>
      </c>
      <c r="G2" s="6" t="s">
        <v>30</v>
      </c>
      <c r="H2" s="7" t="s">
        <v>31</v>
      </c>
      <c r="I2" s="12" t="s">
        <v>32</v>
      </c>
      <c r="K2" s="1" t="s">
        <v>23</v>
      </c>
      <c r="L2" s="6" t="s">
        <v>30</v>
      </c>
      <c r="M2" s="7" t="s">
        <v>31</v>
      </c>
      <c r="N2" s="10" t="s">
        <v>32</v>
      </c>
    </row>
    <row r="3" spans="1:14" x14ac:dyDescent="0.2">
      <c r="A3" s="2">
        <v>45292</v>
      </c>
      <c r="B3" s="8"/>
      <c r="C3" s="9"/>
      <c r="D3" s="11"/>
      <c r="E3" s="3"/>
      <c r="F3" s="2">
        <v>45323</v>
      </c>
      <c r="G3" s="8">
        <v>1532</v>
      </c>
      <c r="H3" s="9">
        <v>3730</v>
      </c>
      <c r="I3" s="11">
        <f>H3-G3</f>
        <v>2198</v>
      </c>
      <c r="K3" s="2">
        <v>45352</v>
      </c>
      <c r="L3" s="8"/>
      <c r="M3" s="9"/>
      <c r="N3" s="11">
        <f>M3-L3</f>
        <v>0</v>
      </c>
    </row>
    <row r="4" spans="1:14" x14ac:dyDescent="0.2">
      <c r="A4" s="2">
        <v>45293</v>
      </c>
      <c r="B4" s="8"/>
      <c r="C4" s="9"/>
      <c r="D4" s="11"/>
      <c r="E4" s="3"/>
      <c r="F4" s="2">
        <v>45324</v>
      </c>
      <c r="G4" s="8">
        <v>993</v>
      </c>
      <c r="H4" s="9">
        <v>2635</v>
      </c>
      <c r="I4" s="11">
        <f t="shared" ref="I4:I32" si="0">H4-G4</f>
        <v>1642</v>
      </c>
      <c r="K4" s="2">
        <v>45353</v>
      </c>
      <c r="L4" s="8"/>
      <c r="M4" s="9"/>
      <c r="N4" s="11">
        <f t="shared" ref="N4:N31" si="1">M4-L4</f>
        <v>0</v>
      </c>
    </row>
    <row r="5" spans="1:14" x14ac:dyDescent="0.2">
      <c r="A5" s="2">
        <v>45294</v>
      </c>
      <c r="B5" s="8"/>
      <c r="C5" s="9"/>
      <c r="D5" s="11"/>
      <c r="E5" s="3"/>
      <c r="F5" s="2">
        <v>45325</v>
      </c>
      <c r="G5" s="8">
        <v>825</v>
      </c>
      <c r="H5" s="9">
        <v>1750</v>
      </c>
      <c r="I5" s="11">
        <f t="shared" si="0"/>
        <v>925</v>
      </c>
      <c r="K5" s="2">
        <v>45354</v>
      </c>
      <c r="L5" s="8"/>
      <c r="M5" s="9"/>
      <c r="N5" s="11">
        <f t="shared" si="1"/>
        <v>0</v>
      </c>
    </row>
    <row r="6" spans="1:14" x14ac:dyDescent="0.2">
      <c r="A6" s="2">
        <v>45295</v>
      </c>
      <c r="B6" s="8"/>
      <c r="C6" s="9"/>
      <c r="D6" s="11"/>
      <c r="E6" s="3"/>
      <c r="F6" s="2">
        <v>45326</v>
      </c>
      <c r="G6" s="8">
        <v>2200</v>
      </c>
      <c r="H6" s="9">
        <v>3000</v>
      </c>
      <c r="I6" s="11">
        <f t="shared" si="0"/>
        <v>800</v>
      </c>
      <c r="K6" s="2">
        <v>45355</v>
      </c>
      <c r="L6" s="8"/>
      <c r="M6" s="9"/>
      <c r="N6" s="11">
        <f t="shared" si="1"/>
        <v>0</v>
      </c>
    </row>
    <row r="7" spans="1:14" x14ac:dyDescent="0.2">
      <c r="A7" s="2">
        <v>45296</v>
      </c>
      <c r="B7" s="8"/>
      <c r="C7" s="9"/>
      <c r="D7" s="11"/>
      <c r="E7" s="3"/>
      <c r="F7" s="2">
        <v>45327</v>
      </c>
      <c r="G7" s="8"/>
      <c r="H7" s="9"/>
      <c r="I7" s="11">
        <f t="shared" si="0"/>
        <v>0</v>
      </c>
      <c r="K7" s="2">
        <v>45356</v>
      </c>
      <c r="L7" s="8"/>
      <c r="M7" s="9"/>
      <c r="N7" s="11">
        <f t="shared" si="1"/>
        <v>0</v>
      </c>
    </row>
    <row r="8" spans="1:14" x14ac:dyDescent="0.2">
      <c r="A8" s="2">
        <v>45297</v>
      </c>
      <c r="B8" s="8"/>
      <c r="C8" s="9"/>
      <c r="D8" s="11"/>
      <c r="E8" s="3"/>
      <c r="F8" s="2">
        <v>45328</v>
      </c>
      <c r="G8" s="8"/>
      <c r="H8" s="9"/>
      <c r="I8" s="11">
        <f t="shared" si="0"/>
        <v>0</v>
      </c>
      <c r="K8" s="2">
        <v>45357</v>
      </c>
      <c r="L8" s="8"/>
      <c r="M8" s="9"/>
      <c r="N8" s="11">
        <f t="shared" si="1"/>
        <v>0</v>
      </c>
    </row>
    <row r="9" spans="1:14" x14ac:dyDescent="0.2">
      <c r="A9" s="2">
        <v>45298</v>
      </c>
      <c r="B9" s="8"/>
      <c r="C9" s="9"/>
      <c r="D9" s="11"/>
      <c r="E9" s="3"/>
      <c r="F9" s="2">
        <v>45329</v>
      </c>
      <c r="G9" s="8"/>
      <c r="H9" s="9"/>
      <c r="I9" s="11">
        <f t="shared" si="0"/>
        <v>0</v>
      </c>
      <c r="K9" s="2">
        <v>45358</v>
      </c>
      <c r="L9" s="8"/>
      <c r="M9" s="9"/>
      <c r="N9" s="11">
        <f t="shared" si="1"/>
        <v>0</v>
      </c>
    </row>
    <row r="10" spans="1:14" x14ac:dyDescent="0.2">
      <c r="A10" s="2">
        <v>45299</v>
      </c>
      <c r="B10" s="8"/>
      <c r="C10" s="9"/>
      <c r="D10" s="11"/>
      <c r="E10" s="3"/>
      <c r="F10" s="2">
        <v>45330</v>
      </c>
      <c r="G10" s="8"/>
      <c r="H10" s="9"/>
      <c r="I10" s="11">
        <f t="shared" si="0"/>
        <v>0</v>
      </c>
      <c r="K10" s="2">
        <v>45359</v>
      </c>
      <c r="L10" s="8"/>
      <c r="M10" s="9"/>
      <c r="N10" s="11">
        <f t="shared" si="1"/>
        <v>0</v>
      </c>
    </row>
    <row r="11" spans="1:14" x14ac:dyDescent="0.2">
      <c r="A11" s="2">
        <v>45300</v>
      </c>
      <c r="B11" s="8"/>
      <c r="C11" s="9"/>
      <c r="D11" s="11"/>
      <c r="E11" s="3"/>
      <c r="F11" s="2">
        <v>45331</v>
      </c>
      <c r="G11" s="8"/>
      <c r="H11" s="9"/>
      <c r="I11" s="11">
        <f t="shared" si="0"/>
        <v>0</v>
      </c>
      <c r="K11" s="2">
        <v>45360</v>
      </c>
      <c r="L11" s="8"/>
      <c r="M11" s="9"/>
      <c r="N11" s="11">
        <f t="shared" si="1"/>
        <v>0</v>
      </c>
    </row>
    <row r="12" spans="1:14" x14ac:dyDescent="0.2">
      <c r="A12" s="2">
        <v>45301</v>
      </c>
      <c r="B12" s="8"/>
      <c r="C12" s="9"/>
      <c r="D12" s="11"/>
      <c r="E12" s="3"/>
      <c r="F12" s="2">
        <v>45332</v>
      </c>
      <c r="G12" s="8"/>
      <c r="H12" s="9"/>
      <c r="I12" s="11">
        <f t="shared" si="0"/>
        <v>0</v>
      </c>
      <c r="K12" s="2">
        <v>45361</v>
      </c>
      <c r="L12" s="8"/>
      <c r="M12" s="9"/>
      <c r="N12" s="11">
        <f t="shared" si="1"/>
        <v>0</v>
      </c>
    </row>
    <row r="13" spans="1:14" x14ac:dyDescent="0.2">
      <c r="A13" s="2">
        <v>45302</v>
      </c>
      <c r="B13" s="8"/>
      <c r="C13" s="9"/>
      <c r="D13" s="11"/>
      <c r="E13" s="3"/>
      <c r="F13" s="2">
        <v>45333</v>
      </c>
      <c r="G13" s="8"/>
      <c r="H13" s="9"/>
      <c r="I13" s="11">
        <f t="shared" si="0"/>
        <v>0</v>
      </c>
      <c r="K13" s="2">
        <v>45362</v>
      </c>
      <c r="L13" s="8"/>
      <c r="M13" s="9"/>
      <c r="N13" s="11">
        <f t="shared" si="1"/>
        <v>0</v>
      </c>
    </row>
    <row r="14" spans="1:14" x14ac:dyDescent="0.2">
      <c r="A14" s="2">
        <v>45303</v>
      </c>
      <c r="B14" s="8"/>
      <c r="C14" s="9"/>
      <c r="D14" s="11"/>
      <c r="E14" s="3"/>
      <c r="F14" s="2">
        <v>45334</v>
      </c>
      <c r="G14" s="8"/>
      <c r="H14" s="9"/>
      <c r="I14" s="11">
        <f t="shared" si="0"/>
        <v>0</v>
      </c>
      <c r="K14" s="2">
        <v>45363</v>
      </c>
      <c r="L14" s="8"/>
      <c r="M14" s="9"/>
      <c r="N14" s="11">
        <f t="shared" si="1"/>
        <v>0</v>
      </c>
    </row>
    <row r="15" spans="1:14" x14ac:dyDescent="0.2">
      <c r="A15" s="2">
        <v>45304</v>
      </c>
      <c r="B15" s="8"/>
      <c r="C15" s="9"/>
      <c r="D15" s="11"/>
      <c r="E15" s="3"/>
      <c r="F15" s="2">
        <v>45335</v>
      </c>
      <c r="G15" s="8"/>
      <c r="H15" s="9"/>
      <c r="I15" s="11">
        <f t="shared" si="0"/>
        <v>0</v>
      </c>
      <c r="K15" s="2">
        <v>45364</v>
      </c>
      <c r="L15" s="8"/>
      <c r="M15" s="9"/>
      <c r="N15" s="11">
        <f t="shared" si="1"/>
        <v>0</v>
      </c>
    </row>
    <row r="16" spans="1:14" x14ac:dyDescent="0.2">
      <c r="A16" s="2">
        <v>45305</v>
      </c>
      <c r="B16" s="8"/>
      <c r="C16" s="9"/>
      <c r="D16" s="11"/>
      <c r="E16" s="3"/>
      <c r="F16" s="2">
        <v>45336</v>
      </c>
      <c r="G16" s="8"/>
      <c r="H16" s="9"/>
      <c r="I16" s="11">
        <f t="shared" si="0"/>
        <v>0</v>
      </c>
      <c r="K16" s="2">
        <v>45365</v>
      </c>
      <c r="L16" s="8"/>
      <c r="M16" s="9"/>
      <c r="N16" s="11">
        <f t="shared" si="1"/>
        <v>0</v>
      </c>
    </row>
    <row r="17" spans="1:14" x14ac:dyDescent="0.2">
      <c r="A17" s="2">
        <v>45306</v>
      </c>
      <c r="B17" s="8"/>
      <c r="C17" s="9"/>
      <c r="D17" s="11"/>
      <c r="E17" s="3"/>
      <c r="F17" s="2">
        <v>45337</v>
      </c>
      <c r="G17" s="8"/>
      <c r="H17" s="9"/>
      <c r="I17" s="11">
        <f t="shared" si="0"/>
        <v>0</v>
      </c>
      <c r="K17" s="2">
        <v>45366</v>
      </c>
      <c r="L17" s="8"/>
      <c r="M17" s="9"/>
      <c r="N17" s="11">
        <f t="shared" si="1"/>
        <v>0</v>
      </c>
    </row>
    <row r="18" spans="1:14" x14ac:dyDescent="0.2">
      <c r="A18" s="2">
        <v>45307</v>
      </c>
      <c r="B18" s="8"/>
      <c r="C18" s="9"/>
      <c r="D18" s="11"/>
      <c r="E18" s="3"/>
      <c r="F18" s="2">
        <v>45338</v>
      </c>
      <c r="G18" s="8"/>
      <c r="H18" s="9"/>
      <c r="I18" s="11">
        <f t="shared" si="0"/>
        <v>0</v>
      </c>
      <c r="K18" s="2">
        <v>45367</v>
      </c>
      <c r="L18" s="8"/>
      <c r="M18" s="9"/>
      <c r="N18" s="11">
        <f t="shared" si="1"/>
        <v>0</v>
      </c>
    </row>
    <row r="19" spans="1:14" x14ac:dyDescent="0.2">
      <c r="A19" s="2">
        <v>45308</v>
      </c>
      <c r="B19" s="8"/>
      <c r="C19" s="9"/>
      <c r="D19" s="11"/>
      <c r="E19" s="3"/>
      <c r="F19" s="2">
        <v>45339</v>
      </c>
      <c r="G19" s="8"/>
      <c r="H19" s="9"/>
      <c r="I19" s="11">
        <f t="shared" si="0"/>
        <v>0</v>
      </c>
      <c r="K19" s="2">
        <v>45368</v>
      </c>
      <c r="L19" s="8"/>
      <c r="M19" s="9"/>
      <c r="N19" s="11">
        <f t="shared" si="1"/>
        <v>0</v>
      </c>
    </row>
    <row r="20" spans="1:14" x14ac:dyDescent="0.2">
      <c r="A20" s="2">
        <v>45309</v>
      </c>
      <c r="B20" s="8"/>
      <c r="C20" s="9"/>
      <c r="D20" s="11"/>
      <c r="E20" s="3"/>
      <c r="F20" s="2">
        <v>45340</v>
      </c>
      <c r="G20" s="8"/>
      <c r="H20" s="9"/>
      <c r="I20" s="11">
        <f t="shared" si="0"/>
        <v>0</v>
      </c>
      <c r="K20" s="2">
        <v>45369</v>
      </c>
      <c r="L20" s="8"/>
      <c r="M20" s="9"/>
      <c r="N20" s="11">
        <f t="shared" si="1"/>
        <v>0</v>
      </c>
    </row>
    <row r="21" spans="1:14" x14ac:dyDescent="0.2">
      <c r="A21" s="2">
        <v>45310</v>
      </c>
      <c r="B21" s="8"/>
      <c r="C21" s="9"/>
      <c r="D21" s="11"/>
      <c r="E21" s="3"/>
      <c r="F21" s="2">
        <v>45341</v>
      </c>
      <c r="G21" s="8"/>
      <c r="H21" s="9"/>
      <c r="I21" s="11">
        <f t="shared" si="0"/>
        <v>0</v>
      </c>
      <c r="K21" s="2">
        <v>45370</v>
      </c>
      <c r="L21" s="8"/>
      <c r="M21" s="9"/>
      <c r="N21" s="11">
        <f t="shared" si="1"/>
        <v>0</v>
      </c>
    </row>
    <row r="22" spans="1:14" x14ac:dyDescent="0.2">
      <c r="A22" s="2">
        <v>45311</v>
      </c>
      <c r="B22" s="8"/>
      <c r="C22" s="9"/>
      <c r="D22" s="11"/>
      <c r="E22" s="3"/>
      <c r="F22" s="2">
        <v>45342</v>
      </c>
      <c r="G22" s="8"/>
      <c r="H22" s="9"/>
      <c r="I22" s="11">
        <f t="shared" si="0"/>
        <v>0</v>
      </c>
      <c r="K22" s="2">
        <v>45371</v>
      </c>
      <c r="L22" s="8"/>
      <c r="M22" s="9"/>
      <c r="N22" s="11">
        <f t="shared" si="1"/>
        <v>0</v>
      </c>
    </row>
    <row r="23" spans="1:14" x14ac:dyDescent="0.2">
      <c r="A23" s="2">
        <v>45312</v>
      </c>
      <c r="B23" s="8"/>
      <c r="C23" s="9"/>
      <c r="D23" s="11"/>
      <c r="E23" s="3"/>
      <c r="F23" s="2">
        <v>45343</v>
      </c>
      <c r="G23" s="8"/>
      <c r="H23" s="9"/>
      <c r="I23" s="11">
        <f t="shared" si="0"/>
        <v>0</v>
      </c>
      <c r="K23" s="2">
        <v>45372</v>
      </c>
      <c r="L23" s="8"/>
      <c r="M23" s="9"/>
      <c r="N23" s="11">
        <f t="shared" si="1"/>
        <v>0</v>
      </c>
    </row>
    <row r="24" spans="1:14" x14ac:dyDescent="0.2">
      <c r="A24" s="2">
        <v>45313</v>
      </c>
      <c r="B24" s="8"/>
      <c r="C24" s="9"/>
      <c r="D24" s="11"/>
      <c r="E24" s="3"/>
      <c r="F24" s="2">
        <v>45344</v>
      </c>
      <c r="G24" s="8"/>
      <c r="H24" s="9"/>
      <c r="I24" s="11">
        <f t="shared" si="0"/>
        <v>0</v>
      </c>
      <c r="K24" s="2">
        <v>45373</v>
      </c>
      <c r="L24" s="8"/>
      <c r="M24" s="9"/>
      <c r="N24" s="11">
        <f t="shared" si="1"/>
        <v>0</v>
      </c>
    </row>
    <row r="25" spans="1:14" x14ac:dyDescent="0.2">
      <c r="A25" s="2">
        <v>45314</v>
      </c>
      <c r="B25" s="8"/>
      <c r="C25" s="9"/>
      <c r="D25" s="11"/>
      <c r="E25" s="3"/>
      <c r="F25" s="2">
        <v>45345</v>
      </c>
      <c r="G25" s="8"/>
      <c r="H25" s="9"/>
      <c r="I25" s="11">
        <f t="shared" si="0"/>
        <v>0</v>
      </c>
      <c r="K25" s="2">
        <v>45374</v>
      </c>
      <c r="L25" s="8"/>
      <c r="M25" s="9"/>
      <c r="N25" s="11">
        <f t="shared" si="1"/>
        <v>0</v>
      </c>
    </row>
    <row r="26" spans="1:14" x14ac:dyDescent="0.2">
      <c r="A26" s="2">
        <v>45315</v>
      </c>
      <c r="B26" s="8"/>
      <c r="C26" s="9"/>
      <c r="D26" s="11"/>
      <c r="E26" s="3"/>
      <c r="F26" s="2">
        <v>45346</v>
      </c>
      <c r="G26" s="8"/>
      <c r="H26" s="9"/>
      <c r="I26" s="11">
        <f t="shared" si="0"/>
        <v>0</v>
      </c>
      <c r="K26" s="2">
        <v>45375</v>
      </c>
      <c r="L26" s="8"/>
      <c r="M26" s="9"/>
      <c r="N26" s="11">
        <f t="shared" si="1"/>
        <v>0</v>
      </c>
    </row>
    <row r="27" spans="1:14" x14ac:dyDescent="0.2">
      <c r="A27" s="2">
        <v>45316</v>
      </c>
      <c r="B27" s="8"/>
      <c r="C27" s="9"/>
      <c r="D27" s="11"/>
      <c r="E27" s="3"/>
      <c r="F27" s="2">
        <v>45347</v>
      </c>
      <c r="G27" s="8"/>
      <c r="H27" s="9"/>
      <c r="I27" s="11">
        <f t="shared" si="0"/>
        <v>0</v>
      </c>
      <c r="K27" s="2">
        <v>45376</v>
      </c>
      <c r="L27" s="8"/>
      <c r="M27" s="9"/>
      <c r="N27" s="11">
        <f t="shared" si="1"/>
        <v>0</v>
      </c>
    </row>
    <row r="28" spans="1:14" x14ac:dyDescent="0.2">
      <c r="A28" s="2">
        <v>45317</v>
      </c>
      <c r="B28" s="8"/>
      <c r="C28" s="9"/>
      <c r="D28" s="11"/>
      <c r="E28" s="3"/>
      <c r="F28" s="2">
        <v>45348</v>
      </c>
      <c r="G28" s="8"/>
      <c r="H28" s="9"/>
      <c r="I28" s="11">
        <f t="shared" si="0"/>
        <v>0</v>
      </c>
      <c r="K28" s="2">
        <v>45377</v>
      </c>
      <c r="L28" s="8"/>
      <c r="M28" s="9"/>
      <c r="N28" s="11">
        <f t="shared" si="1"/>
        <v>0</v>
      </c>
    </row>
    <row r="29" spans="1:14" x14ac:dyDescent="0.2">
      <c r="A29" s="2">
        <v>45318</v>
      </c>
      <c r="B29" s="8"/>
      <c r="C29" s="9"/>
      <c r="D29" s="11"/>
      <c r="E29" s="3"/>
      <c r="F29" s="2">
        <v>45349</v>
      </c>
      <c r="G29" s="8"/>
      <c r="H29" s="9"/>
      <c r="I29" s="11">
        <f t="shared" si="0"/>
        <v>0</v>
      </c>
      <c r="K29" s="2">
        <v>45378</v>
      </c>
      <c r="L29" s="8"/>
      <c r="M29" s="9"/>
      <c r="N29" s="11">
        <f t="shared" si="1"/>
        <v>0</v>
      </c>
    </row>
    <row r="30" spans="1:14" x14ac:dyDescent="0.2">
      <c r="A30" s="2">
        <v>45319</v>
      </c>
      <c r="B30" s="8"/>
      <c r="C30" s="9"/>
      <c r="D30" s="11"/>
      <c r="E30" s="3"/>
      <c r="F30" s="2">
        <v>45350</v>
      </c>
      <c r="G30" s="8"/>
      <c r="H30" s="9"/>
      <c r="I30" s="11">
        <f t="shared" si="0"/>
        <v>0</v>
      </c>
      <c r="K30" s="2">
        <v>45379</v>
      </c>
      <c r="L30" s="8"/>
      <c r="M30" s="9"/>
      <c r="N30" s="11">
        <f t="shared" si="1"/>
        <v>0</v>
      </c>
    </row>
    <row r="31" spans="1:14" x14ac:dyDescent="0.2">
      <c r="A31" s="2">
        <v>45320</v>
      </c>
      <c r="B31" s="8"/>
      <c r="C31" s="9"/>
      <c r="D31" s="11"/>
      <c r="E31" s="3"/>
      <c r="F31" s="2">
        <v>45351</v>
      </c>
      <c r="G31" s="8"/>
      <c r="H31" s="9"/>
      <c r="I31" s="11">
        <f t="shared" si="0"/>
        <v>0</v>
      </c>
      <c r="K31" s="2">
        <v>45380</v>
      </c>
      <c r="L31" s="8"/>
      <c r="M31" s="9"/>
      <c r="N31" s="11">
        <f t="shared" si="1"/>
        <v>0</v>
      </c>
    </row>
    <row r="32" spans="1:14" x14ac:dyDescent="0.2">
      <c r="A32" s="2">
        <v>45321</v>
      </c>
      <c r="B32" s="8"/>
      <c r="C32" s="9"/>
      <c r="D32" s="11"/>
      <c r="E32" s="3"/>
      <c r="F32" s="2" t="s">
        <v>29</v>
      </c>
      <c r="G32" s="8">
        <f>SUM(G3:G31)</f>
        <v>5550</v>
      </c>
      <c r="H32" s="9">
        <f>SUM(H3:H31)</f>
        <v>11115</v>
      </c>
      <c r="I32" s="11">
        <f t="shared" si="0"/>
        <v>5565</v>
      </c>
      <c r="K32" s="2">
        <v>45381</v>
      </c>
      <c r="L32" s="8"/>
      <c r="M32" s="9"/>
      <c r="N32" s="11">
        <f t="shared" ref="N32:N34" si="2">M32-L32</f>
        <v>0</v>
      </c>
    </row>
    <row r="33" spans="1:14" x14ac:dyDescent="0.2">
      <c r="A33" s="2">
        <v>45322</v>
      </c>
      <c r="B33" s="8"/>
      <c r="C33" s="9"/>
      <c r="D33" s="11"/>
      <c r="E33" s="3"/>
      <c r="K33" s="2">
        <v>45382</v>
      </c>
      <c r="L33" s="8"/>
      <c r="M33" s="9"/>
      <c r="N33" s="11">
        <f t="shared" si="2"/>
        <v>0</v>
      </c>
    </row>
    <row r="34" spans="1:14" x14ac:dyDescent="0.2">
      <c r="A34" s="1" t="s">
        <v>29</v>
      </c>
      <c r="B34" s="8"/>
      <c r="C34" s="9"/>
      <c r="D34" s="11"/>
      <c r="E34" s="3"/>
      <c r="K34" s="1" t="s">
        <v>29</v>
      </c>
      <c r="L34" s="8">
        <f>SUM(L3:L33)</f>
        <v>0</v>
      </c>
      <c r="M34" s="9">
        <f>SUM(M3:M33)</f>
        <v>0</v>
      </c>
      <c r="N34" s="11">
        <f t="shared" si="2"/>
        <v>0</v>
      </c>
    </row>
  </sheetData>
  <mergeCells count="3">
    <mergeCell ref="A1:D1"/>
    <mergeCell ref="F1:I1"/>
    <mergeCell ref="K1:N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XFC25"/>
  <sheetViews>
    <sheetView topLeftCell="A7" zoomScale="125" workbookViewId="0">
      <selection activeCell="B22" sqref="B22:D25"/>
    </sheetView>
  </sheetViews>
  <sheetFormatPr baseColWidth="10" defaultColWidth="0" defaultRowHeight="16" zeroHeight="1" x14ac:dyDescent="0.2"/>
  <cols>
    <col min="1" max="1" width="18.1640625" style="39" customWidth="1"/>
    <col min="2" max="2" width="19.5" style="14" customWidth="1"/>
    <col min="3" max="3" width="15" style="14" customWidth="1"/>
    <col min="4" max="4" width="24" style="40" customWidth="1"/>
    <col min="5" max="5" width="10.83203125" style="14" hidden="1"/>
    <col min="6" max="6" width="0" style="14" hidden="1"/>
    <col min="7" max="16383" width="10.83203125" style="14" hidden="1"/>
    <col min="16384" max="16384" width="3.6640625" style="14" hidden="1" customWidth="1"/>
  </cols>
  <sheetData>
    <row r="1" spans="1:5" x14ac:dyDescent="0.2">
      <c r="A1" s="74" t="s">
        <v>14</v>
      </c>
      <c r="B1" s="75"/>
      <c r="C1" s="75"/>
      <c r="D1" s="76"/>
      <c r="E1" s="38"/>
    </row>
    <row r="2" spans="1:5" x14ac:dyDescent="0.2">
      <c r="A2" s="77"/>
      <c r="B2" s="78"/>
      <c r="C2" s="78"/>
      <c r="D2" s="79"/>
      <c r="E2" s="38"/>
    </row>
    <row r="3" spans="1:5" x14ac:dyDescent="0.2">
      <c r="A3" s="80"/>
      <c r="B3" s="81"/>
      <c r="C3" s="81"/>
      <c r="D3" s="82"/>
      <c r="E3" s="38"/>
    </row>
    <row r="4" spans="1:5" x14ac:dyDescent="0.2"/>
    <row r="5" spans="1:5" x14ac:dyDescent="0.2"/>
    <row r="6" spans="1:5" ht="19" x14ac:dyDescent="0.2">
      <c r="A6" s="41" t="s">
        <v>13</v>
      </c>
      <c r="B6" s="72" t="str">
        <f>IFERROR(INDEX(Tablaproductos[], MATCH($B$8, Tablaproductos[DESCRIPCION], 0), 1), "")</f>
        <v>LRAZULGOTA</v>
      </c>
      <c r="C6" s="72"/>
      <c r="D6" s="73"/>
    </row>
    <row r="7" spans="1:5" x14ac:dyDescent="0.2"/>
    <row r="8" spans="1:5" ht="19" x14ac:dyDescent="0.2">
      <c r="A8" s="41" t="s">
        <v>3</v>
      </c>
      <c r="B8" s="70" t="s">
        <v>73</v>
      </c>
      <c r="C8" s="70"/>
      <c r="D8" s="71"/>
    </row>
    <row r="9" spans="1:5" x14ac:dyDescent="0.2"/>
    <row r="10" spans="1:5" ht="19" x14ac:dyDescent="0.2">
      <c r="A10" s="41" t="s">
        <v>7</v>
      </c>
      <c r="B10" s="68" t="s">
        <v>41</v>
      </c>
      <c r="C10" s="68"/>
      <c r="D10" s="69"/>
    </row>
    <row r="11" spans="1:5" x14ac:dyDescent="0.2"/>
    <row r="12" spans="1:5" ht="19" x14ac:dyDescent="0.2">
      <c r="A12" s="41" t="s">
        <v>10</v>
      </c>
      <c r="B12" s="68">
        <f>IFERROR(INDEX(Tablaproductos[], MATCH($B$8, Tablaproductos[DESCRIPCION], 0),11), "")</f>
        <v>0</v>
      </c>
      <c r="C12" s="68"/>
      <c r="D12" s="69"/>
    </row>
    <row r="13" spans="1:5" x14ac:dyDescent="0.2"/>
    <row r="14" spans="1:5" ht="19" x14ac:dyDescent="0.2">
      <c r="A14" s="41" t="s">
        <v>11</v>
      </c>
      <c r="B14" s="68">
        <f>IFERROR(INDEX(Tablaproductos[], MATCH($B$8, Tablaproductos[DESCRIPCION], 0), 12), "")</f>
        <v>0</v>
      </c>
      <c r="C14" s="68"/>
      <c r="D14" s="69"/>
    </row>
    <row r="15" spans="1:5" x14ac:dyDescent="0.2"/>
    <row r="16" spans="1:5" ht="19" x14ac:dyDescent="0.2">
      <c r="A16" s="41" t="s">
        <v>8</v>
      </c>
      <c r="B16" s="68" t="str">
        <f>IFERROR(INDEX(Tablaproductos[], MATCH($B$8, Tablaproductos[DESCRIPCION], 0), 9), "")</f>
        <v>Stock suficiente</v>
      </c>
      <c r="C16" s="68"/>
      <c r="D16" s="69"/>
    </row>
    <row r="17" spans="1:4" x14ac:dyDescent="0.2"/>
    <row r="18" spans="1:4" ht="19" x14ac:dyDescent="0.2">
      <c r="A18" s="41" t="s">
        <v>17</v>
      </c>
      <c r="B18" s="66">
        <f>IFERROR(INDEX(Tablaproductos[], MATCH($B$8, Tablaproductos[DESCRIPCION], 0), 13), "")</f>
        <v>0</v>
      </c>
      <c r="C18" s="66"/>
      <c r="D18" s="67"/>
    </row>
    <row r="19" spans="1:4" x14ac:dyDescent="0.2">
      <c r="B19" s="13"/>
      <c r="C19" s="13"/>
      <c r="D19" s="42"/>
    </row>
    <row r="20" spans="1:4" ht="19" x14ac:dyDescent="0.2">
      <c r="A20" s="41" t="s">
        <v>18</v>
      </c>
      <c r="B20" s="66">
        <f>IFERROR(INDEX(Tablaproductos[], MATCH($B$8, Tablaproductos[DESCRIPCION], 0), 14), "")</f>
        <v>0</v>
      </c>
      <c r="C20" s="66"/>
      <c r="D20" s="67"/>
    </row>
    <row r="21" spans="1:4" x14ac:dyDescent="0.2"/>
    <row r="22" spans="1:4" ht="19" x14ac:dyDescent="0.2">
      <c r="A22" s="41" t="s">
        <v>2</v>
      </c>
      <c r="B22" s="57" t="str">
        <f>IFERROR(INDEX(Tablaproductos[], MATCH($B$8, Tablaproductos[DESCRIPCION], 0), 3), "")</f>
        <v>*LRAZULGOTA*</v>
      </c>
      <c r="C22" s="58"/>
      <c r="D22" s="59"/>
    </row>
    <row r="23" spans="1:4" x14ac:dyDescent="0.2">
      <c r="B23" s="60"/>
      <c r="C23" s="61"/>
      <c r="D23" s="62"/>
    </row>
    <row r="24" spans="1:4" x14ac:dyDescent="0.2">
      <c r="B24" s="60"/>
      <c r="C24" s="61"/>
      <c r="D24" s="62"/>
    </row>
    <row r="25" spans="1:4" x14ac:dyDescent="0.2">
      <c r="B25" s="63"/>
      <c r="C25" s="64"/>
      <c r="D25" s="65"/>
    </row>
  </sheetData>
  <mergeCells count="10">
    <mergeCell ref="B12:D12"/>
    <mergeCell ref="B10:D10"/>
    <mergeCell ref="B8:D8"/>
    <mergeCell ref="B6:D6"/>
    <mergeCell ref="A1:D3"/>
    <mergeCell ref="B22:D25"/>
    <mergeCell ref="B18:D18"/>
    <mergeCell ref="B20:D20"/>
    <mergeCell ref="B16:D16"/>
    <mergeCell ref="B14:D14"/>
  </mergeCells>
  <dataValidations count="1">
    <dataValidation type="list" allowBlank="1" showInputMessage="1" showErrorMessage="1" sqref="B8:D8" xr:uid="{00000000-0002-0000-0400-000000000000}">
      <formula1>INDIRECT("DESC")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XFC25"/>
  <sheetViews>
    <sheetView topLeftCell="A4" zoomScale="125" workbookViewId="0">
      <selection activeCell="B6" sqref="B6:D6"/>
    </sheetView>
  </sheetViews>
  <sheetFormatPr baseColWidth="10" defaultColWidth="0" defaultRowHeight="16" zeroHeight="1" x14ac:dyDescent="0.2"/>
  <cols>
    <col min="1" max="1" width="17.5" style="14" bestFit="1" customWidth="1"/>
    <col min="2" max="2" width="19.6640625" style="14" customWidth="1"/>
    <col min="3" max="3" width="16.33203125" style="14" customWidth="1"/>
    <col min="4" max="4" width="22.5" style="14" customWidth="1"/>
    <col min="5" max="6" width="0" style="14" hidden="1"/>
    <col min="7" max="16383" width="10.83203125" style="14" hidden="1"/>
    <col min="16384" max="16384" width="7.6640625" style="14" hidden="1" customWidth="1"/>
  </cols>
  <sheetData>
    <row r="1" spans="1:5" x14ac:dyDescent="0.2">
      <c r="A1" s="74" t="s">
        <v>14</v>
      </c>
      <c r="B1" s="75"/>
      <c r="C1" s="75"/>
      <c r="D1" s="76"/>
      <c r="E1" s="38"/>
    </row>
    <row r="2" spans="1:5" x14ac:dyDescent="0.2">
      <c r="A2" s="77"/>
      <c r="B2" s="78"/>
      <c r="C2" s="78"/>
      <c r="D2" s="79"/>
      <c r="E2" s="38"/>
    </row>
    <row r="3" spans="1:5" x14ac:dyDescent="0.2">
      <c r="A3" s="80"/>
      <c r="B3" s="81"/>
      <c r="C3" s="81"/>
      <c r="D3" s="82"/>
      <c r="E3" s="38"/>
    </row>
    <row r="4" spans="1:5" x14ac:dyDescent="0.2">
      <c r="A4" s="39"/>
      <c r="D4" s="40"/>
    </row>
    <row r="5" spans="1:5" x14ac:dyDescent="0.2">
      <c r="A5" s="39"/>
      <c r="D5" s="40"/>
    </row>
    <row r="6" spans="1:5" ht="19" x14ac:dyDescent="0.2">
      <c r="A6" s="41" t="s">
        <v>13</v>
      </c>
      <c r="B6" s="86" t="s">
        <v>66</v>
      </c>
      <c r="C6" s="86"/>
      <c r="D6" s="87"/>
    </row>
    <row r="7" spans="1:5" x14ac:dyDescent="0.2">
      <c r="A7" s="39"/>
      <c r="D7" s="40"/>
    </row>
    <row r="8" spans="1:5" ht="19" x14ac:dyDescent="0.2">
      <c r="A8" s="41" t="s">
        <v>3</v>
      </c>
      <c r="B8" s="88" t="str">
        <f>IFERROR(INDEX(Tablaproductos[], MATCH($B$6, Tablaproductos[CODIGOS], 0), 4), "")</f>
        <v>BalsamoBlanco</v>
      </c>
      <c r="C8" s="88"/>
      <c r="D8" s="89"/>
    </row>
    <row r="9" spans="1:5" x14ac:dyDescent="0.2">
      <c r="A9" s="39"/>
      <c r="D9" s="40"/>
    </row>
    <row r="10" spans="1:5" ht="19" x14ac:dyDescent="0.2">
      <c r="A10" s="41" t="s">
        <v>7</v>
      </c>
      <c r="B10" s="68">
        <f>IFERROR(INDEX(Tablaproductos[], MATCH($B$6, Tablaproductos[CODIGOS], 0), 8), "")</f>
        <v>1</v>
      </c>
      <c r="C10" s="68"/>
      <c r="D10" s="69"/>
    </row>
    <row r="11" spans="1:5" x14ac:dyDescent="0.2">
      <c r="A11" s="39"/>
      <c r="D11" s="40"/>
    </row>
    <row r="12" spans="1:5" ht="19" x14ac:dyDescent="0.2">
      <c r="A12" s="41" t="s">
        <v>10</v>
      </c>
      <c r="B12" s="68">
        <f>IFERROR(INDEX(Tablaproductos[], MATCH($B$6, Tablaproductos[CODIGOS], 0),11), "")</f>
        <v>0</v>
      </c>
      <c r="C12" s="68"/>
      <c r="D12" s="69"/>
    </row>
    <row r="13" spans="1:5" x14ac:dyDescent="0.2">
      <c r="A13" s="39"/>
      <c r="D13" s="40"/>
    </row>
    <row r="14" spans="1:5" ht="19" x14ac:dyDescent="0.2">
      <c r="A14" s="41" t="s">
        <v>11</v>
      </c>
      <c r="B14" s="68">
        <f>IFERROR(INDEX(Tablaproductos[], MATCH($B$6, Tablaproductos[CODIGOS], 0), 12), "")</f>
        <v>0</v>
      </c>
      <c r="C14" s="68"/>
      <c r="D14" s="69"/>
    </row>
    <row r="15" spans="1:5" x14ac:dyDescent="0.2">
      <c r="A15" s="39"/>
      <c r="D15" s="40"/>
    </row>
    <row r="16" spans="1:5" ht="19" x14ac:dyDescent="0.2">
      <c r="A16" s="41" t="s">
        <v>8</v>
      </c>
      <c r="B16" s="68" t="str">
        <f>IFERROR(INDEX(Tablaproductos[], MATCH($B$6, Tablaproductos[CODIGOS], 0), 9), "")</f>
        <v>Stock suficiente</v>
      </c>
      <c r="C16" s="68"/>
      <c r="D16" s="69"/>
    </row>
    <row r="17" spans="1:4" x14ac:dyDescent="0.2">
      <c r="A17" s="39"/>
      <c r="D17" s="40"/>
    </row>
    <row r="18" spans="1:4" ht="19" x14ac:dyDescent="0.2">
      <c r="A18" s="41" t="s">
        <v>17</v>
      </c>
      <c r="B18" s="66">
        <f>IFERROR(INDEX(Tablaproductos[], MATCH($B$6, Tablaproductos[CODIGOS], 0), 13), "")</f>
        <v>0</v>
      </c>
      <c r="C18" s="66"/>
      <c r="D18" s="67"/>
    </row>
    <row r="19" spans="1:4" x14ac:dyDescent="0.2">
      <c r="A19" s="39"/>
      <c r="B19" s="13"/>
      <c r="C19" s="13"/>
      <c r="D19" s="42"/>
    </row>
    <row r="20" spans="1:4" ht="19" x14ac:dyDescent="0.2">
      <c r="A20" s="41" t="s">
        <v>18</v>
      </c>
      <c r="B20" s="66">
        <f>IFERROR(INDEX(Tablaproductos[], MATCH($B$6, Tablaproductos[CODIGOS], 0), 14), "")</f>
        <v>0</v>
      </c>
      <c r="C20" s="66"/>
      <c r="D20" s="67"/>
    </row>
    <row r="21" spans="1:4" x14ac:dyDescent="0.2">
      <c r="A21" s="39"/>
      <c r="D21" s="40"/>
    </row>
    <row r="22" spans="1:4" ht="19" x14ac:dyDescent="0.2">
      <c r="A22" s="41" t="s">
        <v>2</v>
      </c>
      <c r="B22" s="57" t="str">
        <f>IFERROR(INDEX(Tablaproductos[], MATCH($B$6, Tablaproductos[CODIGOS], 0), 3), "")</f>
        <v>*LRBALSAMOBLANCO*</v>
      </c>
      <c r="C22" s="58"/>
      <c r="D22" s="59"/>
    </row>
    <row r="23" spans="1:4" x14ac:dyDescent="0.2">
      <c r="A23" s="39"/>
      <c r="B23" s="60"/>
      <c r="C23" s="61"/>
      <c r="D23" s="62"/>
    </row>
    <row r="24" spans="1:4" x14ac:dyDescent="0.2">
      <c r="A24" s="39"/>
      <c r="B24" s="60"/>
      <c r="C24" s="61"/>
      <c r="D24" s="62"/>
    </row>
    <row r="25" spans="1:4" ht="17" thickBot="1" x14ac:dyDescent="0.25">
      <c r="A25" s="43"/>
      <c r="B25" s="83"/>
      <c r="C25" s="84"/>
      <c r="D25" s="85"/>
    </row>
  </sheetData>
  <mergeCells count="10">
    <mergeCell ref="A1:D3"/>
    <mergeCell ref="B16:D16"/>
    <mergeCell ref="B18:D18"/>
    <mergeCell ref="B20:D20"/>
    <mergeCell ref="B22:D25"/>
    <mergeCell ref="B6:D6"/>
    <mergeCell ref="B8:D8"/>
    <mergeCell ref="B10:D10"/>
    <mergeCell ref="B12:D12"/>
    <mergeCell ref="B14:D14"/>
  </mergeCells>
  <dataValidations count="1">
    <dataValidation type="list" allowBlank="1" showInputMessage="1" showErrorMessage="1" sqref="B6:D6" xr:uid="{00000000-0002-0000-0500-000000000000}">
      <formula1>INDIRECT("CODI")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Productos</vt:lpstr>
      <vt:lpstr>Compras</vt:lpstr>
      <vt:lpstr>Ventas</vt:lpstr>
      <vt:lpstr>Calendario </vt:lpstr>
      <vt:lpstr>Resultado por nombre</vt:lpstr>
      <vt:lpstr>Resultado por codigo</vt:lpstr>
      <vt:lpstr>'Resultado por codigo'!CODI</vt:lpstr>
      <vt:lpstr>CODI</vt:lpstr>
      <vt:lpstr>'Resultado por codigo'!DESC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DUDLEY CASTELLANOS NIETO</dc:creator>
  <cp:lastModifiedBy>CESAR DUDLEY CASTELLANOS NIETO</cp:lastModifiedBy>
  <dcterms:created xsi:type="dcterms:W3CDTF">2024-01-23T03:46:08Z</dcterms:created>
  <dcterms:modified xsi:type="dcterms:W3CDTF">2024-02-06T17:13:02Z</dcterms:modified>
</cp:coreProperties>
</file>