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compartida\e\Desktop\CHRISTIAN\ANALISIS FINANCIERO\REPORTE MENSUAL\2021\"/>
    </mc:Choice>
  </mc:AlternateContent>
  <xr:revisionPtr revIDLastSave="0" documentId="8_{046E3DF5-A7A4-4D50-B8E1-D3064CE6296C}" xr6:coauthVersionLast="47" xr6:coauthVersionMax="47" xr10:uidLastSave="{00000000-0000-0000-0000-000000000000}"/>
  <bookViews>
    <workbookView xWindow="-20610" yWindow="-120" windowWidth="20730" windowHeight="11160" tabRatio="769" xr2:uid="{00000000-000D-0000-FFFF-FFFF00000000}"/>
  </bookViews>
  <sheets>
    <sheet name="MAPEO" sheetId="2" r:id="rId1"/>
    <sheet name="Presupuesto " sheetId="1" r:id="rId2"/>
    <sheet name="Conciliacion Tributaria" sheetId="3" r:id="rId3"/>
    <sheet name="Inversion" sheetId="5" r:id="rId4"/>
    <sheet name="Gasto no Deducible" sheetId="4" r:id="rId5"/>
    <sheet name="SOLICITUD" sheetId="7" r:id="rId6"/>
    <sheet name="RECOMENDACIONES" sheetId="8" r:id="rId7"/>
    <sheet name="ING Jose Orbea" sheetId="9" r:id="rId8"/>
    <sheet name="Sra Pilar Arellano" sheetId="10" r:id="rId9"/>
    <sheet name="Sr. Raul Orbea" sheetId="11" r:id="rId10"/>
    <sheet name="SR. Jose Xavier Orbea" sheetId="12" r:id="rId11"/>
    <sheet name="Facturitas JOV" sheetId="13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7" i="4" l="1"/>
  <c r="H57" i="4"/>
  <c r="O25" i="1"/>
  <c r="N35" i="1"/>
  <c r="I52" i="4" l="1"/>
  <c r="I55" i="4" s="1"/>
  <c r="I56" i="4" s="1"/>
  <c r="I58" i="4" s="1"/>
  <c r="I4" i="13" l="1"/>
  <c r="F14" i="13"/>
  <c r="C5" i="13"/>
  <c r="I5" i="13"/>
  <c r="I6" i="13"/>
  <c r="E8" i="12"/>
  <c r="E9" i="12" s="1"/>
  <c r="E11" i="12" s="1"/>
  <c r="E16" i="13" l="1"/>
  <c r="E8" i="11"/>
  <c r="E9" i="11" s="1"/>
  <c r="E11" i="11" s="1"/>
  <c r="E11" i="10"/>
  <c r="E9" i="10"/>
  <c r="E13" i="10"/>
  <c r="E10" i="10"/>
  <c r="E12" i="10" s="1"/>
  <c r="E12" i="9"/>
  <c r="E10" i="9"/>
  <c r="E8" i="9"/>
  <c r="E9" i="9" s="1"/>
  <c r="E11" i="9" l="1"/>
  <c r="F9" i="5" l="1"/>
  <c r="E9" i="5"/>
  <c r="L13" i="5"/>
  <c r="K13" i="5"/>
  <c r="M12" i="5"/>
  <c r="M11" i="5"/>
  <c r="M10" i="5"/>
  <c r="M9" i="5"/>
  <c r="M8" i="5"/>
  <c r="G8" i="5"/>
  <c r="M7" i="5"/>
  <c r="G7" i="5"/>
  <c r="M13" i="5" l="1"/>
  <c r="D11" i="5"/>
  <c r="D13" i="5" s="1"/>
  <c r="G9" i="5"/>
  <c r="E42" i="3" l="1"/>
  <c r="I15" i="4"/>
  <c r="E6" i="4"/>
  <c r="J40" i="4"/>
  <c r="M7" i="4"/>
  <c r="M6" i="4"/>
  <c r="M8" i="4" s="1"/>
  <c r="D7" i="4" s="1"/>
  <c r="F63" i="3"/>
  <c r="D42" i="3"/>
  <c r="D8" i="4" l="1"/>
  <c r="E8" i="4" s="1"/>
  <c r="E7" i="4"/>
  <c r="N9" i="1" l="1"/>
  <c r="N10" i="1"/>
  <c r="N11" i="1"/>
  <c r="N12" i="1"/>
  <c r="N13" i="1"/>
  <c r="N14" i="1"/>
  <c r="N15" i="1"/>
  <c r="N16" i="1"/>
  <c r="N8" i="1"/>
  <c r="M17" i="1"/>
  <c r="L17" i="1"/>
  <c r="K17" i="1"/>
  <c r="J17" i="1"/>
  <c r="I17" i="1"/>
  <c r="H17" i="1"/>
  <c r="G17" i="1"/>
  <c r="F17" i="1"/>
  <c r="E17" i="1"/>
  <c r="D17" i="1"/>
  <c r="C17" i="1"/>
  <c r="B17" i="1"/>
  <c r="B22" i="1" s="1"/>
  <c r="G22" i="1" l="1"/>
  <c r="G23" i="1" s="1"/>
  <c r="G25" i="1" s="1"/>
  <c r="G27" i="1" s="1"/>
  <c r="G29" i="1" s="1"/>
  <c r="I22" i="1"/>
  <c r="I23" i="1" s="1"/>
  <c r="I25" i="1" s="1"/>
  <c r="H22" i="1"/>
  <c r="H23" i="1" s="1"/>
  <c r="H25" i="1" s="1"/>
  <c r="H27" i="1" s="1"/>
  <c r="H29" i="1" s="1"/>
  <c r="C22" i="1"/>
  <c r="N22" i="1" s="1"/>
  <c r="F7" i="3" s="1"/>
  <c r="E8" i="3" s="1"/>
  <c r="F11" i="3" s="1"/>
  <c r="F14" i="3" s="1"/>
  <c r="F15" i="3" s="1"/>
  <c r="K22" i="1"/>
  <c r="K23" i="1" s="1"/>
  <c r="K25" i="1" s="1"/>
  <c r="D22" i="1"/>
  <c r="D23" i="1" s="1"/>
  <c r="D25" i="1" s="1"/>
  <c r="D27" i="1" s="1"/>
  <c r="D29" i="1" s="1"/>
  <c r="L22" i="1"/>
  <c r="L23" i="1" s="1"/>
  <c r="L25" i="1" s="1"/>
  <c r="E22" i="1"/>
  <c r="E23" i="1" s="1"/>
  <c r="E25" i="1" s="1"/>
  <c r="E27" i="1" s="1"/>
  <c r="E29" i="1" s="1"/>
  <c r="M22" i="1"/>
  <c r="M23" i="1" s="1"/>
  <c r="M25" i="1" s="1"/>
  <c r="M27" i="1" s="1"/>
  <c r="M29" i="1" s="1"/>
  <c r="J22" i="1"/>
  <c r="J23" i="1" s="1"/>
  <c r="J25" i="1" s="1"/>
  <c r="J27" i="1" s="1"/>
  <c r="J29" i="1" s="1"/>
  <c r="J31" i="1" s="1"/>
  <c r="F22" i="1"/>
  <c r="F23" i="1" s="1"/>
  <c r="F25" i="1" s="1"/>
  <c r="F27" i="1" s="1"/>
  <c r="F29" i="1" s="1"/>
  <c r="N17" i="1"/>
  <c r="F4" i="3" s="1"/>
  <c r="F50" i="3" s="1"/>
  <c r="B23" i="1"/>
  <c r="B25" i="1" s="1"/>
  <c r="B27" i="1" s="1"/>
  <c r="K27" i="1" l="1"/>
  <c r="K29" i="1"/>
  <c r="I27" i="1"/>
  <c r="I29" i="1"/>
  <c r="I31" i="1" s="1"/>
  <c r="I33" i="1" s="1"/>
  <c r="L27" i="1"/>
  <c r="L29" i="1"/>
  <c r="L31" i="1" s="1"/>
  <c r="L33" i="1" s="1"/>
  <c r="C23" i="1"/>
  <c r="C25" i="1" s="1"/>
  <c r="C27" i="1" s="1"/>
  <c r="C29" i="1" s="1"/>
  <c r="C31" i="1" s="1"/>
  <c r="C33" i="1" s="1"/>
  <c r="J33" i="1"/>
  <c r="H31" i="1"/>
  <c r="H33" i="1" s="1"/>
  <c r="E31" i="1"/>
  <c r="E33" i="1" s="1"/>
  <c r="M31" i="1"/>
  <c r="M33" i="1" s="1"/>
  <c r="G31" i="1"/>
  <c r="G33" i="1" s="1"/>
  <c r="F31" i="1"/>
  <c r="F33" i="1" s="1"/>
  <c r="D31" i="1"/>
  <c r="D33" i="1" s="1"/>
  <c r="K31" i="1"/>
  <c r="K33" i="1" s="1"/>
  <c r="N23" i="1" l="1"/>
  <c r="N27" i="1"/>
  <c r="N25" i="1"/>
  <c r="B29" i="1"/>
  <c r="B31" i="1" l="1"/>
  <c r="B33" i="1" s="1"/>
  <c r="N29" i="1"/>
  <c r="N31" i="1" l="1"/>
  <c r="N33" i="1"/>
  <c r="D10" i="4"/>
  <c r="F18" i="3" s="1"/>
  <c r="F44" i="3" s="1"/>
  <c r="E9" i="4"/>
  <c r="E10" i="4" s="1"/>
  <c r="H44" i="3" l="1"/>
  <c r="I16" i="4"/>
  <c r="I18" i="4" s="1"/>
  <c r="I19" i="4" s="1"/>
  <c r="F45" i="3"/>
  <c r="F59" i="3" s="1"/>
  <c r="F62" i="3" s="1"/>
  <c r="H20" i="4" l="1"/>
  <c r="I2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Leonardo Arias</author>
    <author>Carlos Gurumendi</author>
  </authors>
  <commentList>
    <comment ref="F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Según estado de Resultados</t>
        </r>
      </text>
    </comment>
    <comment ref="F7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Según estado de Resultados</t>
        </r>
      </text>
    </comment>
    <comment ref="F11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Según estado de Resultados</t>
        </r>
      </text>
    </comment>
    <comment ref="F14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Según estado de Resultados</t>
        </r>
      </text>
    </comment>
    <comment ref="F18" authorId="1" shapeId="0" xr:uid="{00000000-0006-0000-0200-000005000000}">
      <text>
        <r>
          <rPr>
            <b/>
            <sz val="9"/>
            <color indexed="81"/>
            <rFont val="Tahoma"/>
            <family val="2"/>
          </rPr>
          <t>Carlos Gurumendi:</t>
        </r>
        <r>
          <rPr>
            <sz val="9"/>
            <color indexed="81"/>
            <rFont val="Tahoma"/>
            <family val="2"/>
          </rPr>
          <t xml:space="preserve">
GND del mayor mas GND de las relacionadas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Carlos Gurumendi</author>
  </authors>
  <commentList>
    <comment ref="D6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Carlos Gurumendi:</t>
        </r>
        <r>
          <rPr>
            <sz val="9"/>
            <color indexed="81"/>
            <rFont val="Tahoma"/>
            <family val="2"/>
          </rPr>
          <t xml:space="preserve">
34500 Contribucion solidaria </t>
        </r>
      </text>
    </comment>
  </commentList>
</comments>
</file>

<file path=xl/sharedStrings.xml><?xml version="1.0" encoding="utf-8"?>
<sst xmlns="http://schemas.openxmlformats.org/spreadsheetml/2006/main" count="279" uniqueCount="224">
  <si>
    <t>Grupo Orbea 2020</t>
  </si>
  <si>
    <t>Planificacion Tributaria 2021</t>
  </si>
  <si>
    <t>LINEA</t>
  </si>
  <si>
    <t>ENERO REAL</t>
  </si>
  <si>
    <t>FEBRERO REAL</t>
  </si>
  <si>
    <t>MARZO REAL</t>
  </si>
  <si>
    <t>ABRIL REAL</t>
  </si>
  <si>
    <t>MAYO</t>
  </si>
  <si>
    <t>JUNIO</t>
  </si>
  <si>
    <t>EXPALSA</t>
  </si>
  <si>
    <t>CAMARON</t>
  </si>
  <si>
    <t>EXPORTACION</t>
  </si>
  <si>
    <t>ETIQUETAS</t>
  </si>
  <si>
    <t>CORRUGADO                            </t>
  </si>
  <si>
    <t>CANASTILLA</t>
  </si>
  <si>
    <t>CAJAS                                </t>
  </si>
  <si>
    <t>CONGELADOS</t>
  </si>
  <si>
    <t>OTROS</t>
  </si>
  <si>
    <t> TOTAL</t>
  </si>
  <si>
    <t>JULIO</t>
  </si>
  <si>
    <t>AGOSTO</t>
  </si>
  <si>
    <t>SEPTIEMBRE</t>
  </si>
  <si>
    <t>OCTUBRE</t>
  </si>
  <si>
    <t>NOVIEMBRE</t>
  </si>
  <si>
    <t>DICIEMBRE</t>
  </si>
  <si>
    <t>TOTAL</t>
  </si>
  <si>
    <t>Presupuesto de Ventas 2021</t>
  </si>
  <si>
    <t>Presupuesto de Compras 2021</t>
  </si>
  <si>
    <t>Total</t>
  </si>
  <si>
    <t>Utilidad Gravable</t>
  </si>
  <si>
    <t>Utilidad Antes de IR</t>
  </si>
  <si>
    <t>15% Participacion de Trabajadores</t>
  </si>
  <si>
    <t>25% de IR</t>
  </si>
  <si>
    <t>Utilidad del Ejercicio</t>
  </si>
  <si>
    <t>Obligaciones Tributaria 2021</t>
  </si>
  <si>
    <t>CONCILIACION TRIBUTARIA 2020</t>
  </si>
  <si>
    <t>Ingresos gravados</t>
  </si>
  <si>
    <t>Costos y Gastos Gravados</t>
  </si>
  <si>
    <t>Costos y Gastos contabilizados</t>
  </si>
  <si>
    <t>Rubro adicional 1</t>
  </si>
  <si>
    <t>Rubro adicional 2</t>
  </si>
  <si>
    <t>Rubro adicional 3</t>
  </si>
  <si>
    <t>Total Costos y Gastos Gravados</t>
  </si>
  <si>
    <t>Participación Trabajadores</t>
  </si>
  <si>
    <t>(-) Dividendos exentos y efectos por método de participación (valor patrimonial proporcional)</t>
  </si>
  <si>
    <t>(-) Otras rentas exentas e ingresos no objeto de Impuesto a la Renta</t>
  </si>
  <si>
    <t>(+) Gastos no deducibles locales</t>
  </si>
  <si>
    <t>(Ver Anexo)</t>
  </si>
  <si>
    <t>(+) Gastos no deducibles del exterior</t>
  </si>
  <si>
    <t>(+) Gastos incurridos para generar ingresos exentos y gastos atribuidos a ingresos no objeto de Impuesto a la Renta</t>
  </si>
  <si>
    <t>(+) Participación trabajadores atribuible a ingresos exentos y no objeto de impuesto a la renta</t>
  </si>
  <si>
    <t>(-) Deducciones adicionales</t>
  </si>
  <si>
    <t>(+) Ajuste por precios de transferencia</t>
  </si>
  <si>
    <t>(-) Ingresos sujetos a Impuesto a la Renta Unico</t>
  </si>
  <si>
    <t>(+) Costos y gastos deducibles incurridos para generar ingresos sujetos a impuesto a la renta único</t>
  </si>
  <si>
    <t>Por valor neto realizable de inventarios</t>
  </si>
  <si>
    <t>Por provisiones para desahucio pensiones jubilares patronales</t>
  </si>
  <si>
    <t>Por costos estimados de desmantelamiento</t>
  </si>
  <si>
    <t>Por deterioros del valor de propiedades, planta y equipo</t>
  </si>
  <si>
    <t>Por provisiones (diferentes de cuentas incobrables, desmantelamiento, desahucio y jubilación patronal)</t>
  </si>
  <si>
    <t>(+/-) 824</t>
  </si>
  <si>
    <t>Por contratos de construcción</t>
  </si>
  <si>
    <t>Por mediciones de activos no corrientes mantenidos para la venta</t>
  </si>
  <si>
    <t>POR MEDICIONES DE ACTIVOS BIOLÓGICOS AL VALOR RAZONABLE MENOS COSTO DE VENTA</t>
  </si>
  <si>
    <t>Ingresos</t>
  </si>
  <si>
    <t>Pérdidas, costos y gastos</t>
  </si>
  <si>
    <t>Amortización pérdidas tributarias de años anteriores</t>
  </si>
  <si>
    <t>(+/-) 834</t>
  </si>
  <si>
    <t>Por otras diferencias temporarias</t>
  </si>
  <si>
    <t>¿Es una empresa existente con nuevas inversiones productivas que genera empleo neto y debe aplicar la proporcionalidad del Impuesto a la Renta?</t>
  </si>
  <si>
    <t>si</t>
  </si>
  <si>
    <t>Porcentaje de reducción de tarifa aplicable en el caso de empresas existentes con nuevas inversiones productivas que genera empleo neto</t>
  </si>
  <si>
    <t>Total Impuesto Causado</t>
  </si>
  <si>
    <t>Saldo del anticipo pendiente de pago (traslade campo 876 declaración período anterior)</t>
  </si>
  <si>
    <t>Anticipo determinado correspondiente al ejercicio fiscal declarado (traslade campo 879 declaración período anterior)</t>
  </si>
  <si>
    <t>(+) Saldo del anticipo pendiente de pago</t>
  </si>
  <si>
    <t>(-) Retenciones en la fuente que le realizaron en el ejercicio fiscal</t>
  </si>
  <si>
    <t>(Ver anexo)</t>
  </si>
  <si>
    <t>(-) Retenciones por dividendos anticipados</t>
  </si>
  <si>
    <t>(-) Anticipo de impuesto a la renta pagado por espectáculos públicos</t>
  </si>
  <si>
    <t>(-) Crédito tributario de años anteriores</t>
  </si>
  <si>
    <t>(-) CRÉDITO TRIBUTARIO GENERADO POR IMPUESTO A LA SALIDA DE DIVISAS</t>
  </si>
  <si>
    <t>Generado en el ejercicio fiscal declarado</t>
  </si>
  <si>
    <t>Generado en ejercicios fiscales anteriores</t>
  </si>
  <si>
    <t>Subtotal impuesto a pagar</t>
  </si>
  <si>
    <t>Subtotal saldo a favor</t>
  </si>
  <si>
    <t>Impuesto a la Renta a pagar</t>
  </si>
  <si>
    <t>Saldo a favor contribuyente</t>
  </si>
  <si>
    <t>Detalle</t>
  </si>
  <si>
    <t>Valor</t>
  </si>
  <si>
    <t xml:space="preserve">Vehiculos </t>
  </si>
  <si>
    <t>Total no Deducible</t>
  </si>
  <si>
    <t>Gasto no Deducible por Compra de Vehiculo</t>
  </si>
  <si>
    <t>Gasto no Deducible por Vehiculos</t>
  </si>
  <si>
    <t>Monto Maximo de Deduccion</t>
  </si>
  <si>
    <t>Toyota</t>
  </si>
  <si>
    <t>BMW</t>
  </si>
  <si>
    <t>Total GND de Vehiculos</t>
  </si>
  <si>
    <t>Gastos no Deducible Manufactura</t>
  </si>
  <si>
    <t>Gasto no Deducible Manufactura</t>
  </si>
  <si>
    <t xml:space="preserve">Enero </t>
  </si>
  <si>
    <t xml:space="preserve">Febrero </t>
  </si>
  <si>
    <t>Marzo</t>
  </si>
  <si>
    <t>Abril</t>
  </si>
  <si>
    <t xml:space="preserve">Mayo </t>
  </si>
  <si>
    <t>Junio</t>
  </si>
  <si>
    <t>Julio</t>
  </si>
  <si>
    <t>Agosto</t>
  </si>
  <si>
    <t>Septiembre</t>
  </si>
  <si>
    <t>Octubre</t>
  </si>
  <si>
    <t>Noviembre</t>
  </si>
  <si>
    <t>Diciembre</t>
  </si>
  <si>
    <t>Mes</t>
  </si>
  <si>
    <t>Total GND Manufactura</t>
  </si>
  <si>
    <t>25%IR</t>
  </si>
  <si>
    <t>Gasto no Deducibles Relacionadas</t>
  </si>
  <si>
    <t>Ing Jose Orbea</t>
  </si>
  <si>
    <t>AJV</t>
  </si>
  <si>
    <t>Base imponible</t>
  </si>
  <si>
    <t xml:space="preserve">Ingresos Excentos </t>
  </si>
  <si>
    <t>Base imponible Relacionada</t>
  </si>
  <si>
    <t>Limite</t>
  </si>
  <si>
    <t>(-) Credito por  ISD</t>
  </si>
  <si>
    <t>Datos</t>
  </si>
  <si>
    <t>Grupo</t>
  </si>
  <si>
    <t>Nombre</t>
  </si>
  <si>
    <t>Fecha</t>
  </si>
  <si>
    <t>Costo Activo</t>
  </si>
  <si>
    <t>Dep. Acum.</t>
  </si>
  <si>
    <t>Neto</t>
  </si>
  <si>
    <t>ngrupo</t>
  </si>
  <si>
    <t>costo activo</t>
  </si>
  <si>
    <t xml:space="preserve"> NETO</t>
  </si>
  <si>
    <t>MAQUINARIAS</t>
  </si>
  <si>
    <t>EDIFICIOS</t>
  </si>
  <si>
    <t>EQUIPO DE COMPUTACION</t>
  </si>
  <si>
    <t>Total general</t>
  </si>
  <si>
    <t>EQUIPO DE SEGURIDAD</t>
  </si>
  <si>
    <t>Inversión nueva / Total Activos</t>
  </si>
  <si>
    <t>MUEBLES Y ENSERES</t>
  </si>
  <si>
    <t>Tarifa vigente Impuesto a la Renta</t>
  </si>
  <si>
    <t>VEHICULO</t>
  </si>
  <si>
    <t>Puntos de reducción</t>
  </si>
  <si>
    <t>Grupo Orbea 2021</t>
  </si>
  <si>
    <t>Costos y Gastos</t>
  </si>
  <si>
    <t>PRESUPUESTO DE COMPRAS</t>
  </si>
  <si>
    <t>COMPRAS LOCALES</t>
  </si>
  <si>
    <t>IMPORTACIONES</t>
  </si>
  <si>
    <t>DETERMINAR</t>
  </si>
  <si>
    <t>AREA</t>
  </si>
  <si>
    <t>INFORMACION</t>
  </si>
  <si>
    <t>IVA CREDITO TRIBUTARIO, RETENCIONE AL IVA, RETENCIONES EN LA FUENTE</t>
  </si>
  <si>
    <t>IVA CREDITO TRIBUTARIO, RETENCION ISD</t>
  </si>
  <si>
    <t>ADQUISICION MAQUINARIAS</t>
  </si>
  <si>
    <t>DEDUCCION PORCENTAJE DE IMPUESTO A LA RENTA, MAXIMO HASTA EL 5%</t>
  </si>
  <si>
    <t>PERSONAL EVENTUAL</t>
  </si>
  <si>
    <t>LIQUIDACIONES DE COMPRA SERAN ELECTRONICAS DESDE EL 2021</t>
  </si>
  <si>
    <t>SUSTENTAR GASTO</t>
  </si>
  <si>
    <t>DE COMPRA.</t>
  </si>
  <si>
    <r>
      <rPr>
        <b/>
        <sz val="11"/>
        <color theme="1"/>
        <rFont val="Calibri"/>
        <family val="2"/>
        <scheme val="minor"/>
      </rPr>
      <t>NOTA:</t>
    </r>
    <r>
      <rPr>
        <sz val="11"/>
        <color theme="1"/>
        <rFont val="Calibri"/>
        <family val="2"/>
        <scheme val="minor"/>
      </rPr>
      <t xml:space="preserve"> FORMA DE SUSTENTAR GASTO SIN USAR LIQUIDACIONES</t>
    </r>
  </si>
  <si>
    <t>Cuenta Contable GND *</t>
  </si>
  <si>
    <t>* CONTRIBUCION SOLIDARIA AL GOBIERNO, ES NO DEDUCIBLE</t>
  </si>
  <si>
    <t>OBSERVACION</t>
  </si>
  <si>
    <t>SUSTENTO TRIBUTARIO DEL 5%</t>
  </si>
  <si>
    <t>1.-</t>
  </si>
  <si>
    <t>#</t>
  </si>
  <si>
    <t>2.-</t>
  </si>
  <si>
    <t>Recomendaciones</t>
  </si>
  <si>
    <t>En el caso de facturacion Relacionadas se recomienda que la Señora Pilar Arellano Facture a nombre de Grafimpac para evitar el pago del Gasto no Deducible</t>
  </si>
  <si>
    <t xml:space="preserve"> </t>
  </si>
  <si>
    <t xml:space="preserve">3.- </t>
  </si>
  <si>
    <t>Se Recomienda minimizar el riego de la manufactura afiliandolos en el IESS para  de esta manera obtener el Beneficio de exoneracion de 3% del pago de IR a traves del incremento de empleo. Evitando de esta manera que los rubros que genere la manufactura se convierta en un gasto no deducible</t>
  </si>
  <si>
    <t xml:space="preserve">Ingresos </t>
  </si>
  <si>
    <t>Gastos Personales</t>
  </si>
  <si>
    <t>Exoneraciones por Tercera Edad</t>
  </si>
  <si>
    <t>Base Imponible Gravada</t>
  </si>
  <si>
    <t>Impuesto Causado</t>
  </si>
  <si>
    <t>Retenciones</t>
  </si>
  <si>
    <t>Impuesto por Pagar</t>
  </si>
  <si>
    <t>Freaccion Basica</t>
  </si>
  <si>
    <t>% sobre Fraccion Excedente</t>
  </si>
  <si>
    <t>Impuesto sobre la Fraccion Basica</t>
  </si>
  <si>
    <t>Devolucion  IVA</t>
  </si>
  <si>
    <t>Credito Tributario Anterior</t>
  </si>
  <si>
    <t>Impuesto por Retenciones IR</t>
  </si>
  <si>
    <t>SRA. Pilar Arellano  Proyeccion Devolucion de Impuestos</t>
  </si>
  <si>
    <t>Ingresos Gravados</t>
  </si>
  <si>
    <t>Sr.  Raul Orbea Arellano Proyeccion Devolucion de Impuestos</t>
  </si>
  <si>
    <t>Rentas Exentas</t>
  </si>
  <si>
    <t>Sr.  Jose Xavier Arellano Proyeccion Devolucion de Impuestos</t>
  </si>
  <si>
    <t>Ventas</t>
  </si>
  <si>
    <t>Fraccion Basica</t>
  </si>
  <si>
    <t>Condicion A</t>
  </si>
  <si>
    <t>Condicion B</t>
  </si>
  <si>
    <t>Condicion C</t>
  </si>
  <si>
    <t>ventas</t>
  </si>
  <si>
    <t>costos</t>
  </si>
  <si>
    <t>A</t>
  </si>
  <si>
    <t>B</t>
  </si>
  <si>
    <t>C</t>
  </si>
  <si>
    <t xml:space="preserve">Condicion </t>
  </si>
  <si>
    <t>Detalle de Condicion</t>
  </si>
  <si>
    <t>Que las Ventas Anuales no superen las 15 Fracciones Basicas Unificadas</t>
  </si>
  <si>
    <t>Que los Costos anuales no Superen las 12 fracciones Basicas Unificadas</t>
  </si>
  <si>
    <t>Que las Utilidades no superen las 9 Fracciones Basicas Unificadas</t>
  </si>
  <si>
    <t>Total Gastos entre Relacionadas</t>
  </si>
  <si>
    <t>Gasto No Deducible Relacionadas</t>
  </si>
  <si>
    <t>RUC DE PERSONAS NATURALES CATASTRADAS COMO MICROEMPRESARIOS</t>
  </si>
  <si>
    <t>Tabla IR 2021</t>
  </si>
  <si>
    <t>Utilidad</t>
  </si>
  <si>
    <t>IR a Pagar</t>
  </si>
  <si>
    <t>Sra. Pilar Arellano (Sabella)</t>
  </si>
  <si>
    <t>IMPORTACION DE CMPC Y MAQUINARIAS</t>
  </si>
  <si>
    <t>XL 75</t>
  </si>
  <si>
    <t>INDIGO (ESTIMACION)</t>
  </si>
  <si>
    <t>TOMADO DEL ESTUDIO ACTURIAL</t>
  </si>
  <si>
    <t>SOLO LIQUIDACIONES ELECTRONICAS DESDE EL 2022</t>
  </si>
  <si>
    <t>SABELLA</t>
  </si>
  <si>
    <t>Realizar la activacion de las propiedades de Inversion de manera proporcional,de tal manera que se pueda Utilizar el 5% deducible en el año 2021 y transferir el beneficio al siguiente año</t>
  </si>
  <si>
    <t>Ing Jose Orbea Proyeccion Devolucion de Impuestos 2021</t>
  </si>
  <si>
    <t>2016 al 2019</t>
  </si>
  <si>
    <t>Recuperación IVA 3era edad</t>
  </si>
  <si>
    <t>2020 en proceso</t>
  </si>
  <si>
    <t>2017 al 2020 en proceso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</si>
</sst>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&quot;$&quot;#,##0.00_);[Red]\(&quot;$&quot;#,##0.00\)"/>
    <numFmt numFmtId="165" formatCode="_ &quot;$&quot;* #,##0_ ;_ &quot;$&quot;* \-#,##0_ ;_ &quot;$&quot;* &quot;-&quot;??_ ;_ @_ 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</font>
    <font>
      <sz val="16"/>
      <color theme="0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  <family val="2"/>
    </font>
    <font>
      <b/>
      <sz val="8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sz val="24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208">
    <xf numFmtId="0" fontId="0" fillId="0" borderId="0" xfId="0"/>
    <xf numFmtId="0" fontId="0" fillId="2" borderId="0" xfId="0" applyFill="1"/>
    <xf numFmtId="0" fontId="6" fillId="0" borderId="0" xfId="0" applyFont="1" applyFill="1" applyBorder="1" applyAlignment="1">
      <alignment horizontal="center" vertical="center"/>
    </xf>
    <xf numFmtId="4" fontId="0" fillId="0" borderId="7" xfId="0" applyNumberFormat="1" applyFill="1" applyBorder="1"/>
    <xf numFmtId="4" fontId="0" fillId="0" borderId="8" xfId="0" applyNumberFormat="1" applyFill="1" applyBorder="1"/>
    <xf numFmtId="4" fontId="0" fillId="0" borderId="9" xfId="0" applyNumberFormat="1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4" fontId="7" fillId="0" borderId="7" xfId="1" applyNumberFormat="1" applyFont="1" applyFill="1" applyBorder="1" applyAlignment="1">
      <alignment vertical="center"/>
    </xf>
    <xf numFmtId="4" fontId="7" fillId="0" borderId="8" xfId="1" applyNumberFormat="1" applyFont="1" applyFill="1" applyBorder="1" applyAlignment="1">
      <alignment vertical="center"/>
    </xf>
    <xf numFmtId="4" fontId="7" fillId="0" borderId="9" xfId="1" applyNumberFormat="1" applyFont="1" applyFill="1" applyBorder="1" applyAlignment="1">
      <alignment vertical="center"/>
    </xf>
    <xf numFmtId="4" fontId="6" fillId="0" borderId="9" xfId="1" applyNumberFormat="1" applyFont="1" applyFill="1" applyBorder="1" applyAlignment="1">
      <alignment vertical="center"/>
    </xf>
    <xf numFmtId="4" fontId="6" fillId="0" borderId="7" xfId="1" applyNumberFormat="1" applyFont="1" applyFill="1" applyBorder="1" applyAlignment="1">
      <alignment vertical="center"/>
    </xf>
    <xf numFmtId="4" fontId="6" fillId="0" borderId="8" xfId="1" applyNumberFormat="1" applyFont="1" applyFill="1" applyBorder="1" applyAlignment="1">
      <alignment vertical="center"/>
    </xf>
    <xf numFmtId="0" fontId="9" fillId="3" borderId="1" xfId="0" applyFont="1" applyFill="1" applyBorder="1" applyAlignment="1">
      <alignment horizontal="center" vertical="center"/>
    </xf>
    <xf numFmtId="0" fontId="4" fillId="3" borderId="9" xfId="0" applyFont="1" applyFill="1" applyBorder="1"/>
    <xf numFmtId="4" fontId="2" fillId="3" borderId="9" xfId="0" applyNumberFormat="1" applyFont="1" applyFill="1" applyBorder="1"/>
    <xf numFmtId="4" fontId="9" fillId="3" borderId="9" xfId="1" applyNumberFormat="1" applyFont="1" applyFill="1" applyBorder="1" applyAlignment="1">
      <alignment vertical="center"/>
    </xf>
    <xf numFmtId="0" fontId="4" fillId="3" borderId="0" xfId="0" applyFont="1" applyFill="1"/>
    <xf numFmtId="4" fontId="4" fillId="3" borderId="0" xfId="0" applyNumberFormat="1" applyFont="1" applyFill="1"/>
    <xf numFmtId="0" fontId="0" fillId="2" borderId="0" xfId="0" applyFont="1" applyFill="1"/>
    <xf numFmtId="0" fontId="10" fillId="2" borderId="0" xfId="0" applyFont="1" applyFill="1" applyBorder="1" applyAlignment="1">
      <alignment horizontal="center"/>
    </xf>
    <xf numFmtId="164" fontId="12" fillId="2" borderId="0" xfId="0" applyNumberFormat="1" applyFont="1" applyFill="1"/>
    <xf numFmtId="0" fontId="12" fillId="2" borderId="0" xfId="0" applyFont="1" applyFill="1"/>
    <xf numFmtId="0" fontId="13" fillId="2" borderId="0" xfId="0" applyFont="1" applyFill="1"/>
    <xf numFmtId="43" fontId="0" fillId="2" borderId="0" xfId="1" applyFont="1" applyFill="1"/>
    <xf numFmtId="43" fontId="3" fillId="2" borderId="0" xfId="1" applyFont="1" applyFill="1"/>
    <xf numFmtId="0" fontId="8" fillId="2" borderId="0" xfId="3" applyFill="1"/>
    <xf numFmtId="44" fontId="0" fillId="2" borderId="0" xfId="2" applyFont="1" applyFill="1"/>
    <xf numFmtId="0" fontId="14" fillId="2" borderId="0" xfId="0" applyFont="1" applyFill="1"/>
    <xf numFmtId="0" fontId="4" fillId="2" borderId="0" xfId="0" applyFont="1" applyFill="1"/>
    <xf numFmtId="0" fontId="20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20" fillId="2" borderId="0" xfId="0" applyFont="1" applyFill="1" applyAlignment="1">
      <alignment horizontal="center" vertical="center" wrapText="1"/>
    </xf>
    <xf numFmtId="0" fontId="20" fillId="2" borderId="0" xfId="0" applyFont="1" applyFill="1" applyAlignment="1">
      <alignment horizontal="center"/>
    </xf>
    <xf numFmtId="0" fontId="19" fillId="2" borderId="0" xfId="0" applyFont="1" applyFill="1" applyAlignment="1">
      <alignment horizontal="center"/>
    </xf>
    <xf numFmtId="4" fontId="0" fillId="2" borderId="1" xfId="0" applyNumberFormat="1" applyFill="1" applyBorder="1"/>
    <xf numFmtId="4" fontId="4" fillId="3" borderId="1" xfId="0" applyNumberFormat="1" applyFont="1" applyFill="1" applyBorder="1"/>
    <xf numFmtId="2" fontId="4" fillId="3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/>
    <xf numFmtId="0" fontId="4" fillId="3" borderId="0" xfId="0" applyFont="1" applyFill="1" applyAlignment="1">
      <alignment horizontal="left"/>
    </xf>
    <xf numFmtId="0" fontId="4" fillId="3" borderId="1" xfId="0" applyFont="1" applyFill="1" applyBorder="1"/>
    <xf numFmtId="0" fontId="5" fillId="0" borderId="5" xfId="0" applyFont="1" applyBorder="1"/>
    <xf numFmtId="44" fontId="5" fillId="0" borderId="1" xfId="2" applyFont="1" applyBorder="1"/>
    <xf numFmtId="0" fontId="5" fillId="0" borderId="4" xfId="0" applyFont="1" applyBorder="1"/>
    <xf numFmtId="44" fontId="5" fillId="0" borderId="9" xfId="2" applyFont="1" applyBorder="1"/>
    <xf numFmtId="0" fontId="0" fillId="0" borderId="1" xfId="0" applyBorder="1"/>
    <xf numFmtId="44" fontId="0" fillId="0" borderId="1" xfId="0" applyNumberFormat="1" applyBorder="1"/>
    <xf numFmtId="44" fontId="0" fillId="0" borderId="1" xfId="2" applyFont="1" applyBorder="1"/>
    <xf numFmtId="0" fontId="3" fillId="0" borderId="10" xfId="0" applyFont="1" applyBorder="1"/>
    <xf numFmtId="44" fontId="3" fillId="0" borderId="10" xfId="0" applyNumberFormat="1" applyFont="1" applyBorder="1"/>
    <xf numFmtId="44" fontId="0" fillId="2" borderId="0" xfId="0" applyNumberFormat="1" applyFill="1"/>
    <xf numFmtId="0" fontId="0" fillId="2" borderId="1" xfId="0" applyFill="1" applyBorder="1"/>
    <xf numFmtId="14" fontId="0" fillId="2" borderId="5" xfId="0" applyNumberFormat="1" applyFill="1" applyBorder="1"/>
    <xf numFmtId="44" fontId="0" fillId="2" borderId="1" xfId="2" applyFont="1" applyFill="1" applyBorder="1"/>
    <xf numFmtId="0" fontId="3" fillId="2" borderId="0" xfId="0" applyFont="1" applyFill="1"/>
    <xf numFmtId="44" fontId="3" fillId="2" borderId="1" xfId="2" applyFont="1" applyFill="1" applyBorder="1"/>
    <xf numFmtId="10" fontId="0" fillId="2" borderId="1" xfId="4" applyNumberFormat="1" applyFont="1" applyFill="1" applyBorder="1"/>
    <xf numFmtId="43" fontId="0" fillId="2" borderId="0" xfId="0" applyNumberFormat="1" applyFill="1"/>
    <xf numFmtId="0" fontId="3" fillId="2" borderId="1" xfId="0" applyFont="1" applyFill="1" applyBorder="1"/>
    <xf numFmtId="10" fontId="3" fillId="2" borderId="11" xfId="4" applyNumberFormat="1" applyFont="1" applyFill="1" applyBorder="1"/>
    <xf numFmtId="44" fontId="3" fillId="2" borderId="1" xfId="0" applyNumberFormat="1" applyFont="1" applyFill="1" applyBorder="1"/>
    <xf numFmtId="0" fontId="4" fillId="3" borderId="5" xfId="0" applyFont="1" applyFill="1" applyBorder="1"/>
    <xf numFmtId="4" fontId="0" fillId="2" borderId="5" xfId="0" applyNumberFormat="1" applyFill="1" applyBorder="1"/>
    <xf numFmtId="4" fontId="0" fillId="2" borderId="12" xfId="0" applyNumberFormat="1" applyFill="1" applyBorder="1"/>
    <xf numFmtId="4" fontId="0" fillId="2" borderId="6" xfId="0" applyNumberFormat="1" applyFill="1" applyBorder="1"/>
    <xf numFmtId="4" fontId="0" fillId="2" borderId="14" xfId="0" applyNumberFormat="1" applyFill="1" applyBorder="1"/>
    <xf numFmtId="4" fontId="0" fillId="2" borderId="15" xfId="0" applyNumberFormat="1" applyFill="1" applyBorder="1"/>
    <xf numFmtId="0" fontId="0" fillId="2" borderId="16" xfId="0" applyFill="1" applyBorder="1"/>
    <xf numFmtId="0" fontId="0" fillId="2" borderId="17" xfId="0" applyFill="1" applyBorder="1"/>
    <xf numFmtId="4" fontId="0" fillId="2" borderId="7" xfId="0" applyNumberFormat="1" applyFill="1" applyBorder="1"/>
    <xf numFmtId="4" fontId="0" fillId="2" borderId="8" xfId="0" applyNumberFormat="1" applyFill="1" applyBorder="1"/>
    <xf numFmtId="0" fontId="0" fillId="2" borderId="9" xfId="0" applyFill="1" applyBorder="1"/>
    <xf numFmtId="0" fontId="12" fillId="2" borderId="13" xfId="0" applyFont="1" applyFill="1" applyBorder="1"/>
    <xf numFmtId="164" fontId="12" fillId="2" borderId="2" xfId="0" applyNumberFormat="1" applyFont="1" applyFill="1" applyBorder="1"/>
    <xf numFmtId="0" fontId="0" fillId="2" borderId="2" xfId="0" applyFill="1" applyBorder="1"/>
    <xf numFmtId="164" fontId="12" fillId="2" borderId="14" xfId="0" applyNumberFormat="1" applyFont="1" applyFill="1" applyBorder="1"/>
    <xf numFmtId="0" fontId="12" fillId="2" borderId="3" xfId="0" applyFont="1" applyFill="1" applyBorder="1"/>
    <xf numFmtId="164" fontId="12" fillId="2" borderId="0" xfId="0" applyNumberFormat="1" applyFont="1" applyFill="1" applyBorder="1"/>
    <xf numFmtId="0" fontId="0" fillId="2" borderId="0" xfId="0" applyFill="1" applyBorder="1"/>
    <xf numFmtId="164" fontId="12" fillId="2" borderId="15" xfId="0" applyNumberFormat="1" applyFont="1" applyFill="1" applyBorder="1"/>
    <xf numFmtId="0" fontId="12" fillId="2" borderId="4" xfId="0" applyFont="1" applyFill="1" applyBorder="1"/>
    <xf numFmtId="164" fontId="12" fillId="2" borderId="16" xfId="0" applyNumberFormat="1" applyFont="1" applyFill="1" applyBorder="1"/>
    <xf numFmtId="164" fontId="12" fillId="2" borderId="17" xfId="0" applyNumberFormat="1" applyFont="1" applyFill="1" applyBorder="1"/>
    <xf numFmtId="0" fontId="8" fillId="2" borderId="0" xfId="3" applyFill="1" applyBorder="1"/>
    <xf numFmtId="164" fontId="15" fillId="2" borderId="14" xfId="0" applyNumberFormat="1" applyFont="1" applyFill="1" applyBorder="1"/>
    <xf numFmtId="9" fontId="0" fillId="2" borderId="0" xfId="0" applyNumberFormat="1" applyFill="1" applyBorder="1"/>
    <xf numFmtId="0" fontId="8" fillId="2" borderId="16" xfId="3" quotePrefix="1" applyFill="1" applyBorder="1"/>
    <xf numFmtId="164" fontId="11" fillId="2" borderId="14" xfId="0" applyNumberFormat="1" applyFont="1" applyFill="1" applyBorder="1"/>
    <xf numFmtId="164" fontId="12" fillId="3" borderId="0" xfId="0" applyNumberFormat="1" applyFont="1" applyFill="1"/>
    <xf numFmtId="0" fontId="0" fillId="3" borderId="0" xfId="0" applyFill="1"/>
    <xf numFmtId="0" fontId="5" fillId="2" borderId="0" xfId="0" applyFont="1" applyFill="1" applyAlignment="1">
      <alignment horizontal="center"/>
    </xf>
    <xf numFmtId="9" fontId="0" fillId="2" borderId="0" xfId="4" applyFont="1" applyFill="1"/>
    <xf numFmtId="10" fontId="0" fillId="2" borderId="0" xfId="4" applyNumberFormat="1" applyFont="1" applyFill="1"/>
    <xf numFmtId="0" fontId="0" fillId="2" borderId="0" xfId="0" applyFill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/>
    <xf numFmtId="0" fontId="4" fillId="2" borderId="14" xfId="0" applyFont="1" applyFill="1" applyBorder="1" applyAlignment="1"/>
    <xf numFmtId="0" fontId="0" fillId="2" borderId="3" xfId="0" applyFill="1" applyBorder="1" applyAlignment="1"/>
    <xf numFmtId="0" fontId="0" fillId="2" borderId="0" xfId="0" applyFill="1" applyBorder="1" applyAlignment="1"/>
    <xf numFmtId="44" fontId="0" fillId="2" borderId="0" xfId="2" applyFont="1" applyFill="1" applyBorder="1"/>
    <xf numFmtId="3" fontId="0" fillId="2" borderId="15" xfId="0" applyNumberFormat="1" applyFill="1" applyBorder="1"/>
    <xf numFmtId="9" fontId="0" fillId="2" borderId="15" xfId="0" applyNumberFormat="1" applyFill="1" applyBorder="1"/>
    <xf numFmtId="44" fontId="0" fillId="2" borderId="0" xfId="0" applyNumberFormat="1" applyFill="1" applyBorder="1"/>
    <xf numFmtId="0" fontId="0" fillId="2" borderId="15" xfId="0" applyFill="1" applyBorder="1"/>
    <xf numFmtId="44" fontId="0" fillId="2" borderId="16" xfId="2" applyFont="1" applyFill="1" applyBorder="1"/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/>
    <xf numFmtId="3" fontId="0" fillId="2" borderId="0" xfId="0" applyNumberFormat="1" applyFill="1" applyBorder="1"/>
    <xf numFmtId="165" fontId="0" fillId="2" borderId="1" xfId="2" applyNumberFormat="1" applyFont="1" applyFill="1" applyBorder="1"/>
    <xf numFmtId="3" fontId="0" fillId="2" borderId="1" xfId="0" applyNumberFormat="1" applyFill="1" applyBorder="1"/>
    <xf numFmtId="0" fontId="5" fillId="2" borderId="0" xfId="0" applyFont="1" applyFill="1" applyBorder="1" applyAlignment="1"/>
    <xf numFmtId="0" fontId="5" fillId="2" borderId="1" xfId="0" applyFont="1" applyFill="1" applyBorder="1" applyAlignment="1"/>
    <xf numFmtId="3" fontId="5" fillId="2" borderId="1" xfId="0" applyNumberFormat="1" applyFont="1" applyFill="1" applyBorder="1" applyAlignment="1"/>
    <xf numFmtId="9" fontId="0" fillId="2" borderId="0" xfId="0" applyNumberFormat="1" applyFill="1"/>
    <xf numFmtId="0" fontId="5" fillId="2" borderId="0" xfId="0" applyFont="1" applyFill="1"/>
    <xf numFmtId="0" fontId="5" fillId="2" borderId="0" xfId="0" applyFont="1" applyFill="1" applyBorder="1" applyAlignment="1">
      <alignment horizontal="center"/>
    </xf>
    <xf numFmtId="44" fontId="0" fillId="2" borderId="1" xfId="0" applyNumberFormat="1" applyFill="1" applyBorder="1"/>
    <xf numFmtId="0" fontId="3" fillId="4" borderId="1" xfId="0" applyFont="1" applyFill="1" applyBorder="1"/>
    <xf numFmtId="44" fontId="3" fillId="4" borderId="7" xfId="0" applyNumberFormat="1" applyFont="1" applyFill="1" applyBorder="1"/>
    <xf numFmtId="0" fontId="3" fillId="2" borderId="3" xfId="0" applyFont="1" applyFill="1" applyBorder="1" applyAlignment="1"/>
    <xf numFmtId="0" fontId="3" fillId="2" borderId="0" xfId="0" applyFont="1" applyFill="1" applyBorder="1" applyAlignment="1"/>
    <xf numFmtId="44" fontId="3" fillId="2" borderId="0" xfId="0" applyNumberFormat="1" applyFont="1" applyFill="1" applyBorder="1"/>
    <xf numFmtId="0" fontId="0" fillId="2" borderId="4" xfId="0" applyFill="1" applyBorder="1" applyAlignment="1"/>
    <xf numFmtId="0" fontId="0" fillId="2" borderId="16" xfId="0" applyFill="1" applyBorder="1" applyAlignment="1"/>
    <xf numFmtId="44" fontId="3" fillId="2" borderId="6" xfId="0" applyNumberFormat="1" applyFont="1" applyFill="1" applyBorder="1"/>
    <xf numFmtId="44" fontId="3" fillId="2" borderId="6" xfId="2" applyFont="1" applyFill="1" applyBorder="1"/>
    <xf numFmtId="0" fontId="0" fillId="5" borderId="1" xfId="0" applyFill="1" applyBorder="1"/>
    <xf numFmtId="44" fontId="5" fillId="5" borderId="1" xfId="2" applyFont="1" applyFill="1" applyBorder="1"/>
    <xf numFmtId="0" fontId="23" fillId="2" borderId="0" xfId="0" applyFont="1" applyFill="1"/>
    <xf numFmtId="0" fontId="21" fillId="3" borderId="3" xfId="0" applyFont="1" applyFill="1" applyBorder="1" applyAlignment="1">
      <alignment horizontal="center"/>
    </xf>
    <xf numFmtId="0" fontId="21" fillId="3" borderId="0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14" fillId="2" borderId="3" xfId="0" applyFont="1" applyFill="1" applyBorder="1" applyAlignment="1">
      <alignment horizontal="left" vertical="center"/>
    </xf>
    <xf numFmtId="0" fontId="14" fillId="2" borderId="0" xfId="0" applyFont="1" applyFill="1" applyBorder="1" applyAlignment="1">
      <alignment horizontal="left" vertical="center"/>
    </xf>
    <xf numFmtId="0" fontId="19" fillId="3" borderId="5" xfId="0" applyFont="1" applyFill="1" applyBorder="1" applyAlignment="1">
      <alignment horizontal="center"/>
    </xf>
    <xf numFmtId="0" fontId="19" fillId="3" borderId="6" xfId="0" applyFont="1" applyFill="1" applyBorder="1" applyAlignment="1">
      <alignment horizontal="center"/>
    </xf>
    <xf numFmtId="0" fontId="19" fillId="3" borderId="5" xfId="0" applyFont="1" applyFill="1" applyBorder="1" applyAlignment="1">
      <alignment horizontal="left"/>
    </xf>
    <xf numFmtId="0" fontId="19" fillId="3" borderId="6" xfId="0" applyFont="1" applyFill="1" applyBorder="1" applyAlignment="1">
      <alignment horizontal="left"/>
    </xf>
    <xf numFmtId="0" fontId="14" fillId="2" borderId="13" xfId="0" applyFont="1" applyFill="1" applyBorder="1" applyAlignment="1">
      <alignment horizontal="left" vertical="center"/>
    </xf>
    <xf numFmtId="0" fontId="14" fillId="2" borderId="2" xfId="0" applyFont="1" applyFill="1" applyBorder="1" applyAlignment="1">
      <alignment horizontal="left" vertical="center"/>
    </xf>
    <xf numFmtId="0" fontId="14" fillId="2" borderId="4" xfId="0" applyFont="1" applyFill="1" applyBorder="1" applyAlignment="1">
      <alignment horizontal="left" vertical="center"/>
    </xf>
    <xf numFmtId="0" fontId="14" fillId="2" borderId="16" xfId="0" applyFont="1" applyFill="1" applyBorder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16" fillId="2" borderId="13" xfId="0" applyFont="1" applyFill="1" applyBorder="1" applyAlignment="1">
      <alignment horizontal="left" vertical="center"/>
    </xf>
    <xf numFmtId="0" fontId="16" fillId="2" borderId="2" xfId="0" applyFont="1" applyFill="1" applyBorder="1" applyAlignment="1">
      <alignment horizontal="left" vertical="center"/>
    </xf>
    <xf numFmtId="2" fontId="4" fillId="3" borderId="1" xfId="0" applyNumberFormat="1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4" fillId="3" borderId="0" xfId="0" applyFont="1" applyFill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0" fillId="2" borderId="4" xfId="0" applyFill="1" applyBorder="1" applyAlignment="1">
      <alignment horizontal="left"/>
    </xf>
    <xf numFmtId="0" fontId="0" fillId="2" borderId="16" xfId="0" applyFill="1" applyBorder="1" applyAlignment="1">
      <alignment horizontal="left"/>
    </xf>
    <xf numFmtId="0" fontId="3" fillId="2" borderId="9" xfId="0" applyFont="1" applyFill="1" applyBorder="1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22" fillId="3" borderId="0" xfId="0" applyFont="1" applyFill="1" applyAlignment="1">
      <alignment horizontal="center"/>
    </xf>
    <xf numFmtId="0" fontId="0" fillId="2" borderId="1" xfId="0" applyFill="1" applyBorder="1" applyAlignment="1">
      <alignment horizontal="left" vertical="center" wrapText="1"/>
    </xf>
    <xf numFmtId="0" fontId="4" fillId="3" borderId="1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0" fillId="2" borderId="12" xfId="0" applyFill="1" applyBorder="1" applyAlignment="1">
      <alignment horizontal="left"/>
    </xf>
    <xf numFmtId="10" fontId="0" fillId="6" borderId="16" xfId="0" applyNumberFormat="1" applyFill="1" applyBorder="1"/>
    <xf numFmtId="0" fontId="0" fillId="4" borderId="1" xfId="0" applyFill="1" applyBorder="1"/>
    <xf numFmtId="44" fontId="0" fillId="4" borderId="1" xfId="0" applyNumberFormat="1" applyFill="1" applyBorder="1"/>
    <xf numFmtId="0" fontId="0" fillId="7" borderId="0" xfId="0" applyFill="1"/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5" fillId="3" borderId="5" xfId="0" applyFont="1" applyFill="1" applyBorder="1" applyAlignment="1">
      <alignment horizontal="center"/>
    </xf>
    <xf numFmtId="0" fontId="25" fillId="3" borderId="6" xfId="0" applyFont="1" applyFill="1" applyBorder="1" applyAlignment="1">
      <alignment horizontal="center"/>
    </xf>
    <xf numFmtId="0" fontId="5" fillId="0" borderId="5" xfId="0" applyFont="1" applyBorder="1" applyAlignment="1">
      <alignment vertical="center"/>
    </xf>
    <xf numFmtId="44" fontId="5" fillId="0" borderId="1" xfId="2" applyFont="1" applyBorder="1" applyAlignment="1">
      <alignment vertical="center"/>
    </xf>
    <xf numFmtId="0" fontId="5" fillId="0" borderId="4" xfId="0" applyFont="1" applyBorder="1" applyAlignment="1">
      <alignment vertical="center"/>
    </xf>
    <xf numFmtId="44" fontId="5" fillId="0" borderId="9" xfId="2" applyFont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44" fontId="3" fillId="4" borderId="7" xfId="0" applyNumberFormat="1" applyFont="1" applyFill="1" applyBorder="1" applyAlignment="1">
      <alignment vertical="center"/>
    </xf>
    <xf numFmtId="0" fontId="0" fillId="0" borderId="1" xfId="0" applyBorder="1" applyAlignment="1">
      <alignment vertical="center"/>
    </xf>
    <xf numFmtId="44" fontId="0" fillId="0" borderId="1" xfId="0" applyNumberFormat="1" applyBorder="1" applyAlignment="1">
      <alignment vertical="center"/>
    </xf>
    <xf numFmtId="44" fontId="3" fillId="4" borderId="1" xfId="0" applyNumberFormat="1" applyFont="1" applyFill="1" applyBorder="1" applyAlignment="1">
      <alignment vertical="center"/>
    </xf>
    <xf numFmtId="44" fontId="0" fillId="0" borderId="1" xfId="2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44" fontId="3" fillId="0" borderId="10" xfId="0" applyNumberFormat="1" applyFont="1" applyBorder="1" applyAlignment="1">
      <alignment vertical="center"/>
    </xf>
    <xf numFmtId="0" fontId="24" fillId="2" borderId="0" xfId="0" applyFont="1" applyFill="1" applyAlignment="1">
      <alignment vertical="center"/>
    </xf>
    <xf numFmtId="44" fontId="24" fillId="2" borderId="0" xfId="2" applyFont="1" applyFill="1" applyAlignment="1">
      <alignment vertical="center"/>
    </xf>
    <xf numFmtId="0" fontId="2" fillId="3" borderId="12" xfId="0" applyFont="1" applyFill="1" applyBorder="1" applyAlignment="1">
      <alignment horizontal="center"/>
    </xf>
    <xf numFmtId="44" fontId="3" fillId="4" borderId="1" xfId="2" applyFont="1" applyFill="1" applyBorder="1"/>
    <xf numFmtId="4" fontId="3" fillId="4" borderId="1" xfId="0" applyNumberFormat="1" applyFont="1" applyFill="1" applyBorder="1"/>
    <xf numFmtId="44" fontId="5" fillId="2" borderId="0" xfId="2" applyFont="1" applyFill="1" applyBorder="1" applyAlignment="1"/>
  </cellXfs>
  <cellStyles count="5">
    <cellStyle name="Hipervínculo" xfId="3" builtinId="8"/>
    <cellStyle name="Millares" xfId="1" builtinId="3"/>
    <cellStyle name="Moneda" xfId="2" builtinId="4"/>
    <cellStyle name="Normal" xfId="0" builtinId="0"/>
    <cellStyle name="Porcentaje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46066</xdr:colOff>
      <xdr:row>2</xdr:row>
      <xdr:rowOff>38446</xdr:rowOff>
    </xdr:from>
    <xdr:to>
      <xdr:col>15</xdr:col>
      <xdr:colOff>327139</xdr:colOff>
      <xdr:row>8</xdr:row>
      <xdr:rowOff>130919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07930" y="2081991"/>
          <a:ext cx="2624743" cy="1572138"/>
        </a:xfrm>
        <a:prstGeom prst="rect">
          <a:avLst/>
        </a:prstGeom>
      </xdr:spPr>
    </xdr:pic>
    <xdr:clientData/>
  </xdr:twoCellAnchor>
  <xdr:twoCellAnchor>
    <xdr:from>
      <xdr:col>0</xdr:col>
      <xdr:colOff>47625</xdr:colOff>
      <xdr:row>12</xdr:row>
      <xdr:rowOff>0</xdr:rowOff>
    </xdr:from>
    <xdr:to>
      <xdr:col>2</xdr:col>
      <xdr:colOff>714375</xdr:colOff>
      <xdr:row>15</xdr:row>
      <xdr:rowOff>47625</xdr:rowOff>
    </xdr:to>
    <xdr:sp macro="" textlink="">
      <xdr:nvSpPr>
        <xdr:cNvPr id="3" name="Rectángulo redondead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571625" y="1143000"/>
          <a:ext cx="1428750" cy="619125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1400"/>
            <a:t>   Jose Walter Orbea Vaca</a:t>
          </a:r>
        </a:p>
        <a:p>
          <a:pPr algn="l"/>
          <a:endParaRPr lang="es-EC" sz="1100"/>
        </a:p>
      </xdr:txBody>
    </xdr:sp>
    <xdr:clientData/>
  </xdr:twoCellAnchor>
  <xdr:twoCellAnchor>
    <xdr:from>
      <xdr:col>7</xdr:col>
      <xdr:colOff>294409</xdr:colOff>
      <xdr:row>12</xdr:row>
      <xdr:rowOff>0</xdr:rowOff>
    </xdr:from>
    <xdr:to>
      <xdr:col>9</xdr:col>
      <xdr:colOff>247650</xdr:colOff>
      <xdr:row>15</xdr:row>
      <xdr:rowOff>47625</xdr:rowOff>
    </xdr:to>
    <xdr:sp macro="" textlink="">
      <xdr:nvSpPr>
        <xdr:cNvPr id="4" name="Rectángulo redondead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104409" y="1524000"/>
          <a:ext cx="1477241" cy="619125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1400"/>
            <a:t>Jose Xavier Orbea Arellano</a:t>
          </a:r>
        </a:p>
        <a:p>
          <a:pPr algn="ctr"/>
          <a:endParaRPr lang="es-EC" sz="1400"/>
        </a:p>
        <a:p>
          <a:pPr algn="l"/>
          <a:endParaRPr lang="es-EC" sz="1100"/>
        </a:p>
      </xdr:txBody>
    </xdr:sp>
    <xdr:clientData/>
  </xdr:twoCellAnchor>
  <xdr:twoCellAnchor>
    <xdr:from>
      <xdr:col>12</xdr:col>
      <xdr:colOff>720436</xdr:colOff>
      <xdr:row>11</xdr:row>
      <xdr:rowOff>148071</xdr:rowOff>
    </xdr:from>
    <xdr:to>
      <xdr:col>14</xdr:col>
      <xdr:colOff>625186</xdr:colOff>
      <xdr:row>15</xdr:row>
      <xdr:rowOff>5196</xdr:rowOff>
    </xdr:to>
    <xdr:sp macro="" textlink="">
      <xdr:nvSpPr>
        <xdr:cNvPr id="5" name="Rectángulo redondead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509163" y="1481571"/>
          <a:ext cx="1428750" cy="619125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1400"/>
            <a:t>Raul David Orbea</a:t>
          </a:r>
          <a:r>
            <a:rPr lang="es-EC" sz="1400" baseline="0"/>
            <a:t> Arellano</a:t>
          </a:r>
        </a:p>
        <a:p>
          <a:pPr algn="l"/>
          <a:endParaRPr lang="es-EC" sz="1100"/>
        </a:p>
      </xdr:txBody>
    </xdr:sp>
    <xdr:clientData/>
  </xdr:twoCellAnchor>
  <xdr:twoCellAnchor>
    <xdr:from>
      <xdr:col>22</xdr:col>
      <xdr:colOff>754716</xdr:colOff>
      <xdr:row>11</xdr:row>
      <xdr:rowOff>164726</xdr:rowOff>
    </xdr:from>
    <xdr:to>
      <xdr:col>24</xdr:col>
      <xdr:colOff>659466</xdr:colOff>
      <xdr:row>15</xdr:row>
      <xdr:rowOff>21851</xdr:rowOff>
    </xdr:to>
    <xdr:sp macro="" textlink="">
      <xdr:nvSpPr>
        <xdr:cNvPr id="6" name="Rectángulo redondead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2184716" y="1498226"/>
          <a:ext cx="1428750" cy="619125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1400" baseline="0"/>
            <a:t>   Sabella S.A.</a:t>
          </a:r>
        </a:p>
      </xdr:txBody>
    </xdr:sp>
    <xdr:clientData/>
  </xdr:twoCellAnchor>
  <xdr:twoCellAnchor>
    <xdr:from>
      <xdr:col>0</xdr:col>
      <xdr:colOff>132392</xdr:colOff>
      <xdr:row>18</xdr:row>
      <xdr:rowOff>162660</xdr:rowOff>
    </xdr:from>
    <xdr:to>
      <xdr:col>2</xdr:col>
      <xdr:colOff>317500</xdr:colOff>
      <xdr:row>23</xdr:row>
      <xdr:rowOff>124511</xdr:rowOff>
    </xdr:to>
    <xdr:sp macro="" textlink="">
      <xdr:nvSpPr>
        <xdr:cNvPr id="36" name="Rectángulo redondeado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132392" y="4189897"/>
          <a:ext cx="1237871" cy="880930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C" sz="1300"/>
            <a:t>Maira</a:t>
          </a:r>
          <a:r>
            <a:rPr lang="es-EC" sz="1300" baseline="0"/>
            <a:t> Solorzano</a:t>
          </a:r>
          <a:endParaRPr lang="es-EC" sz="1300"/>
        </a:p>
      </xdr:txBody>
    </xdr:sp>
    <xdr:clientData/>
  </xdr:twoCellAnchor>
  <xdr:twoCellAnchor>
    <xdr:from>
      <xdr:col>0</xdr:col>
      <xdr:colOff>194212</xdr:colOff>
      <xdr:row>25</xdr:row>
      <xdr:rowOff>49481</xdr:rowOff>
    </xdr:from>
    <xdr:to>
      <xdr:col>2</xdr:col>
      <xdr:colOff>301834</xdr:colOff>
      <xdr:row>29</xdr:row>
      <xdr:rowOff>138545</xdr:rowOff>
    </xdr:to>
    <xdr:sp macro="" textlink="">
      <xdr:nvSpPr>
        <xdr:cNvPr id="46" name="Rectángulo redondeado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1718212" y="6820890"/>
          <a:ext cx="1129395" cy="851064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C" sz="1300" baseline="0"/>
            <a:t>Enzi Solorzano</a:t>
          </a:r>
          <a:endParaRPr lang="es-EC" sz="1300"/>
        </a:p>
      </xdr:txBody>
    </xdr:sp>
    <xdr:clientData/>
  </xdr:twoCellAnchor>
  <xdr:twoCellAnchor>
    <xdr:from>
      <xdr:col>0</xdr:col>
      <xdr:colOff>163287</xdr:colOff>
      <xdr:row>31</xdr:row>
      <xdr:rowOff>121227</xdr:rowOff>
    </xdr:from>
    <xdr:to>
      <xdr:col>2</xdr:col>
      <xdr:colOff>270909</xdr:colOff>
      <xdr:row>36</xdr:row>
      <xdr:rowOff>86591</xdr:rowOff>
    </xdr:to>
    <xdr:sp macro="" textlink="">
      <xdr:nvSpPr>
        <xdr:cNvPr id="47" name="Rectángulo redondeado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1687287" y="8035636"/>
          <a:ext cx="1129395" cy="917864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C" sz="1300" baseline="0"/>
            <a:t>Franklin Solorzano</a:t>
          </a:r>
          <a:endParaRPr lang="es-EC" sz="1300"/>
        </a:p>
      </xdr:txBody>
    </xdr:sp>
    <xdr:clientData/>
  </xdr:twoCellAnchor>
  <xdr:twoCellAnchor>
    <xdr:from>
      <xdr:col>0</xdr:col>
      <xdr:colOff>176895</xdr:colOff>
      <xdr:row>40</xdr:row>
      <xdr:rowOff>51955</xdr:rowOff>
    </xdr:from>
    <xdr:to>
      <xdr:col>2</xdr:col>
      <xdr:colOff>284517</xdr:colOff>
      <xdr:row>44</xdr:row>
      <xdr:rowOff>103909</xdr:rowOff>
    </xdr:to>
    <xdr:sp macro="" textlink="">
      <xdr:nvSpPr>
        <xdr:cNvPr id="48" name="Rectángulo redondeado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1700895" y="9680864"/>
          <a:ext cx="1129395" cy="813954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C" sz="1300" baseline="0"/>
            <a:t>Diana Solorzano</a:t>
          </a:r>
          <a:endParaRPr lang="es-EC" sz="1300"/>
        </a:p>
      </xdr:txBody>
    </xdr:sp>
    <xdr:clientData/>
  </xdr:twoCellAnchor>
  <xdr:twoCellAnchor>
    <xdr:from>
      <xdr:col>0</xdr:col>
      <xdr:colOff>117518</xdr:colOff>
      <xdr:row>47</xdr:row>
      <xdr:rowOff>118751</xdr:rowOff>
    </xdr:from>
    <xdr:to>
      <xdr:col>2</xdr:col>
      <xdr:colOff>225140</xdr:colOff>
      <xdr:row>51</xdr:row>
      <xdr:rowOff>121226</xdr:rowOff>
    </xdr:to>
    <xdr:sp macro="" textlink="">
      <xdr:nvSpPr>
        <xdr:cNvPr id="49" name="Rectángulo redondeado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1641518" y="11081160"/>
          <a:ext cx="1129395" cy="764475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1300"/>
            <a:t>Pedro</a:t>
          </a:r>
          <a:r>
            <a:rPr lang="es-EC" sz="1300" baseline="0"/>
            <a:t> Alvarado</a:t>
          </a:r>
          <a:endParaRPr lang="es-EC" sz="1300"/>
        </a:p>
      </xdr:txBody>
    </xdr:sp>
    <xdr:clientData/>
  </xdr:twoCellAnchor>
  <xdr:twoCellAnchor>
    <xdr:from>
      <xdr:col>0</xdr:col>
      <xdr:colOff>204108</xdr:colOff>
      <xdr:row>55</xdr:row>
      <xdr:rowOff>35870</xdr:rowOff>
    </xdr:from>
    <xdr:to>
      <xdr:col>2</xdr:col>
      <xdr:colOff>311730</xdr:colOff>
      <xdr:row>58</xdr:row>
      <xdr:rowOff>117512</xdr:rowOff>
    </xdr:to>
    <xdr:sp macro="" textlink="">
      <xdr:nvSpPr>
        <xdr:cNvPr id="50" name="Rectángulo redondeado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1728108" y="12522279"/>
          <a:ext cx="1129395" cy="653142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1300"/>
            <a:t>Duby</a:t>
          </a:r>
          <a:r>
            <a:rPr lang="es-EC" sz="1300" baseline="0"/>
            <a:t>     </a:t>
          </a:r>
        </a:p>
        <a:p>
          <a:pPr algn="ctr"/>
          <a:r>
            <a:rPr lang="es-EC" sz="1300" baseline="0"/>
            <a:t>Cruz</a:t>
          </a:r>
          <a:endParaRPr lang="es-EC" sz="1300"/>
        </a:p>
      </xdr:txBody>
    </xdr:sp>
    <xdr:clientData/>
  </xdr:twoCellAnchor>
  <xdr:twoCellAnchor>
    <xdr:from>
      <xdr:col>0</xdr:col>
      <xdr:colOff>190502</xdr:colOff>
      <xdr:row>70</xdr:row>
      <xdr:rowOff>51954</xdr:rowOff>
    </xdr:from>
    <xdr:to>
      <xdr:col>2</xdr:col>
      <xdr:colOff>453987</xdr:colOff>
      <xdr:row>74</xdr:row>
      <xdr:rowOff>51954</xdr:rowOff>
    </xdr:to>
    <xdr:sp macro="" textlink="">
      <xdr:nvSpPr>
        <xdr:cNvPr id="51" name="Rectángulo redondeado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1714502" y="15395863"/>
          <a:ext cx="1285258" cy="762000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1300"/>
            <a:t>Laura Verdezoto</a:t>
          </a:r>
        </a:p>
      </xdr:txBody>
    </xdr:sp>
    <xdr:clientData/>
  </xdr:twoCellAnchor>
  <xdr:twoCellAnchor>
    <xdr:from>
      <xdr:col>0</xdr:col>
      <xdr:colOff>173184</xdr:colOff>
      <xdr:row>62</xdr:row>
      <xdr:rowOff>34637</xdr:rowOff>
    </xdr:from>
    <xdr:to>
      <xdr:col>2</xdr:col>
      <xdr:colOff>350077</xdr:colOff>
      <xdr:row>65</xdr:row>
      <xdr:rowOff>116279</xdr:rowOff>
    </xdr:to>
    <xdr:sp macro="" textlink="">
      <xdr:nvSpPr>
        <xdr:cNvPr id="52" name="Rectángulo redondeado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1697184" y="13854546"/>
          <a:ext cx="1198666" cy="653142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1300"/>
            <a:t>Elvis </a:t>
          </a:r>
        </a:p>
        <a:p>
          <a:pPr algn="ctr"/>
          <a:r>
            <a:rPr lang="es-EC" sz="1300"/>
            <a:t>Huerta</a:t>
          </a:r>
        </a:p>
      </xdr:txBody>
    </xdr:sp>
    <xdr:clientData/>
  </xdr:twoCellAnchor>
  <xdr:twoCellAnchor>
    <xdr:from>
      <xdr:col>7</xdr:col>
      <xdr:colOff>415638</xdr:colOff>
      <xdr:row>19</xdr:row>
      <xdr:rowOff>17318</xdr:rowOff>
    </xdr:from>
    <xdr:to>
      <xdr:col>8</xdr:col>
      <xdr:colOff>692728</xdr:colOff>
      <xdr:row>23</xdr:row>
      <xdr:rowOff>69273</xdr:rowOff>
    </xdr:to>
    <xdr:sp macro="" textlink="">
      <xdr:nvSpPr>
        <xdr:cNvPr id="56" name="Rectángulo redondeado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6771411" y="5645727"/>
          <a:ext cx="1039090" cy="813955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1300"/>
            <a:t>AJV SUPLAY S.A.</a:t>
          </a:r>
        </a:p>
      </xdr:txBody>
    </xdr:sp>
    <xdr:clientData/>
  </xdr:twoCellAnchor>
  <xdr:twoCellAnchor>
    <xdr:from>
      <xdr:col>0</xdr:col>
      <xdr:colOff>755138</xdr:colOff>
      <xdr:row>23</xdr:row>
      <xdr:rowOff>126416</xdr:rowOff>
    </xdr:from>
    <xdr:to>
      <xdr:col>0</xdr:col>
      <xdr:colOff>774405</xdr:colOff>
      <xdr:row>25</xdr:row>
      <xdr:rowOff>51386</xdr:rowOff>
    </xdr:to>
    <xdr:cxnSp macro="">
      <xdr:nvCxnSpPr>
        <xdr:cNvPr id="58" name="Conector recto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CxnSpPr>
          <a:stCxn id="36" idx="2"/>
          <a:endCxn id="46" idx="0"/>
        </xdr:cNvCxnSpPr>
      </xdr:nvCxnSpPr>
      <xdr:spPr>
        <a:xfrm>
          <a:off x="755138" y="5072732"/>
          <a:ext cx="19267" cy="2926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727364</xdr:colOff>
      <xdr:row>29</xdr:row>
      <xdr:rowOff>155865</xdr:rowOff>
    </xdr:from>
    <xdr:to>
      <xdr:col>0</xdr:col>
      <xdr:colOff>747772</xdr:colOff>
      <xdr:row>31</xdr:row>
      <xdr:rowOff>118755</xdr:rowOff>
    </xdr:to>
    <xdr:cxnSp macro="">
      <xdr:nvCxnSpPr>
        <xdr:cNvPr id="61" name="Conector recto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CxnSpPr/>
      </xdr:nvCxnSpPr>
      <xdr:spPr>
        <a:xfrm flipH="1">
          <a:off x="2251364" y="7689274"/>
          <a:ext cx="20408" cy="34389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710045</xdr:colOff>
      <xdr:row>36</xdr:row>
      <xdr:rowOff>69273</xdr:rowOff>
    </xdr:from>
    <xdr:to>
      <xdr:col>0</xdr:col>
      <xdr:colOff>727364</xdr:colOff>
      <xdr:row>39</xdr:row>
      <xdr:rowOff>138546</xdr:rowOff>
    </xdr:to>
    <xdr:cxnSp macro="">
      <xdr:nvCxnSpPr>
        <xdr:cNvPr id="62" name="Conector recto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CxnSpPr/>
      </xdr:nvCxnSpPr>
      <xdr:spPr>
        <a:xfrm flipH="1">
          <a:off x="2234045" y="8936182"/>
          <a:ext cx="17319" cy="64077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675410</xdr:colOff>
      <xdr:row>58</xdr:row>
      <xdr:rowOff>117513</xdr:rowOff>
    </xdr:from>
    <xdr:to>
      <xdr:col>0</xdr:col>
      <xdr:colOff>682216</xdr:colOff>
      <xdr:row>62</xdr:row>
      <xdr:rowOff>51955</xdr:rowOff>
    </xdr:to>
    <xdr:cxnSp macro="">
      <xdr:nvCxnSpPr>
        <xdr:cNvPr id="63" name="Conector recto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CxnSpPr/>
      </xdr:nvCxnSpPr>
      <xdr:spPr>
        <a:xfrm flipH="1">
          <a:off x="2199410" y="13175422"/>
          <a:ext cx="6806" cy="69644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710046</xdr:colOff>
      <xdr:row>44</xdr:row>
      <xdr:rowOff>103909</xdr:rowOff>
    </xdr:from>
    <xdr:to>
      <xdr:col>0</xdr:col>
      <xdr:colOff>716852</xdr:colOff>
      <xdr:row>47</xdr:row>
      <xdr:rowOff>118753</xdr:rowOff>
    </xdr:to>
    <xdr:cxnSp macro="">
      <xdr:nvCxnSpPr>
        <xdr:cNvPr id="64" name="Conector recto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CxnSpPr/>
      </xdr:nvCxnSpPr>
      <xdr:spPr>
        <a:xfrm>
          <a:off x="2234046" y="10494818"/>
          <a:ext cx="6806" cy="58634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720563</xdr:colOff>
      <xdr:row>65</xdr:row>
      <xdr:rowOff>133597</xdr:rowOff>
    </xdr:from>
    <xdr:to>
      <xdr:col>0</xdr:col>
      <xdr:colOff>727364</xdr:colOff>
      <xdr:row>70</xdr:row>
      <xdr:rowOff>0</xdr:rowOff>
    </xdr:to>
    <xdr:cxnSp macro="">
      <xdr:nvCxnSpPr>
        <xdr:cNvPr id="67" name="Conector recto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CxnSpPr/>
      </xdr:nvCxnSpPr>
      <xdr:spPr>
        <a:xfrm>
          <a:off x="2244563" y="14525006"/>
          <a:ext cx="6801" cy="81890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51955</xdr:colOff>
      <xdr:row>19</xdr:row>
      <xdr:rowOff>86591</xdr:rowOff>
    </xdr:from>
    <xdr:to>
      <xdr:col>14</xdr:col>
      <xdr:colOff>381001</xdr:colOff>
      <xdr:row>23</xdr:row>
      <xdr:rowOff>131414</xdr:rowOff>
    </xdr:to>
    <xdr:sp macro="" textlink="">
      <xdr:nvSpPr>
        <xdr:cNvPr id="71" name="Rectángulo redondeado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/>
      </xdr:nvSpPr>
      <xdr:spPr>
        <a:xfrm>
          <a:off x="10650682" y="5715000"/>
          <a:ext cx="1091046" cy="806823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1400"/>
            <a:t>Olipack</a:t>
          </a:r>
          <a:r>
            <a:rPr lang="es-EC" sz="1400" baseline="0"/>
            <a:t> S.A.</a:t>
          </a:r>
          <a:endParaRPr lang="es-EC" sz="1400"/>
        </a:p>
      </xdr:txBody>
    </xdr:sp>
    <xdr:clientData/>
  </xdr:twoCellAnchor>
  <xdr:twoCellAnchor>
    <xdr:from>
      <xdr:col>24</xdr:col>
      <xdr:colOff>18357</xdr:colOff>
      <xdr:row>23</xdr:row>
      <xdr:rowOff>15902</xdr:rowOff>
    </xdr:from>
    <xdr:to>
      <xdr:col>24</xdr:col>
      <xdr:colOff>32731</xdr:colOff>
      <xdr:row>24</xdr:row>
      <xdr:rowOff>0</xdr:rowOff>
    </xdr:to>
    <xdr:cxnSp macro="">
      <xdr:nvCxnSpPr>
        <xdr:cNvPr id="74" name="Conector recto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CxnSpPr>
          <a:cxnSpLocks/>
          <a:endCxn id="77" idx="0"/>
        </xdr:cNvCxnSpPr>
      </xdr:nvCxnSpPr>
      <xdr:spPr>
        <a:xfrm>
          <a:off x="17371175" y="6129220"/>
          <a:ext cx="14374" cy="1572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255962</xdr:colOff>
      <xdr:row>24</xdr:row>
      <xdr:rowOff>0</xdr:rowOff>
    </xdr:from>
    <xdr:to>
      <xdr:col>24</xdr:col>
      <xdr:colOff>588818</xdr:colOff>
      <xdr:row>29</xdr:row>
      <xdr:rowOff>34636</xdr:rowOff>
    </xdr:to>
    <xdr:sp macro="" textlink="">
      <xdr:nvSpPr>
        <xdr:cNvPr id="77" name="Rectángulo redondeado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/>
      </xdr:nvSpPr>
      <xdr:spPr>
        <a:xfrm>
          <a:off x="16829462" y="6286500"/>
          <a:ext cx="1112174" cy="900545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C" sz="1400" baseline="0"/>
            <a:t>Pilar Arellano</a:t>
          </a:r>
          <a:endParaRPr lang="es-EC" sz="1400"/>
        </a:p>
      </xdr:txBody>
    </xdr:sp>
    <xdr:clientData/>
  </xdr:twoCellAnchor>
  <xdr:twoCellAnchor>
    <xdr:from>
      <xdr:col>24</xdr:col>
      <xdr:colOff>88497</xdr:colOff>
      <xdr:row>28</xdr:row>
      <xdr:rowOff>98195</xdr:rowOff>
    </xdr:from>
    <xdr:to>
      <xdr:col>24</xdr:col>
      <xdr:colOff>92307</xdr:colOff>
      <xdr:row>33</xdr:row>
      <xdr:rowOff>17317</xdr:rowOff>
    </xdr:to>
    <xdr:cxnSp macro="">
      <xdr:nvCxnSpPr>
        <xdr:cNvPr id="78" name="Conector recto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CxnSpPr>
          <a:endCxn id="79" idx="0"/>
        </xdr:cNvCxnSpPr>
      </xdr:nvCxnSpPr>
      <xdr:spPr>
        <a:xfrm flipH="1">
          <a:off x="18998047" y="6942687"/>
          <a:ext cx="1905" cy="78503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311728</xdr:colOff>
      <xdr:row>33</xdr:row>
      <xdr:rowOff>17317</xdr:rowOff>
    </xdr:from>
    <xdr:to>
      <xdr:col>24</xdr:col>
      <xdr:colOff>640774</xdr:colOff>
      <xdr:row>37</xdr:row>
      <xdr:rowOff>103908</xdr:rowOff>
    </xdr:to>
    <xdr:sp macro="" textlink="">
      <xdr:nvSpPr>
        <xdr:cNvPr id="79" name="Rectángulo redondeado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/>
      </xdr:nvSpPr>
      <xdr:spPr>
        <a:xfrm>
          <a:off x="18028228" y="8312726"/>
          <a:ext cx="1091046" cy="848591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C" sz="1400" baseline="0"/>
            <a:t>Laura Orbea</a:t>
          </a:r>
          <a:endParaRPr lang="es-EC" sz="1400"/>
        </a:p>
      </xdr:txBody>
    </xdr:sp>
    <xdr:clientData/>
  </xdr:twoCellAnchor>
  <xdr:twoCellAnchor>
    <xdr:from>
      <xdr:col>0</xdr:col>
      <xdr:colOff>727364</xdr:colOff>
      <xdr:row>8</xdr:row>
      <xdr:rowOff>155864</xdr:rowOff>
    </xdr:from>
    <xdr:to>
      <xdr:col>24</xdr:col>
      <xdr:colOff>51955</xdr:colOff>
      <xdr:row>8</xdr:row>
      <xdr:rowOff>155864</xdr:rowOff>
    </xdr:to>
    <xdr:cxnSp macro="">
      <xdr:nvCxnSpPr>
        <xdr:cNvPr id="81" name="Conector recto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CxnSpPr/>
      </xdr:nvCxnSpPr>
      <xdr:spPr>
        <a:xfrm>
          <a:off x="2251364" y="917864"/>
          <a:ext cx="11135591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744682</xdr:colOff>
      <xdr:row>8</xdr:row>
      <xdr:rowOff>155864</xdr:rowOff>
    </xdr:from>
    <xdr:to>
      <xdr:col>0</xdr:col>
      <xdr:colOff>744682</xdr:colOff>
      <xdr:row>11</xdr:row>
      <xdr:rowOff>138545</xdr:rowOff>
    </xdr:to>
    <xdr:cxnSp macro="">
      <xdr:nvCxnSpPr>
        <xdr:cNvPr id="84" name="Conector recto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CxnSpPr/>
      </xdr:nvCxnSpPr>
      <xdr:spPr>
        <a:xfrm>
          <a:off x="2268682" y="917864"/>
          <a:ext cx="0" cy="55418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242454</xdr:colOff>
      <xdr:row>8</xdr:row>
      <xdr:rowOff>173182</xdr:rowOff>
    </xdr:from>
    <xdr:to>
      <xdr:col>8</xdr:col>
      <xdr:colOff>242454</xdr:colOff>
      <xdr:row>11</xdr:row>
      <xdr:rowOff>155863</xdr:rowOff>
    </xdr:to>
    <xdr:cxnSp macro="">
      <xdr:nvCxnSpPr>
        <xdr:cNvPr id="86" name="Conector recto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CxnSpPr/>
      </xdr:nvCxnSpPr>
      <xdr:spPr>
        <a:xfrm>
          <a:off x="5074227" y="935182"/>
          <a:ext cx="0" cy="55418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640773</xdr:colOff>
      <xdr:row>8</xdr:row>
      <xdr:rowOff>155864</xdr:rowOff>
    </xdr:from>
    <xdr:to>
      <xdr:col>13</xdr:col>
      <xdr:colOff>640773</xdr:colOff>
      <xdr:row>11</xdr:row>
      <xdr:rowOff>138545</xdr:rowOff>
    </xdr:to>
    <xdr:cxnSp macro="">
      <xdr:nvCxnSpPr>
        <xdr:cNvPr id="87" name="Conector recto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CxnSpPr/>
      </xdr:nvCxnSpPr>
      <xdr:spPr>
        <a:xfrm>
          <a:off x="8191500" y="917864"/>
          <a:ext cx="0" cy="55418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69273</xdr:colOff>
      <xdr:row>8</xdr:row>
      <xdr:rowOff>155864</xdr:rowOff>
    </xdr:from>
    <xdr:to>
      <xdr:col>24</xdr:col>
      <xdr:colOff>69273</xdr:colOff>
      <xdr:row>11</xdr:row>
      <xdr:rowOff>138545</xdr:rowOff>
    </xdr:to>
    <xdr:cxnSp macro="">
      <xdr:nvCxnSpPr>
        <xdr:cNvPr id="94" name="Conector recto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CxnSpPr/>
      </xdr:nvCxnSpPr>
      <xdr:spPr>
        <a:xfrm>
          <a:off x="13404273" y="917864"/>
          <a:ext cx="0" cy="55418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623454</xdr:colOff>
      <xdr:row>25</xdr:row>
      <xdr:rowOff>103911</xdr:rowOff>
    </xdr:from>
    <xdr:to>
      <xdr:col>9</xdr:col>
      <xdr:colOff>571499</xdr:colOff>
      <xdr:row>38</xdr:row>
      <xdr:rowOff>121228</xdr:rowOff>
    </xdr:to>
    <xdr:sp macro="" textlink="">
      <xdr:nvSpPr>
        <xdr:cNvPr id="109" name="Llamada con línea 1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/>
      </xdr:nvSpPr>
      <xdr:spPr>
        <a:xfrm>
          <a:off x="6217227" y="6875320"/>
          <a:ext cx="2234045" cy="2493817"/>
        </a:xfrm>
        <a:prstGeom prst="borderCallout1">
          <a:avLst>
            <a:gd name="adj1" fmla="val 1687"/>
            <a:gd name="adj2" fmla="val 49487"/>
            <a:gd name="adj3" fmla="val -18295"/>
            <a:gd name="adj4" fmla="val 49357"/>
          </a:avLst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  <a:p>
          <a:pPr algn="l"/>
          <a:r>
            <a:rPr lang="es-EC" sz="1400"/>
            <a:t>- Formulario 104</a:t>
          </a:r>
          <a:r>
            <a:rPr lang="es-EC" sz="1400" baseline="0"/>
            <a:t>  </a:t>
          </a:r>
        </a:p>
        <a:p>
          <a:pPr algn="l"/>
          <a:r>
            <a:rPr lang="es-EC" sz="1400" baseline="0"/>
            <a:t>- Formulario 103</a:t>
          </a:r>
        </a:p>
        <a:p>
          <a:pPr algn="l"/>
          <a:r>
            <a:rPr lang="es-EC" sz="1400" baseline="0"/>
            <a:t>- Formulario 101</a:t>
          </a:r>
        </a:p>
        <a:p>
          <a:pPr algn="l"/>
          <a:r>
            <a:rPr lang="es-EC" sz="1400" baseline="0"/>
            <a:t>-Anexo Transaccional</a:t>
          </a:r>
        </a:p>
        <a:p>
          <a:pPr algn="l"/>
          <a:r>
            <a:rPr lang="es-EC" sz="1400" baseline="0"/>
            <a:t>- Declaracion Patrimonial</a:t>
          </a:r>
        </a:p>
        <a:p>
          <a:pPr algn="l"/>
          <a:r>
            <a:rPr lang="es-EC" sz="1400" baseline="0"/>
            <a:t>-Anexo ADI</a:t>
          </a:r>
        </a:p>
        <a:p>
          <a:pPr algn="l"/>
          <a:r>
            <a:rPr lang="es-EC" sz="1400" baseline="0"/>
            <a:t>-Anexo RDP</a:t>
          </a:r>
        </a:p>
        <a:p>
          <a:pPr algn="l"/>
          <a:r>
            <a:rPr lang="es-EC" sz="1400" baseline="0"/>
            <a:t>- Anexo APS</a:t>
          </a:r>
        </a:p>
        <a:p>
          <a:pPr algn="l"/>
          <a:endParaRPr lang="es-EC" sz="1400"/>
        </a:p>
      </xdr:txBody>
    </xdr:sp>
    <xdr:clientData/>
  </xdr:twoCellAnchor>
  <xdr:twoCellAnchor>
    <xdr:from>
      <xdr:col>12</xdr:col>
      <xdr:colOff>1</xdr:colOff>
      <xdr:row>25</xdr:row>
      <xdr:rowOff>173181</xdr:rowOff>
    </xdr:from>
    <xdr:to>
      <xdr:col>15</xdr:col>
      <xdr:colOff>710046</xdr:colOff>
      <xdr:row>38</xdr:row>
      <xdr:rowOff>190498</xdr:rowOff>
    </xdr:to>
    <xdr:sp macro="" textlink="">
      <xdr:nvSpPr>
        <xdr:cNvPr id="110" name="Llamada con línea 1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/>
      </xdr:nvSpPr>
      <xdr:spPr>
        <a:xfrm>
          <a:off x="9836728" y="6944590"/>
          <a:ext cx="2996045" cy="2493817"/>
        </a:xfrm>
        <a:prstGeom prst="borderCallout1">
          <a:avLst>
            <a:gd name="adj1" fmla="val -396"/>
            <a:gd name="adj2" fmla="val 45522"/>
            <a:gd name="adj3" fmla="val -16906"/>
            <a:gd name="adj4" fmla="val 45589"/>
          </a:avLst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  <a:p>
          <a:pPr algn="l"/>
          <a:r>
            <a:rPr lang="es-EC" sz="1400"/>
            <a:t>- Formulario 104</a:t>
          </a:r>
          <a:r>
            <a:rPr lang="es-EC" sz="1400" baseline="0"/>
            <a:t>  </a:t>
          </a:r>
        </a:p>
        <a:p>
          <a:pPr algn="l"/>
          <a:r>
            <a:rPr lang="es-EC" sz="1400" baseline="0"/>
            <a:t>- Formulario 103</a:t>
          </a:r>
        </a:p>
        <a:p>
          <a:pPr algn="l"/>
          <a:r>
            <a:rPr lang="es-EC" sz="1400" baseline="0"/>
            <a:t>- Formulario 101</a:t>
          </a:r>
        </a:p>
        <a:p>
          <a:pPr algn="l"/>
          <a:r>
            <a:rPr lang="es-EC" sz="1400" baseline="0"/>
            <a:t>-Anexo Transaccional</a:t>
          </a:r>
        </a:p>
        <a:p>
          <a:pPr algn="l"/>
          <a:r>
            <a:rPr lang="es-EC" sz="1400" baseline="0"/>
            <a:t>- Declaracion Patrimonial</a:t>
          </a:r>
        </a:p>
        <a:p>
          <a:pPr algn="l"/>
          <a:r>
            <a:rPr lang="es-EC" sz="1400" baseline="0"/>
            <a:t>-Anexo ADI</a:t>
          </a:r>
        </a:p>
        <a:p>
          <a:pPr algn="l"/>
          <a:r>
            <a:rPr lang="es-EC" sz="1400" baseline="0"/>
            <a:t>-Anexo RDP</a:t>
          </a:r>
        </a:p>
        <a:p>
          <a:pPr algn="l"/>
          <a:r>
            <a:rPr lang="es-EC" sz="1400" baseline="0"/>
            <a:t>- Anexo APS</a:t>
          </a:r>
        </a:p>
        <a:p>
          <a:pPr algn="l"/>
          <a:endParaRPr lang="es-EC" sz="1400"/>
        </a:p>
      </xdr:txBody>
    </xdr:sp>
    <xdr:clientData/>
  </xdr:twoCellAnchor>
  <xdr:twoCellAnchor>
    <xdr:from>
      <xdr:col>18</xdr:col>
      <xdr:colOff>225136</xdr:colOff>
      <xdr:row>25</xdr:row>
      <xdr:rowOff>51956</xdr:rowOff>
    </xdr:from>
    <xdr:to>
      <xdr:col>21</xdr:col>
      <xdr:colOff>363681</xdr:colOff>
      <xdr:row>39</xdr:row>
      <xdr:rowOff>86592</xdr:rowOff>
    </xdr:to>
    <xdr:sp macro="" textlink="">
      <xdr:nvSpPr>
        <xdr:cNvPr id="111" name="Llamada con línea 1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/>
      </xdr:nvSpPr>
      <xdr:spPr>
        <a:xfrm>
          <a:off x="14512636" y="6823365"/>
          <a:ext cx="2234045" cy="2701636"/>
        </a:xfrm>
        <a:prstGeom prst="borderCallout1">
          <a:avLst>
            <a:gd name="adj1" fmla="val 993"/>
            <a:gd name="adj2" fmla="val 63441"/>
            <a:gd name="adj3" fmla="val -82291"/>
            <a:gd name="adj4" fmla="val 143156"/>
          </a:avLst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  <a:p>
          <a:pPr algn="l"/>
          <a:r>
            <a:rPr lang="es-EC" sz="1400"/>
            <a:t>- Formulario 104</a:t>
          </a:r>
          <a:r>
            <a:rPr lang="es-EC" sz="1400" baseline="0"/>
            <a:t>  </a:t>
          </a:r>
        </a:p>
        <a:p>
          <a:pPr algn="l"/>
          <a:r>
            <a:rPr lang="es-EC" sz="1400" baseline="0"/>
            <a:t>- Formulario 103</a:t>
          </a:r>
        </a:p>
        <a:p>
          <a:pPr algn="l"/>
          <a:r>
            <a:rPr lang="es-EC" sz="1400" baseline="0"/>
            <a:t>- Formulario 101</a:t>
          </a:r>
        </a:p>
        <a:p>
          <a:pPr algn="l"/>
          <a:r>
            <a:rPr lang="es-EC" sz="1400" baseline="0"/>
            <a:t>-Anexo Transaccional</a:t>
          </a:r>
        </a:p>
        <a:p>
          <a:pPr algn="l"/>
          <a:r>
            <a:rPr lang="es-EC" sz="1400" baseline="0"/>
            <a:t>- Declaracion Patrimonial</a:t>
          </a:r>
        </a:p>
        <a:p>
          <a:pPr algn="l"/>
          <a:r>
            <a:rPr lang="es-EC" sz="1400" baseline="0"/>
            <a:t>-Anexo ADI</a:t>
          </a:r>
        </a:p>
        <a:p>
          <a:pPr algn="l"/>
          <a:r>
            <a:rPr lang="es-EC" sz="1400" baseline="0"/>
            <a:t>-Anexo RDP</a:t>
          </a:r>
        </a:p>
        <a:p>
          <a:pPr algn="l"/>
          <a:r>
            <a:rPr lang="es-EC" sz="1400" baseline="0"/>
            <a:t>- Anexo APS</a:t>
          </a:r>
        </a:p>
        <a:p>
          <a:pPr algn="l"/>
          <a:r>
            <a:rPr lang="es-EC" sz="1400" baseline="0"/>
            <a:t>- Anexo ICT</a:t>
          </a:r>
        </a:p>
        <a:p>
          <a:pPr algn="l"/>
          <a:r>
            <a:rPr lang="es-EC" sz="1400" baseline="0"/>
            <a:t>- Anexo de Activos y Pasivos</a:t>
          </a:r>
        </a:p>
        <a:p>
          <a:pPr algn="l"/>
          <a:r>
            <a:rPr lang="es-EC" sz="1400" baseline="0"/>
            <a:t>- Reporte UAFE</a:t>
          </a:r>
        </a:p>
        <a:p>
          <a:pPr algn="l"/>
          <a:endParaRPr lang="es-EC" sz="1400" baseline="0"/>
        </a:p>
        <a:p>
          <a:pPr algn="l"/>
          <a:endParaRPr lang="es-EC" sz="1400"/>
        </a:p>
      </xdr:txBody>
    </xdr:sp>
    <xdr:clientData/>
  </xdr:twoCellAnchor>
  <xdr:twoCellAnchor>
    <xdr:from>
      <xdr:col>26</xdr:col>
      <xdr:colOff>396413</xdr:colOff>
      <xdr:row>3</xdr:row>
      <xdr:rowOff>123133</xdr:rowOff>
    </xdr:from>
    <xdr:to>
      <xdr:col>29</xdr:col>
      <xdr:colOff>694632</xdr:colOff>
      <xdr:row>21</xdr:row>
      <xdr:rowOff>94209</xdr:rowOff>
    </xdr:to>
    <xdr:sp macro="" textlink="">
      <xdr:nvSpPr>
        <xdr:cNvPr id="113" name="Llamada con línea 2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/>
      </xdr:nvSpPr>
      <xdr:spPr>
        <a:xfrm>
          <a:off x="19307868" y="2426451"/>
          <a:ext cx="2636173" cy="3434713"/>
        </a:xfrm>
        <a:prstGeom prst="borderCallout2">
          <a:avLst>
            <a:gd name="adj1" fmla="val 34983"/>
            <a:gd name="adj2" fmla="val -278"/>
            <a:gd name="adj3" fmla="val 11599"/>
            <a:gd name="adj4" fmla="val -40157"/>
            <a:gd name="adj5" fmla="val 11361"/>
            <a:gd name="adj6" fmla="val -309510"/>
          </a:avLst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600"/>
            <a:t>- Formulario 104</a:t>
          </a:r>
        </a:p>
        <a:p>
          <a:pPr algn="l"/>
          <a:r>
            <a:rPr lang="es-EC" sz="1600"/>
            <a:t>-</a:t>
          </a:r>
          <a:r>
            <a:rPr lang="es-EC" sz="1600" baseline="0"/>
            <a:t> Formulario 103</a:t>
          </a:r>
        </a:p>
        <a:p>
          <a:pPr algn="l"/>
          <a:r>
            <a:rPr lang="es-EC" sz="1600" baseline="0"/>
            <a:t>- Formulario 101</a:t>
          </a:r>
        </a:p>
        <a:p>
          <a:pPr algn="l"/>
          <a:r>
            <a:rPr lang="es-EC" sz="1600" baseline="0"/>
            <a:t>- Anexo Transaccional</a:t>
          </a:r>
        </a:p>
        <a:p>
          <a:pPr algn="l"/>
          <a:r>
            <a:rPr lang="es-EC" sz="1600" baseline="0"/>
            <a:t>- Declaracion Patrimonial</a:t>
          </a:r>
        </a:p>
        <a:p>
          <a:pPr algn="l"/>
          <a:r>
            <a:rPr lang="es-EC" sz="1600" baseline="0"/>
            <a:t>- Anexo ADI</a:t>
          </a:r>
        </a:p>
        <a:p>
          <a:pPr algn="l"/>
          <a:r>
            <a:rPr lang="es-EC" sz="1600" baseline="0"/>
            <a:t>- Anexo RDP</a:t>
          </a:r>
        </a:p>
        <a:p>
          <a:pPr algn="l"/>
          <a:r>
            <a:rPr lang="es-EC" sz="1600"/>
            <a:t>- Anexo APS</a:t>
          </a:r>
        </a:p>
        <a:p>
          <a:pPr algn="l"/>
          <a:r>
            <a:rPr lang="es-EC" sz="1600"/>
            <a:t>- Anexo ICT</a:t>
          </a:r>
        </a:p>
        <a:p>
          <a:pPr algn="l"/>
          <a:r>
            <a:rPr lang="es-EC" sz="1600"/>
            <a:t>-</a:t>
          </a:r>
          <a:r>
            <a:rPr lang="es-EC" sz="1600" baseline="0"/>
            <a:t> Anexo de Activos y Pasivos</a:t>
          </a:r>
        </a:p>
        <a:p>
          <a:pPr algn="l"/>
          <a:r>
            <a:rPr lang="es-EC" sz="1600" baseline="0"/>
            <a:t>- Reporte Dinardap</a:t>
          </a:r>
        </a:p>
        <a:p>
          <a:pPr algn="l"/>
          <a:r>
            <a:rPr lang="es-EC" sz="1600" baseline="0"/>
            <a:t>- Devolucion de IVA</a:t>
          </a:r>
        </a:p>
        <a:p>
          <a:pPr algn="l"/>
          <a:r>
            <a:rPr lang="es-EC" sz="1600" baseline="0"/>
            <a:t>- Devolucion de IR</a:t>
          </a:r>
        </a:p>
        <a:p>
          <a:pPr algn="l"/>
          <a:r>
            <a:rPr lang="es-EC" sz="1600" baseline="0"/>
            <a:t>- Devolucion de ISD</a:t>
          </a:r>
        </a:p>
      </xdr:txBody>
    </xdr:sp>
    <xdr:clientData/>
  </xdr:twoCellAnchor>
  <xdr:twoCellAnchor>
    <xdr:from>
      <xdr:col>26</xdr:col>
      <xdr:colOff>380999</xdr:colOff>
      <xdr:row>23</xdr:row>
      <xdr:rowOff>0</xdr:rowOff>
    </xdr:from>
    <xdr:to>
      <xdr:col>29</xdr:col>
      <xdr:colOff>692726</xdr:colOff>
      <xdr:row>31</xdr:row>
      <xdr:rowOff>21128</xdr:rowOff>
    </xdr:to>
    <xdr:sp macro="" textlink="">
      <xdr:nvSpPr>
        <xdr:cNvPr id="117" name="Llamada con línea 1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/>
      </xdr:nvSpPr>
      <xdr:spPr>
        <a:xfrm>
          <a:off x="19292454" y="6113318"/>
          <a:ext cx="2649681" cy="1406583"/>
        </a:xfrm>
        <a:prstGeom prst="borderCallout1">
          <a:avLst>
            <a:gd name="adj1" fmla="val 42877"/>
            <a:gd name="adj2" fmla="val -641"/>
            <a:gd name="adj3" fmla="val 42468"/>
            <a:gd name="adj4" fmla="val -55816"/>
          </a:avLst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400" baseline="0"/>
            <a:t>- Formulario 104</a:t>
          </a:r>
        </a:p>
        <a:p>
          <a:pPr algn="l"/>
          <a:r>
            <a:rPr lang="es-EC" sz="1400" baseline="0"/>
            <a:t>- Formulario 103</a:t>
          </a:r>
        </a:p>
        <a:p>
          <a:pPr algn="l"/>
          <a:r>
            <a:rPr lang="es-EC" sz="1400" baseline="0"/>
            <a:t>- Formulario 125</a:t>
          </a:r>
        </a:p>
        <a:p>
          <a:pPr algn="l"/>
          <a:r>
            <a:rPr lang="es-EC" sz="1400" baseline="0"/>
            <a:t>- Anexo de Gastos Personale</a:t>
          </a:r>
        </a:p>
        <a:p>
          <a:pPr algn="l"/>
          <a:r>
            <a:rPr lang="es-EC" sz="1400" baseline="0"/>
            <a:t>- Devolucion de IVA</a:t>
          </a:r>
        </a:p>
        <a:p>
          <a:pPr algn="l"/>
          <a:r>
            <a:rPr lang="es-EC" sz="1400" baseline="0"/>
            <a:t>-Devolucion de IR</a:t>
          </a:r>
        </a:p>
        <a:p>
          <a:pPr algn="l"/>
          <a:endParaRPr lang="es-EC" sz="1400"/>
        </a:p>
      </xdr:txBody>
    </xdr:sp>
    <xdr:clientData/>
  </xdr:twoCellAnchor>
  <xdr:twoCellAnchor>
    <xdr:from>
      <xdr:col>4</xdr:col>
      <xdr:colOff>34636</xdr:colOff>
      <xdr:row>19</xdr:row>
      <xdr:rowOff>34636</xdr:rowOff>
    </xdr:from>
    <xdr:to>
      <xdr:col>6</xdr:col>
      <xdr:colOff>155863</xdr:colOff>
      <xdr:row>25</xdr:row>
      <xdr:rowOff>69273</xdr:rowOff>
    </xdr:to>
    <xdr:sp macro="" textlink="">
      <xdr:nvSpPr>
        <xdr:cNvPr id="118" name="Llamada con línea 1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/>
      </xdr:nvSpPr>
      <xdr:spPr>
        <a:xfrm>
          <a:off x="4104409" y="5663045"/>
          <a:ext cx="1645227" cy="1177637"/>
        </a:xfrm>
        <a:prstGeom prst="borderCallout1">
          <a:avLst>
            <a:gd name="adj1" fmla="val 44679"/>
            <a:gd name="adj2" fmla="val 758"/>
            <a:gd name="adj3" fmla="val 44470"/>
            <a:gd name="adj4" fmla="val -78078"/>
          </a:avLst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400" baseline="0"/>
            <a:t>- Formulario 104</a:t>
          </a:r>
        </a:p>
        <a:p>
          <a:pPr algn="l"/>
          <a:r>
            <a:rPr lang="es-EC" sz="1400" baseline="0"/>
            <a:t>- Formulario 103</a:t>
          </a:r>
        </a:p>
        <a:p>
          <a:pPr algn="l"/>
          <a:r>
            <a:rPr lang="es-EC" sz="1400" baseline="0"/>
            <a:t>- Formulario 125</a:t>
          </a:r>
        </a:p>
        <a:p>
          <a:pPr algn="l"/>
          <a:r>
            <a:rPr lang="es-EC" sz="1400" baseline="0"/>
            <a:t>- Anexo de Gastos Personale</a:t>
          </a:r>
        </a:p>
        <a:p>
          <a:pPr algn="l"/>
          <a:endParaRPr lang="es-EC" sz="1400" baseline="0"/>
        </a:p>
        <a:p>
          <a:pPr algn="l"/>
          <a:endParaRPr lang="es-EC" sz="1400"/>
        </a:p>
      </xdr:txBody>
    </xdr:sp>
    <xdr:clientData/>
  </xdr:twoCellAnchor>
  <xdr:twoCellAnchor>
    <xdr:from>
      <xdr:col>4</xdr:col>
      <xdr:colOff>17318</xdr:colOff>
      <xdr:row>26</xdr:row>
      <xdr:rowOff>17318</xdr:rowOff>
    </xdr:from>
    <xdr:to>
      <xdr:col>6</xdr:col>
      <xdr:colOff>138545</xdr:colOff>
      <xdr:row>32</xdr:row>
      <xdr:rowOff>51955</xdr:rowOff>
    </xdr:to>
    <xdr:sp macro="" textlink="">
      <xdr:nvSpPr>
        <xdr:cNvPr id="119" name="Llamada con línea 1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/>
      </xdr:nvSpPr>
      <xdr:spPr>
        <a:xfrm>
          <a:off x="4087091" y="6979227"/>
          <a:ext cx="1645227" cy="1177637"/>
        </a:xfrm>
        <a:prstGeom prst="borderCallout1">
          <a:avLst>
            <a:gd name="adj1" fmla="val 35855"/>
            <a:gd name="adj2" fmla="val 758"/>
            <a:gd name="adj3" fmla="val 34176"/>
            <a:gd name="adj4" fmla="val -74920"/>
          </a:avLst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400" baseline="0"/>
            <a:t>- Formulario 104</a:t>
          </a:r>
        </a:p>
        <a:p>
          <a:pPr algn="l"/>
          <a:r>
            <a:rPr lang="es-EC" sz="1400" baseline="0"/>
            <a:t>- Formulario 103</a:t>
          </a:r>
        </a:p>
        <a:p>
          <a:pPr algn="l"/>
          <a:r>
            <a:rPr lang="es-EC" sz="1400" baseline="0"/>
            <a:t>- Formulario 125</a:t>
          </a:r>
        </a:p>
        <a:p>
          <a:pPr algn="l"/>
          <a:r>
            <a:rPr lang="es-EC" sz="1400" baseline="0"/>
            <a:t>- Anexo de Gastos Personale</a:t>
          </a:r>
        </a:p>
        <a:p>
          <a:pPr algn="l"/>
          <a:endParaRPr lang="es-EC" sz="1400" baseline="0"/>
        </a:p>
        <a:p>
          <a:pPr algn="l"/>
          <a:endParaRPr lang="es-EC" sz="1400"/>
        </a:p>
      </xdr:txBody>
    </xdr:sp>
    <xdr:clientData/>
  </xdr:twoCellAnchor>
  <xdr:twoCellAnchor>
    <xdr:from>
      <xdr:col>9</xdr:col>
      <xdr:colOff>536864</xdr:colOff>
      <xdr:row>10</xdr:row>
      <xdr:rowOff>138546</xdr:rowOff>
    </xdr:from>
    <xdr:to>
      <xdr:col>12</xdr:col>
      <xdr:colOff>225137</xdr:colOff>
      <xdr:row>17</xdr:row>
      <xdr:rowOff>121227</xdr:rowOff>
    </xdr:to>
    <xdr:sp macro="" textlink="">
      <xdr:nvSpPr>
        <xdr:cNvPr id="121" name="Llamada con línea 1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/>
      </xdr:nvSpPr>
      <xdr:spPr>
        <a:xfrm>
          <a:off x="8416637" y="4052455"/>
          <a:ext cx="1645227" cy="1316181"/>
        </a:xfrm>
        <a:prstGeom prst="borderCallout1">
          <a:avLst>
            <a:gd name="adj1" fmla="val 44679"/>
            <a:gd name="adj2" fmla="val 758"/>
            <a:gd name="adj3" fmla="val 44625"/>
            <a:gd name="adj4" fmla="val -21235"/>
          </a:avLst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400" baseline="0"/>
            <a:t>- Formulario 101</a:t>
          </a:r>
        </a:p>
        <a:p>
          <a:pPr algn="l"/>
          <a:r>
            <a:rPr lang="es-EC" sz="1400" baseline="0"/>
            <a:t>- Anexo de Gastos Personale</a:t>
          </a:r>
        </a:p>
        <a:p>
          <a:pPr algn="l"/>
          <a:r>
            <a:rPr lang="es-EC" sz="1400" baseline="0"/>
            <a:t>- Anexo Declaracion Patrimonial</a:t>
          </a:r>
        </a:p>
        <a:p>
          <a:pPr algn="l"/>
          <a:endParaRPr lang="es-EC" sz="1400" baseline="0"/>
        </a:p>
        <a:p>
          <a:pPr algn="l"/>
          <a:endParaRPr lang="es-EC" sz="1400"/>
        </a:p>
      </xdr:txBody>
    </xdr:sp>
    <xdr:clientData/>
  </xdr:twoCellAnchor>
  <xdr:twoCellAnchor>
    <xdr:from>
      <xdr:col>15</xdr:col>
      <xdr:colOff>138546</xdr:colOff>
      <xdr:row>10</xdr:row>
      <xdr:rowOff>51954</xdr:rowOff>
    </xdr:from>
    <xdr:to>
      <xdr:col>17</xdr:col>
      <xdr:colOff>259773</xdr:colOff>
      <xdr:row>17</xdr:row>
      <xdr:rowOff>69273</xdr:rowOff>
    </xdr:to>
    <xdr:sp macro="" textlink="">
      <xdr:nvSpPr>
        <xdr:cNvPr id="122" name="Llamada con línea 1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/>
      </xdr:nvSpPr>
      <xdr:spPr>
        <a:xfrm>
          <a:off x="12261273" y="3965863"/>
          <a:ext cx="1645227" cy="1350819"/>
        </a:xfrm>
        <a:prstGeom prst="borderCallout1">
          <a:avLst>
            <a:gd name="adj1" fmla="val 44679"/>
            <a:gd name="adj2" fmla="val 758"/>
            <a:gd name="adj3" fmla="val 44659"/>
            <a:gd name="adj4" fmla="val -19130"/>
          </a:avLst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400" baseline="0"/>
            <a:t>- Formulario 101</a:t>
          </a:r>
        </a:p>
        <a:p>
          <a:pPr algn="l"/>
          <a:r>
            <a:rPr lang="es-EC" sz="1400" baseline="0"/>
            <a:t>- Anexo de Gastos Personale</a:t>
          </a:r>
        </a:p>
        <a:p>
          <a:pPr algn="l"/>
          <a:r>
            <a:rPr lang="es-EC" sz="1400" baseline="0"/>
            <a:t>- Anexo Declaracion Patrimonial</a:t>
          </a:r>
        </a:p>
        <a:p>
          <a:pPr algn="l"/>
          <a:endParaRPr lang="es-EC" sz="1400" baseline="0"/>
        </a:p>
        <a:p>
          <a:pPr algn="l"/>
          <a:endParaRPr lang="es-EC" sz="1400"/>
        </a:p>
      </xdr:txBody>
    </xdr:sp>
    <xdr:clientData/>
  </xdr:twoCellAnchor>
  <xdr:twoCellAnchor>
    <xdr:from>
      <xdr:col>4</xdr:col>
      <xdr:colOff>34637</xdr:colOff>
      <xdr:row>9</xdr:row>
      <xdr:rowOff>86591</xdr:rowOff>
    </xdr:from>
    <xdr:to>
      <xdr:col>6</xdr:col>
      <xdr:colOff>155864</xdr:colOff>
      <xdr:row>18</xdr:row>
      <xdr:rowOff>103908</xdr:rowOff>
    </xdr:to>
    <xdr:sp macro="" textlink="">
      <xdr:nvSpPr>
        <xdr:cNvPr id="123" name="Llamada con línea 1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/>
      </xdr:nvSpPr>
      <xdr:spPr>
        <a:xfrm>
          <a:off x="4104410" y="3810000"/>
          <a:ext cx="1645227" cy="1731817"/>
        </a:xfrm>
        <a:prstGeom prst="borderCallout1">
          <a:avLst>
            <a:gd name="adj1" fmla="val 45679"/>
            <a:gd name="adj2" fmla="val -295"/>
            <a:gd name="adj3" fmla="val 45941"/>
            <a:gd name="adj4" fmla="val -52814"/>
          </a:avLst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400" baseline="0"/>
            <a:t>- Formulario 104</a:t>
          </a:r>
        </a:p>
        <a:p>
          <a:pPr algn="l"/>
          <a:r>
            <a:rPr lang="es-EC" sz="1400" baseline="0"/>
            <a:t>- Formulario 103</a:t>
          </a:r>
        </a:p>
        <a:p>
          <a:pPr algn="l"/>
          <a:r>
            <a:rPr lang="es-EC" sz="1400" baseline="0"/>
            <a:t>- Formulario 101</a:t>
          </a:r>
        </a:p>
        <a:p>
          <a:pPr algn="l"/>
          <a:r>
            <a:rPr lang="es-EC" sz="1400" baseline="0"/>
            <a:t>- Anexo de Gastos Personale</a:t>
          </a:r>
        </a:p>
        <a:p>
          <a:pPr algn="l"/>
          <a:r>
            <a:rPr lang="es-EC" sz="1400" baseline="0"/>
            <a:t>- Devolucion de IVA</a:t>
          </a:r>
        </a:p>
        <a:p>
          <a:pPr algn="l"/>
          <a:r>
            <a:rPr lang="es-EC" sz="1400" baseline="0"/>
            <a:t>- Devolucion de IR</a:t>
          </a:r>
        </a:p>
        <a:p>
          <a:pPr algn="l"/>
          <a:endParaRPr lang="es-EC" sz="1400" baseline="0"/>
        </a:p>
        <a:p>
          <a:pPr algn="l"/>
          <a:endParaRPr lang="es-EC" sz="1400"/>
        </a:p>
      </xdr:txBody>
    </xdr:sp>
    <xdr:clientData/>
  </xdr:twoCellAnchor>
  <xdr:twoCellAnchor>
    <xdr:from>
      <xdr:col>4</xdr:col>
      <xdr:colOff>17319</xdr:colOff>
      <xdr:row>32</xdr:row>
      <xdr:rowOff>138545</xdr:rowOff>
    </xdr:from>
    <xdr:to>
      <xdr:col>6</xdr:col>
      <xdr:colOff>138546</xdr:colOff>
      <xdr:row>38</xdr:row>
      <xdr:rowOff>173182</xdr:rowOff>
    </xdr:to>
    <xdr:sp macro="" textlink="">
      <xdr:nvSpPr>
        <xdr:cNvPr id="124" name="Llamada con línea 1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/>
      </xdr:nvSpPr>
      <xdr:spPr>
        <a:xfrm>
          <a:off x="4087092" y="8243454"/>
          <a:ext cx="1645227" cy="1177637"/>
        </a:xfrm>
        <a:prstGeom prst="borderCallout1">
          <a:avLst>
            <a:gd name="adj1" fmla="val 35855"/>
            <a:gd name="adj2" fmla="val 758"/>
            <a:gd name="adj3" fmla="val 32706"/>
            <a:gd name="adj4" fmla="val -78078"/>
          </a:avLst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400" baseline="0"/>
            <a:t>- Formulario 104</a:t>
          </a:r>
        </a:p>
        <a:p>
          <a:pPr algn="l"/>
          <a:r>
            <a:rPr lang="es-EC" sz="1400" baseline="0"/>
            <a:t>- Formulario 103</a:t>
          </a:r>
        </a:p>
        <a:p>
          <a:pPr algn="l"/>
          <a:r>
            <a:rPr lang="es-EC" sz="1400" baseline="0"/>
            <a:t>- Formulario 125</a:t>
          </a:r>
        </a:p>
        <a:p>
          <a:pPr algn="l"/>
          <a:r>
            <a:rPr lang="es-EC" sz="1400" baseline="0"/>
            <a:t>- Anexo de Gastos Personale</a:t>
          </a:r>
        </a:p>
        <a:p>
          <a:pPr algn="l"/>
          <a:endParaRPr lang="es-EC" sz="1400" baseline="0"/>
        </a:p>
        <a:p>
          <a:pPr algn="l"/>
          <a:endParaRPr lang="es-EC" sz="1400"/>
        </a:p>
      </xdr:txBody>
    </xdr:sp>
    <xdr:clientData/>
  </xdr:twoCellAnchor>
  <xdr:twoCellAnchor>
    <xdr:from>
      <xdr:col>4</xdr:col>
      <xdr:colOff>31174</xdr:colOff>
      <xdr:row>40</xdr:row>
      <xdr:rowOff>13854</xdr:rowOff>
    </xdr:from>
    <xdr:to>
      <xdr:col>6</xdr:col>
      <xdr:colOff>152401</xdr:colOff>
      <xdr:row>46</xdr:row>
      <xdr:rowOff>48491</xdr:rowOff>
    </xdr:to>
    <xdr:sp macro="" textlink="">
      <xdr:nvSpPr>
        <xdr:cNvPr id="125" name="Llamada con línea 1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/>
      </xdr:nvSpPr>
      <xdr:spPr>
        <a:xfrm>
          <a:off x="4100947" y="9642763"/>
          <a:ext cx="1645227" cy="1177637"/>
        </a:xfrm>
        <a:prstGeom prst="borderCallout1">
          <a:avLst>
            <a:gd name="adj1" fmla="val 35855"/>
            <a:gd name="adj2" fmla="val 758"/>
            <a:gd name="adj3" fmla="val 35647"/>
            <a:gd name="adj4" fmla="val -78078"/>
          </a:avLst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400" baseline="0"/>
            <a:t>- Formulario 104</a:t>
          </a:r>
        </a:p>
        <a:p>
          <a:pPr algn="l"/>
          <a:r>
            <a:rPr lang="es-EC" sz="1400" baseline="0"/>
            <a:t>- Formulario 103</a:t>
          </a:r>
        </a:p>
        <a:p>
          <a:pPr algn="l"/>
          <a:r>
            <a:rPr lang="es-EC" sz="1400" baseline="0"/>
            <a:t>- Formulario 125</a:t>
          </a:r>
        </a:p>
        <a:p>
          <a:pPr algn="l"/>
          <a:r>
            <a:rPr lang="es-EC" sz="1400" baseline="0"/>
            <a:t>- Anexo de Gastos Personale</a:t>
          </a:r>
        </a:p>
        <a:p>
          <a:pPr algn="l"/>
          <a:endParaRPr lang="es-EC" sz="1400" baseline="0"/>
        </a:p>
        <a:p>
          <a:pPr algn="l"/>
          <a:endParaRPr lang="es-EC" sz="1400"/>
        </a:p>
      </xdr:txBody>
    </xdr:sp>
    <xdr:clientData/>
  </xdr:twoCellAnchor>
  <xdr:twoCellAnchor>
    <xdr:from>
      <xdr:col>4</xdr:col>
      <xdr:colOff>17318</xdr:colOff>
      <xdr:row>47</xdr:row>
      <xdr:rowOff>103909</xdr:rowOff>
    </xdr:from>
    <xdr:to>
      <xdr:col>6</xdr:col>
      <xdr:colOff>138545</xdr:colOff>
      <xdr:row>53</xdr:row>
      <xdr:rowOff>138546</xdr:rowOff>
    </xdr:to>
    <xdr:sp macro="" textlink="">
      <xdr:nvSpPr>
        <xdr:cNvPr id="128" name="Llamada con línea 1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/>
      </xdr:nvSpPr>
      <xdr:spPr>
        <a:xfrm>
          <a:off x="4087091" y="11066318"/>
          <a:ext cx="1645227" cy="1177637"/>
        </a:xfrm>
        <a:prstGeom prst="borderCallout1">
          <a:avLst>
            <a:gd name="adj1" fmla="val 35855"/>
            <a:gd name="adj2" fmla="val 758"/>
            <a:gd name="adj3" fmla="val 34176"/>
            <a:gd name="adj4" fmla="val -80183"/>
          </a:avLst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400" baseline="0"/>
            <a:t>- Formulario 104</a:t>
          </a:r>
        </a:p>
        <a:p>
          <a:pPr algn="l"/>
          <a:r>
            <a:rPr lang="es-EC" sz="1400" baseline="0"/>
            <a:t>- Formulario 103</a:t>
          </a:r>
        </a:p>
        <a:p>
          <a:pPr algn="l"/>
          <a:r>
            <a:rPr lang="es-EC" sz="1400" baseline="0"/>
            <a:t>- Formulario 125</a:t>
          </a:r>
        </a:p>
        <a:p>
          <a:pPr algn="l"/>
          <a:r>
            <a:rPr lang="es-EC" sz="1400" baseline="0"/>
            <a:t>- Anexo de Gastos Personale</a:t>
          </a:r>
        </a:p>
        <a:p>
          <a:pPr algn="l"/>
          <a:endParaRPr lang="es-EC" sz="1400" baseline="0"/>
        </a:p>
        <a:p>
          <a:pPr algn="l"/>
          <a:endParaRPr lang="es-EC" sz="1400"/>
        </a:p>
      </xdr:txBody>
    </xdr:sp>
    <xdr:clientData/>
  </xdr:twoCellAnchor>
  <xdr:twoCellAnchor>
    <xdr:from>
      <xdr:col>4</xdr:col>
      <xdr:colOff>0</xdr:colOff>
      <xdr:row>54</xdr:row>
      <xdr:rowOff>173183</xdr:rowOff>
    </xdr:from>
    <xdr:to>
      <xdr:col>6</xdr:col>
      <xdr:colOff>121227</xdr:colOff>
      <xdr:row>61</xdr:row>
      <xdr:rowOff>17320</xdr:rowOff>
    </xdr:to>
    <xdr:sp macro="" textlink="">
      <xdr:nvSpPr>
        <xdr:cNvPr id="129" name="Llamada con línea 1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/>
      </xdr:nvSpPr>
      <xdr:spPr>
        <a:xfrm>
          <a:off x="4069773" y="12469092"/>
          <a:ext cx="1645227" cy="1177637"/>
        </a:xfrm>
        <a:prstGeom prst="borderCallout1">
          <a:avLst>
            <a:gd name="adj1" fmla="val 35855"/>
            <a:gd name="adj2" fmla="val 758"/>
            <a:gd name="adj3" fmla="val 32706"/>
            <a:gd name="adj4" fmla="val -73867"/>
          </a:avLst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400" baseline="0"/>
            <a:t>- Formulario 104</a:t>
          </a:r>
        </a:p>
        <a:p>
          <a:pPr algn="l"/>
          <a:r>
            <a:rPr lang="es-EC" sz="1400" baseline="0"/>
            <a:t>- Formulario 103</a:t>
          </a:r>
        </a:p>
        <a:p>
          <a:pPr algn="l"/>
          <a:r>
            <a:rPr lang="es-EC" sz="1400" baseline="0"/>
            <a:t>- Formulario 125</a:t>
          </a:r>
        </a:p>
        <a:p>
          <a:pPr algn="l"/>
          <a:r>
            <a:rPr lang="es-EC" sz="1400" baseline="0"/>
            <a:t>- Anexo de Gastos Personale</a:t>
          </a:r>
        </a:p>
        <a:p>
          <a:pPr algn="l"/>
          <a:endParaRPr lang="es-EC" sz="1400" baseline="0"/>
        </a:p>
        <a:p>
          <a:pPr algn="l"/>
          <a:endParaRPr lang="es-EC" sz="1400"/>
        </a:p>
      </xdr:txBody>
    </xdr:sp>
    <xdr:clientData/>
  </xdr:twoCellAnchor>
  <xdr:twoCellAnchor>
    <xdr:from>
      <xdr:col>4</xdr:col>
      <xdr:colOff>17318</xdr:colOff>
      <xdr:row>62</xdr:row>
      <xdr:rowOff>34636</xdr:rowOff>
    </xdr:from>
    <xdr:to>
      <xdr:col>6</xdr:col>
      <xdr:colOff>138545</xdr:colOff>
      <xdr:row>68</xdr:row>
      <xdr:rowOff>69273</xdr:rowOff>
    </xdr:to>
    <xdr:sp macro="" textlink="">
      <xdr:nvSpPr>
        <xdr:cNvPr id="134" name="Llamada con línea 1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/>
      </xdr:nvSpPr>
      <xdr:spPr>
        <a:xfrm>
          <a:off x="4087091" y="13854545"/>
          <a:ext cx="1645227" cy="1177637"/>
        </a:xfrm>
        <a:prstGeom prst="borderCallout1">
          <a:avLst>
            <a:gd name="adj1" fmla="val 35855"/>
            <a:gd name="adj2" fmla="val 758"/>
            <a:gd name="adj3" fmla="val 35647"/>
            <a:gd name="adj4" fmla="val -70709"/>
          </a:avLst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400" baseline="0"/>
        </a:p>
        <a:p>
          <a:pPr algn="ctr"/>
          <a:r>
            <a:rPr lang="es-EC" sz="1400"/>
            <a:t>Regimen</a:t>
          </a:r>
          <a:r>
            <a:rPr lang="es-EC" sz="1400" baseline="0"/>
            <a:t> Impositivo Simplificado</a:t>
          </a:r>
          <a:endParaRPr lang="es-EC" sz="1400"/>
        </a:p>
      </xdr:txBody>
    </xdr:sp>
    <xdr:clientData/>
  </xdr:twoCellAnchor>
  <xdr:twoCellAnchor>
    <xdr:from>
      <xdr:col>4</xdr:col>
      <xdr:colOff>34636</xdr:colOff>
      <xdr:row>69</xdr:row>
      <xdr:rowOff>121227</xdr:rowOff>
    </xdr:from>
    <xdr:to>
      <xdr:col>6</xdr:col>
      <xdr:colOff>225136</xdr:colOff>
      <xdr:row>75</xdr:row>
      <xdr:rowOff>155864</xdr:rowOff>
    </xdr:to>
    <xdr:sp macro="" textlink="">
      <xdr:nvSpPr>
        <xdr:cNvPr id="135" name="Llamada con línea 1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/>
      </xdr:nvSpPr>
      <xdr:spPr>
        <a:xfrm>
          <a:off x="4104409" y="15274636"/>
          <a:ext cx="1714500" cy="1177637"/>
        </a:xfrm>
        <a:prstGeom prst="borderCallout1">
          <a:avLst>
            <a:gd name="adj1" fmla="val 34385"/>
            <a:gd name="adj2" fmla="val 1833"/>
            <a:gd name="adj3" fmla="val 35648"/>
            <a:gd name="adj4" fmla="val -63367"/>
          </a:avLst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C" sz="1400" baseline="0"/>
        </a:p>
        <a:p>
          <a:pPr algn="ctr"/>
          <a:r>
            <a:rPr lang="es-EC" sz="1400" baseline="0"/>
            <a:t>Regimen Impositivo Simplificado</a:t>
          </a:r>
        </a:p>
        <a:p>
          <a:pPr algn="l"/>
          <a:endParaRPr lang="es-EC" sz="1400"/>
        </a:p>
      </xdr:txBody>
    </xdr:sp>
    <xdr:clientData/>
  </xdr:twoCellAnchor>
  <xdr:twoCellAnchor>
    <xdr:from>
      <xdr:col>0</xdr:col>
      <xdr:colOff>716851</xdr:colOff>
      <xdr:row>50</xdr:row>
      <xdr:rowOff>173182</xdr:rowOff>
    </xdr:from>
    <xdr:to>
      <xdr:col>0</xdr:col>
      <xdr:colOff>744682</xdr:colOff>
      <xdr:row>55</xdr:row>
      <xdr:rowOff>53189</xdr:rowOff>
    </xdr:to>
    <xdr:cxnSp macro="">
      <xdr:nvCxnSpPr>
        <xdr:cNvPr id="138" name="Conector recto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CxnSpPr/>
      </xdr:nvCxnSpPr>
      <xdr:spPr>
        <a:xfrm flipH="1">
          <a:off x="2240851" y="11707091"/>
          <a:ext cx="27831" cy="83250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436764</xdr:colOff>
      <xdr:row>32</xdr:row>
      <xdr:rowOff>21129</xdr:rowOff>
    </xdr:from>
    <xdr:to>
      <xdr:col>29</xdr:col>
      <xdr:colOff>710045</xdr:colOff>
      <xdr:row>37</xdr:row>
      <xdr:rowOff>102005</xdr:rowOff>
    </xdr:to>
    <xdr:sp macro="" textlink="">
      <xdr:nvSpPr>
        <xdr:cNvPr id="146" name="Llamada con línea 1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/>
      </xdr:nvSpPr>
      <xdr:spPr>
        <a:xfrm>
          <a:off x="19348219" y="7693084"/>
          <a:ext cx="2611235" cy="946785"/>
        </a:xfrm>
        <a:prstGeom prst="borderCallout1">
          <a:avLst>
            <a:gd name="adj1" fmla="val 49188"/>
            <a:gd name="adj2" fmla="val 58"/>
            <a:gd name="adj3" fmla="val 48816"/>
            <a:gd name="adj4" fmla="val -52319"/>
          </a:avLst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400" baseline="0"/>
            <a:t>- Formulario 104</a:t>
          </a:r>
        </a:p>
        <a:p>
          <a:pPr algn="l"/>
          <a:r>
            <a:rPr lang="es-EC" sz="1400" baseline="0"/>
            <a:t>- Formulario 103</a:t>
          </a:r>
        </a:p>
        <a:p>
          <a:pPr algn="l"/>
          <a:r>
            <a:rPr lang="es-EC" sz="1400" baseline="0"/>
            <a:t>- Formulario 125</a:t>
          </a:r>
        </a:p>
        <a:p>
          <a:pPr algn="l"/>
          <a:r>
            <a:rPr lang="es-EC" sz="1400" baseline="0"/>
            <a:t>- Anexo de Gastos Personale</a:t>
          </a:r>
        </a:p>
        <a:p>
          <a:pPr algn="l"/>
          <a:endParaRPr lang="es-EC" sz="1400" baseline="0"/>
        </a:p>
        <a:p>
          <a:pPr algn="l"/>
          <a:endParaRPr lang="es-EC" sz="1400"/>
        </a:p>
      </xdr:txBody>
    </xdr:sp>
    <xdr:clientData/>
  </xdr:twoCellAnchor>
  <xdr:twoCellAnchor>
    <xdr:from>
      <xdr:col>13</xdr:col>
      <xdr:colOff>640773</xdr:colOff>
      <xdr:row>6</xdr:row>
      <xdr:rowOff>190500</xdr:rowOff>
    </xdr:from>
    <xdr:to>
      <xdr:col>13</xdr:col>
      <xdr:colOff>640773</xdr:colOff>
      <xdr:row>9</xdr:row>
      <xdr:rowOff>103908</xdr:rowOff>
    </xdr:to>
    <xdr:cxnSp macro="">
      <xdr:nvCxnSpPr>
        <xdr:cNvPr id="150" name="Conector recto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CxnSpPr/>
      </xdr:nvCxnSpPr>
      <xdr:spPr>
        <a:xfrm>
          <a:off x="11239500" y="3273136"/>
          <a:ext cx="0" cy="55418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550372</xdr:colOff>
      <xdr:row>15</xdr:row>
      <xdr:rowOff>21128</xdr:rowOff>
    </xdr:from>
    <xdr:to>
      <xdr:col>13</xdr:col>
      <xdr:colOff>593668</xdr:colOff>
      <xdr:row>19</xdr:row>
      <xdr:rowOff>88496</xdr:rowOff>
    </xdr:to>
    <xdr:cxnSp macro="">
      <xdr:nvCxnSpPr>
        <xdr:cNvPr id="152" name="Conector recto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CxnSpPr>
          <a:endCxn id="71" idx="0"/>
        </xdr:cNvCxnSpPr>
      </xdr:nvCxnSpPr>
      <xdr:spPr>
        <a:xfrm>
          <a:off x="11152909" y="4883727"/>
          <a:ext cx="43296" cy="83127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207818</xdr:colOff>
      <xdr:row>14</xdr:row>
      <xdr:rowOff>173182</xdr:rowOff>
    </xdr:from>
    <xdr:to>
      <xdr:col>8</xdr:col>
      <xdr:colOff>207818</xdr:colOff>
      <xdr:row>19</xdr:row>
      <xdr:rowOff>0</xdr:rowOff>
    </xdr:to>
    <xdr:cxnSp macro="">
      <xdr:nvCxnSpPr>
        <xdr:cNvPr id="158" name="Conector recto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CxnSpPr/>
      </xdr:nvCxnSpPr>
      <xdr:spPr>
        <a:xfrm>
          <a:off x="7325591" y="4849091"/>
          <a:ext cx="0" cy="77931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714743</xdr:colOff>
      <xdr:row>15</xdr:row>
      <xdr:rowOff>87363</xdr:rowOff>
    </xdr:from>
    <xdr:to>
      <xdr:col>0</xdr:col>
      <xdr:colOff>751328</xdr:colOff>
      <xdr:row>18</xdr:row>
      <xdr:rowOff>162660</xdr:rowOff>
    </xdr:to>
    <xdr:cxnSp macro="">
      <xdr:nvCxnSpPr>
        <xdr:cNvPr id="174" name="Conector recto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CxnSpPr>
          <a:endCxn id="36" idx="0"/>
        </xdr:cNvCxnSpPr>
      </xdr:nvCxnSpPr>
      <xdr:spPr>
        <a:xfrm>
          <a:off x="714743" y="3563152"/>
          <a:ext cx="36585" cy="62674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32731</xdr:colOff>
      <xdr:row>15</xdr:row>
      <xdr:rowOff>21128</xdr:rowOff>
    </xdr:from>
    <xdr:to>
      <xdr:col>24</xdr:col>
      <xdr:colOff>34638</xdr:colOff>
      <xdr:row>24</xdr:row>
      <xdr:rowOff>0</xdr:rowOff>
    </xdr:to>
    <xdr:cxnSp macro="">
      <xdr:nvCxnSpPr>
        <xdr:cNvPr id="65" name="Conector recto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CxnSpPr>
          <a:cxnSpLocks/>
          <a:endCxn id="77" idx="0"/>
        </xdr:cNvCxnSpPr>
      </xdr:nvCxnSpPr>
      <xdr:spPr>
        <a:xfrm flipH="1">
          <a:off x="17385549" y="4748992"/>
          <a:ext cx="1907" cy="153750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247650</xdr:colOff>
      <xdr:row>1</xdr:row>
      <xdr:rowOff>59390</xdr:rowOff>
    </xdr:from>
    <xdr:to>
      <xdr:col>17</xdr:col>
      <xdr:colOff>401068</xdr:colOff>
      <xdr:row>19</xdr:row>
      <xdr:rowOff>134105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43925" y="249890"/>
          <a:ext cx="5475988" cy="349609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247650</xdr:colOff>
      <xdr:row>1</xdr:row>
      <xdr:rowOff>59390</xdr:rowOff>
    </xdr:from>
    <xdr:to>
      <xdr:col>17</xdr:col>
      <xdr:colOff>397258</xdr:colOff>
      <xdr:row>19</xdr:row>
      <xdr:rowOff>130295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975" y="249890"/>
          <a:ext cx="5475988" cy="349609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571500</xdr:colOff>
      <xdr:row>7</xdr:row>
      <xdr:rowOff>0</xdr:rowOff>
    </xdr:from>
    <xdr:to>
      <xdr:col>19</xdr:col>
      <xdr:colOff>227786</xdr:colOff>
      <xdr:row>18</xdr:row>
      <xdr:rowOff>22595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34325" y="571500"/>
          <a:ext cx="6514286" cy="21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628650</xdr:colOff>
      <xdr:row>20</xdr:row>
      <xdr:rowOff>104775</xdr:rowOff>
    </xdr:from>
    <xdr:to>
      <xdr:col>18</xdr:col>
      <xdr:colOff>702175</xdr:colOff>
      <xdr:row>37</xdr:row>
      <xdr:rowOff>98657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91475" y="3152775"/>
          <a:ext cx="6161905" cy="32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0</xdr:rowOff>
    </xdr:from>
    <xdr:to>
      <xdr:col>0</xdr:col>
      <xdr:colOff>1386840</xdr:colOff>
      <xdr:row>3</xdr:row>
      <xdr:rowOff>168896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14300"/>
          <a:ext cx="1352550" cy="7382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17145</xdr:rowOff>
    </xdr:from>
    <xdr:to>
      <xdr:col>2</xdr:col>
      <xdr:colOff>15240</xdr:colOff>
      <xdr:row>4</xdr:row>
      <xdr:rowOff>154482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145"/>
          <a:ext cx="1581150" cy="86123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142875</xdr:rowOff>
    </xdr:from>
    <xdr:to>
      <xdr:col>1</xdr:col>
      <xdr:colOff>643890</xdr:colOff>
      <xdr:row>4</xdr:row>
      <xdr:rowOff>134382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142875"/>
          <a:ext cx="1348740" cy="74588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495299</xdr:colOff>
      <xdr:row>1</xdr:row>
      <xdr:rowOff>15240</xdr:rowOff>
    </xdr:from>
    <xdr:to>
      <xdr:col>22</xdr:col>
      <xdr:colOff>47624</xdr:colOff>
      <xdr:row>14</xdr:row>
      <xdr:rowOff>142741</xdr:rowOff>
    </xdr:to>
    <xdr:pic>
      <xdr:nvPicPr>
        <xdr:cNvPr id="2" name="x_Imagen 2" descr="image00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8393" y="193834"/>
          <a:ext cx="6624637" cy="2449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586740</xdr:colOff>
      <xdr:row>3</xdr:row>
      <xdr:rowOff>174387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0" y="0"/>
          <a:ext cx="1367790" cy="713502"/>
        </a:xfrm>
        <a:prstGeom prst="rect">
          <a:avLst/>
        </a:prstGeom>
      </xdr:spPr>
    </xdr:pic>
    <xdr:clientData/>
  </xdr:twoCellAnchor>
  <xdr:twoCellAnchor editAs="oneCell">
    <xdr:from>
      <xdr:col>0</xdr:col>
      <xdr:colOff>26194</xdr:colOff>
      <xdr:row>12</xdr:row>
      <xdr:rowOff>18002</xdr:rowOff>
    </xdr:from>
    <xdr:to>
      <xdr:col>6</xdr:col>
      <xdr:colOff>625316</xdr:colOff>
      <xdr:row>30</xdr:row>
      <xdr:rowOff>35718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194" y="2161127"/>
          <a:ext cx="5833586" cy="325621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0</xdr:col>
      <xdr:colOff>1276350</xdr:colOff>
      <xdr:row>4</xdr:row>
      <xdr:rowOff>9524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0"/>
          <a:ext cx="1257300" cy="77152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123825</xdr:rowOff>
    </xdr:from>
    <xdr:to>
      <xdr:col>1</xdr:col>
      <xdr:colOff>514350</xdr:colOff>
      <xdr:row>3</xdr:row>
      <xdr:rowOff>148936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123825"/>
          <a:ext cx="1143000" cy="70138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247650</xdr:colOff>
      <xdr:row>1</xdr:row>
      <xdr:rowOff>59390</xdr:rowOff>
    </xdr:from>
    <xdr:to>
      <xdr:col>17</xdr:col>
      <xdr:colOff>397258</xdr:colOff>
      <xdr:row>19</xdr:row>
      <xdr:rowOff>130295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43925" y="249890"/>
          <a:ext cx="5475988" cy="349609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247650</xdr:colOff>
      <xdr:row>1</xdr:row>
      <xdr:rowOff>59390</xdr:rowOff>
    </xdr:from>
    <xdr:to>
      <xdr:col>17</xdr:col>
      <xdr:colOff>401068</xdr:colOff>
      <xdr:row>19</xdr:row>
      <xdr:rowOff>134105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43925" y="249890"/>
          <a:ext cx="5475988" cy="3496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AD22"/>
  <sheetViews>
    <sheetView tabSelected="1" topLeftCell="A28" zoomScale="57" zoomScaleNormal="57" workbookViewId="0">
      <selection activeCell="I48" sqref="I48"/>
    </sheetView>
  </sheetViews>
  <sheetFormatPr baseColWidth="10" defaultColWidth="11.44140625" defaultRowHeight="14.4" x14ac:dyDescent="0.3"/>
  <cols>
    <col min="1" max="1" width="11.44140625" style="1"/>
    <col min="2" max="2" width="3.88671875" style="1" customWidth="1"/>
    <col min="3" max="11" width="11.44140625" style="1"/>
    <col min="12" max="12" width="6.5546875" style="1" customWidth="1"/>
    <col min="13" max="17" width="11.44140625" style="1"/>
    <col min="18" max="18" width="9.5546875" style="1" customWidth="1"/>
    <col min="19" max="20" width="11.44140625" style="1"/>
    <col min="21" max="22" width="8.5546875" style="1" customWidth="1"/>
    <col min="23" max="16384" width="11.44140625" style="1"/>
  </cols>
  <sheetData>
    <row r="1" spans="1:30" ht="31.2" x14ac:dyDescent="0.6">
      <c r="A1" s="137" t="s">
        <v>143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138"/>
      <c r="AC1" s="138"/>
      <c r="AD1" s="138"/>
    </row>
    <row r="2" spans="1:30" ht="21" x14ac:dyDescent="0.4">
      <c r="A2" s="139" t="s">
        <v>34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39"/>
    </row>
    <row r="3" spans="1:30" ht="21" x14ac:dyDescent="0.4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30" ht="21" x14ac:dyDescent="0.4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30" ht="21" x14ac:dyDescent="0.4">
      <c r="A5" s="22"/>
      <c r="B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30" ht="21" x14ac:dyDescent="0.4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30" ht="21" x14ac:dyDescent="0.4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21" spans="9:9" x14ac:dyDescent="0.3">
      <c r="I21" s="21"/>
    </row>
    <row r="22" spans="9:9" x14ac:dyDescent="0.3">
      <c r="I22" s="21"/>
    </row>
  </sheetData>
  <mergeCells count="2">
    <mergeCell ref="A1:AD1"/>
    <mergeCell ref="A2:AD2"/>
  </mergeCells>
  <pageMargins left="0" right="0" top="0" bottom="0" header="0.31496062992125984" footer="0.31496062992125984"/>
  <pageSetup paperSize="9" scale="40" fitToHeight="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3:I12"/>
  <sheetViews>
    <sheetView workbookViewId="0">
      <selection activeCell="E11" sqref="E11"/>
    </sheetView>
  </sheetViews>
  <sheetFormatPr baseColWidth="10" defaultColWidth="11.44140625" defaultRowHeight="14.4" x14ac:dyDescent="0.3"/>
  <cols>
    <col min="1" max="3" width="11.44140625" style="1"/>
    <col min="4" max="4" width="18" style="1" customWidth="1"/>
    <col min="5" max="5" width="11.6640625" style="1" bestFit="1" customWidth="1"/>
    <col min="6" max="7" width="11.44140625" style="1"/>
    <col min="8" max="8" width="15" style="1" customWidth="1"/>
    <col min="9" max="16384" width="11.44140625" style="1"/>
  </cols>
  <sheetData>
    <row r="3" spans="3:9" x14ac:dyDescent="0.3">
      <c r="C3" s="165" t="s">
        <v>187</v>
      </c>
      <c r="D3" s="176"/>
      <c r="E3" s="176"/>
      <c r="F3" s="176"/>
      <c r="G3" s="176"/>
      <c r="H3" s="176"/>
      <c r="I3" s="166"/>
    </row>
    <row r="4" spans="3:9" x14ac:dyDescent="0.3">
      <c r="C4" s="101"/>
      <c r="D4" s="102"/>
      <c r="E4" s="102"/>
      <c r="F4" s="103"/>
      <c r="G4" s="103"/>
      <c r="H4" s="103"/>
      <c r="I4" s="104"/>
    </row>
    <row r="5" spans="3:9" x14ac:dyDescent="0.3">
      <c r="C5" s="105" t="s">
        <v>186</v>
      </c>
      <c r="D5" s="106"/>
      <c r="E5" s="107">
        <v>48000</v>
      </c>
      <c r="F5" s="80"/>
      <c r="G5" s="160" t="s">
        <v>179</v>
      </c>
      <c r="H5" s="160"/>
      <c r="I5" s="108">
        <v>42874</v>
      </c>
    </row>
    <row r="6" spans="3:9" x14ac:dyDescent="0.3">
      <c r="C6" s="105" t="s">
        <v>173</v>
      </c>
      <c r="D6" s="106"/>
      <c r="E6" s="107">
        <v>-14575.6</v>
      </c>
      <c r="F6" s="80"/>
      <c r="G6" s="160" t="s">
        <v>181</v>
      </c>
      <c r="H6" s="160"/>
      <c r="I6" s="108">
        <v>4156</v>
      </c>
    </row>
    <row r="7" spans="3:9" x14ac:dyDescent="0.3">
      <c r="C7" s="130" t="s">
        <v>188</v>
      </c>
      <c r="D7" s="131"/>
      <c r="E7" s="112"/>
      <c r="F7" s="80"/>
      <c r="G7" s="160" t="s">
        <v>180</v>
      </c>
      <c r="H7" s="160"/>
      <c r="I7" s="109">
        <v>0.2</v>
      </c>
    </row>
    <row r="8" spans="3:9" x14ac:dyDescent="0.3">
      <c r="C8" s="127" t="s">
        <v>175</v>
      </c>
      <c r="D8" s="128"/>
      <c r="E8" s="129">
        <f>+E5+E6+E7</f>
        <v>33424.400000000001</v>
      </c>
      <c r="F8" s="80"/>
      <c r="G8" s="80"/>
      <c r="H8" s="80"/>
      <c r="I8" s="111"/>
    </row>
    <row r="9" spans="3:9" x14ac:dyDescent="0.3">
      <c r="C9" s="105" t="s">
        <v>176</v>
      </c>
      <c r="D9" s="106"/>
      <c r="E9" s="107">
        <f>((+E8-I5)*I7)+4156</f>
        <v>2266.08</v>
      </c>
      <c r="F9" s="80"/>
      <c r="G9" s="80"/>
      <c r="H9" s="80"/>
      <c r="I9" s="111"/>
    </row>
    <row r="10" spans="3:9" x14ac:dyDescent="0.3">
      <c r="C10" s="105" t="s">
        <v>177</v>
      </c>
      <c r="D10" s="106"/>
      <c r="E10" s="107">
        <v>2266.08</v>
      </c>
      <c r="F10" s="80"/>
      <c r="G10" s="80"/>
      <c r="H10" s="80"/>
      <c r="I10" s="111"/>
    </row>
    <row r="11" spans="3:9" x14ac:dyDescent="0.3">
      <c r="C11" s="177" t="s">
        <v>178</v>
      </c>
      <c r="D11" s="178"/>
      <c r="E11" s="132">
        <f>+E9-E10</f>
        <v>0</v>
      </c>
      <c r="F11" s="80"/>
      <c r="G11" s="80"/>
      <c r="H11" s="80"/>
      <c r="I11" s="111"/>
    </row>
    <row r="12" spans="3:9" x14ac:dyDescent="0.3">
      <c r="C12" s="177" t="s">
        <v>182</v>
      </c>
      <c r="D12" s="178"/>
      <c r="E12" s="133">
        <v>0</v>
      </c>
      <c r="F12" s="69"/>
      <c r="G12" s="69"/>
      <c r="H12" s="69"/>
      <c r="I12" s="70"/>
    </row>
  </sheetData>
  <mergeCells count="6">
    <mergeCell ref="C12:D12"/>
    <mergeCell ref="C3:I3"/>
    <mergeCell ref="G5:H5"/>
    <mergeCell ref="G6:H6"/>
    <mergeCell ref="G7:H7"/>
    <mergeCell ref="C11:D1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3:I12"/>
  <sheetViews>
    <sheetView workbookViewId="0">
      <selection activeCell="B17" sqref="B17"/>
    </sheetView>
  </sheetViews>
  <sheetFormatPr baseColWidth="10" defaultColWidth="11.44140625" defaultRowHeight="14.4" x14ac:dyDescent="0.3"/>
  <cols>
    <col min="1" max="3" width="11.44140625" style="1"/>
    <col min="4" max="4" width="18" style="1" customWidth="1"/>
    <col min="5" max="5" width="11.6640625" style="1" bestFit="1" customWidth="1"/>
    <col min="6" max="7" width="11.44140625" style="1"/>
    <col min="8" max="8" width="15" style="1" customWidth="1"/>
    <col min="9" max="16384" width="11.44140625" style="1"/>
  </cols>
  <sheetData>
    <row r="3" spans="3:9" x14ac:dyDescent="0.3">
      <c r="C3" s="165" t="s">
        <v>189</v>
      </c>
      <c r="D3" s="176"/>
      <c r="E3" s="176"/>
      <c r="F3" s="176"/>
      <c r="G3" s="176"/>
      <c r="H3" s="176"/>
      <c r="I3" s="166"/>
    </row>
    <row r="4" spans="3:9" x14ac:dyDescent="0.3">
      <c r="C4" s="101"/>
      <c r="D4" s="102"/>
      <c r="E4" s="102"/>
      <c r="F4" s="103"/>
      <c r="G4" s="103"/>
      <c r="H4" s="103"/>
      <c r="I4" s="104"/>
    </row>
    <row r="5" spans="3:9" x14ac:dyDescent="0.3">
      <c r="C5" s="105" t="s">
        <v>186</v>
      </c>
      <c r="D5" s="106"/>
      <c r="E5" s="107">
        <v>48000</v>
      </c>
      <c r="F5" s="80"/>
      <c r="G5" s="160" t="s">
        <v>179</v>
      </c>
      <c r="H5" s="160"/>
      <c r="I5" s="108">
        <v>42874</v>
      </c>
    </row>
    <row r="6" spans="3:9" x14ac:dyDescent="0.3">
      <c r="C6" s="105" t="s">
        <v>173</v>
      </c>
      <c r="D6" s="106"/>
      <c r="E6" s="107">
        <v>-14572</v>
      </c>
      <c r="F6" s="80"/>
      <c r="G6" s="160" t="s">
        <v>181</v>
      </c>
      <c r="H6" s="160"/>
      <c r="I6" s="108">
        <v>4156</v>
      </c>
    </row>
    <row r="7" spans="3:9" x14ac:dyDescent="0.3">
      <c r="C7" s="130" t="s">
        <v>188</v>
      </c>
      <c r="D7" s="131"/>
      <c r="E7" s="112"/>
      <c r="F7" s="80"/>
      <c r="G7" s="160" t="s">
        <v>180</v>
      </c>
      <c r="H7" s="160"/>
      <c r="I7" s="109">
        <v>0.2</v>
      </c>
    </row>
    <row r="8" spans="3:9" x14ac:dyDescent="0.3">
      <c r="C8" s="127" t="s">
        <v>175</v>
      </c>
      <c r="D8" s="128"/>
      <c r="E8" s="129">
        <f>+E5+E6+E7</f>
        <v>33428</v>
      </c>
      <c r="F8" s="80"/>
      <c r="G8" s="80"/>
      <c r="H8" s="80"/>
      <c r="I8" s="111"/>
    </row>
    <row r="9" spans="3:9" x14ac:dyDescent="0.3">
      <c r="C9" s="105" t="s">
        <v>176</v>
      </c>
      <c r="D9" s="106"/>
      <c r="E9" s="107">
        <f>((+E8-I5)*I7)+4156</f>
        <v>2266.8000000000002</v>
      </c>
      <c r="F9" s="80"/>
      <c r="G9" s="80"/>
      <c r="H9" s="80"/>
      <c r="I9" s="111"/>
    </row>
    <row r="10" spans="3:9" x14ac:dyDescent="0.3">
      <c r="C10" s="105" t="s">
        <v>177</v>
      </c>
      <c r="D10" s="106"/>
      <c r="E10" s="107">
        <v>2266.8000000000002</v>
      </c>
      <c r="F10" s="80"/>
      <c r="G10" s="80"/>
      <c r="H10" s="80"/>
      <c r="I10" s="111"/>
    </row>
    <row r="11" spans="3:9" x14ac:dyDescent="0.3">
      <c r="C11" s="177" t="s">
        <v>178</v>
      </c>
      <c r="D11" s="178"/>
      <c r="E11" s="132">
        <f>+E9-E10</f>
        <v>0</v>
      </c>
      <c r="F11" s="80"/>
      <c r="G11" s="80"/>
      <c r="H11" s="80"/>
      <c r="I11" s="111"/>
    </row>
    <row r="12" spans="3:9" x14ac:dyDescent="0.3">
      <c r="C12" s="177" t="s">
        <v>182</v>
      </c>
      <c r="D12" s="178"/>
      <c r="E12" s="133">
        <v>0</v>
      </c>
      <c r="F12" s="69"/>
      <c r="G12" s="69"/>
      <c r="H12" s="69"/>
      <c r="I12" s="70"/>
    </row>
  </sheetData>
  <mergeCells count="6">
    <mergeCell ref="C12:D12"/>
    <mergeCell ref="C3:I3"/>
    <mergeCell ref="G5:H5"/>
    <mergeCell ref="G6:H6"/>
    <mergeCell ref="G7:H7"/>
    <mergeCell ref="C11:D1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Q16"/>
  <sheetViews>
    <sheetView zoomScale="90" zoomScaleNormal="90" workbookViewId="0">
      <selection activeCell="I6" sqref="I6"/>
    </sheetView>
  </sheetViews>
  <sheetFormatPr baseColWidth="10" defaultColWidth="11.44140625" defaultRowHeight="14.4" x14ac:dyDescent="0.3"/>
  <cols>
    <col min="1" max="2" width="11.44140625" style="1"/>
    <col min="3" max="3" width="12.6640625" style="122" bestFit="1" customWidth="1"/>
    <col min="4" max="4" width="19" style="1" customWidth="1"/>
    <col min="5" max="6" width="11.44140625" style="1"/>
    <col min="7" max="7" width="14.5546875" style="1" bestFit="1" customWidth="1"/>
    <col min="8" max="8" width="14.5546875" style="1" customWidth="1"/>
    <col min="9" max="16384" width="11.44140625" style="1"/>
  </cols>
  <sheetData>
    <row r="1" spans="2:17" ht="18" x14ac:dyDescent="0.35">
      <c r="B1" s="136" t="s">
        <v>207</v>
      </c>
    </row>
    <row r="2" spans="2:17" x14ac:dyDescent="0.3">
      <c r="K2" s="42" t="s">
        <v>200</v>
      </c>
      <c r="L2" s="179" t="s">
        <v>201</v>
      </c>
      <c r="M2" s="180"/>
      <c r="N2" s="180"/>
      <c r="O2" s="180"/>
      <c r="P2" s="180"/>
      <c r="Q2" s="180"/>
    </row>
    <row r="3" spans="2:17" x14ac:dyDescent="0.3">
      <c r="G3" s="53" t="s">
        <v>191</v>
      </c>
      <c r="H3" s="53" t="s">
        <v>208</v>
      </c>
      <c r="I3" s="116">
        <v>11212</v>
      </c>
      <c r="K3" s="100" t="s">
        <v>197</v>
      </c>
      <c r="L3" s="163" t="s">
        <v>202</v>
      </c>
      <c r="M3" s="181"/>
      <c r="N3" s="181"/>
      <c r="O3" s="181"/>
      <c r="P3" s="181"/>
      <c r="Q3" s="164"/>
    </row>
    <row r="4" spans="2:17" x14ac:dyDescent="0.3">
      <c r="B4" s="134" t="s">
        <v>190</v>
      </c>
      <c r="C4" s="135">
        <v>100908</v>
      </c>
      <c r="F4" s="122"/>
      <c r="G4" s="119" t="s">
        <v>192</v>
      </c>
      <c r="H4" s="119" t="s">
        <v>190</v>
      </c>
      <c r="I4" s="120">
        <f>+I3*15</f>
        <v>168180</v>
      </c>
      <c r="K4" s="100" t="s">
        <v>198</v>
      </c>
      <c r="L4" s="163" t="s">
        <v>203</v>
      </c>
      <c r="M4" s="181"/>
      <c r="N4" s="181"/>
      <c r="O4" s="181"/>
      <c r="P4" s="181"/>
      <c r="Q4" s="164"/>
    </row>
    <row r="5" spans="2:17" x14ac:dyDescent="0.3">
      <c r="B5" s="121">
        <v>0.25</v>
      </c>
      <c r="C5" s="207">
        <f>+C4*B5</f>
        <v>25227</v>
      </c>
      <c r="D5" s="114"/>
      <c r="E5" s="114"/>
      <c r="F5" s="118"/>
      <c r="G5" s="119" t="s">
        <v>193</v>
      </c>
      <c r="H5" s="119" t="s">
        <v>144</v>
      </c>
      <c r="I5" s="120">
        <f>+I3*12</f>
        <v>134544</v>
      </c>
      <c r="J5" s="114"/>
      <c r="K5" s="100" t="s">
        <v>199</v>
      </c>
      <c r="L5" s="163" t="s">
        <v>204</v>
      </c>
      <c r="M5" s="181"/>
      <c r="N5" s="181"/>
      <c r="O5" s="181"/>
      <c r="P5" s="181"/>
      <c r="Q5" s="164"/>
    </row>
    <row r="6" spans="2:17" x14ac:dyDescent="0.3">
      <c r="C6" s="123"/>
      <c r="D6" s="113"/>
      <c r="E6" s="113"/>
      <c r="F6" s="118"/>
      <c r="G6" s="53" t="s">
        <v>194</v>
      </c>
      <c r="H6" s="53" t="s">
        <v>209</v>
      </c>
      <c r="I6" s="117">
        <f>+I3*9</f>
        <v>100908</v>
      </c>
      <c r="J6" s="114"/>
    </row>
    <row r="7" spans="2:17" x14ac:dyDescent="0.3">
      <c r="C7" s="118"/>
      <c r="D7" s="106"/>
      <c r="E7" s="107"/>
      <c r="F7" s="80"/>
      <c r="G7" s="158"/>
      <c r="H7" s="158"/>
      <c r="I7" s="158"/>
      <c r="J7" s="115"/>
    </row>
    <row r="8" spans="2:17" x14ac:dyDescent="0.3">
      <c r="C8" s="118"/>
      <c r="D8" s="106"/>
      <c r="E8" s="107"/>
      <c r="F8" s="80"/>
      <c r="J8" s="115"/>
    </row>
    <row r="9" spans="2:17" x14ac:dyDescent="0.3">
      <c r="C9" s="118"/>
      <c r="D9" s="106"/>
      <c r="E9" s="107"/>
      <c r="F9" s="80"/>
      <c r="J9" s="87"/>
    </row>
    <row r="10" spans="2:17" x14ac:dyDescent="0.3">
      <c r="C10" s="118"/>
      <c r="D10" s="106"/>
      <c r="E10" s="110"/>
      <c r="F10" s="80"/>
      <c r="J10" s="80"/>
    </row>
    <row r="11" spans="2:17" x14ac:dyDescent="0.3">
      <c r="C11" s="118"/>
      <c r="D11" s="106"/>
      <c r="E11" s="107"/>
      <c r="F11" s="80"/>
      <c r="G11" s="80"/>
      <c r="H11" s="80"/>
      <c r="I11" s="80"/>
      <c r="J11" s="80"/>
    </row>
    <row r="12" spans="2:17" x14ac:dyDescent="0.3">
      <c r="C12" s="118"/>
      <c r="D12" s="106"/>
      <c r="E12" s="55" t="s">
        <v>195</v>
      </c>
      <c r="F12" s="37">
        <v>0</v>
      </c>
      <c r="G12" s="80" t="s">
        <v>197</v>
      </c>
      <c r="H12" s="80"/>
      <c r="I12" s="80"/>
      <c r="J12" s="80"/>
    </row>
    <row r="13" spans="2:17" x14ac:dyDescent="0.3">
      <c r="C13" s="160"/>
      <c r="D13" s="160"/>
      <c r="E13" s="124" t="s">
        <v>196</v>
      </c>
      <c r="F13" s="37">
        <v>0</v>
      </c>
      <c r="G13" s="80" t="s">
        <v>198</v>
      </c>
      <c r="H13" s="80"/>
      <c r="I13" s="80"/>
      <c r="J13" s="80"/>
    </row>
    <row r="14" spans="2:17" x14ac:dyDescent="0.3">
      <c r="C14" s="160"/>
      <c r="D14" s="160"/>
      <c r="E14" s="205" t="s">
        <v>209</v>
      </c>
      <c r="F14" s="206">
        <f>+F12-F13</f>
        <v>0</v>
      </c>
      <c r="G14" s="80" t="s">
        <v>199</v>
      </c>
      <c r="H14" s="80"/>
      <c r="I14" s="80"/>
      <c r="J14" s="80"/>
    </row>
    <row r="16" spans="2:17" x14ac:dyDescent="0.3">
      <c r="E16" s="173" t="str">
        <f>IF(F12&gt;I4,"LLEVA CONTABILIDAD",IF(F13&gt;I5,"LLEVA CONTABILIDAD",IF(F14&gt;I6,"LLEVA CONTABILIDAD","NO CONTABILIDAD")))</f>
        <v>NO CONTABILIDAD</v>
      </c>
      <c r="F16" s="173"/>
    </row>
  </sheetData>
  <mergeCells count="8">
    <mergeCell ref="E16:F16"/>
    <mergeCell ref="C13:D13"/>
    <mergeCell ref="C14:D14"/>
    <mergeCell ref="L2:Q2"/>
    <mergeCell ref="L5:Q5"/>
    <mergeCell ref="L4:Q4"/>
    <mergeCell ref="L3:Q3"/>
    <mergeCell ref="G7:I7"/>
  </mergeCells>
  <conditionalFormatting sqref="E16">
    <cfRule type="containsText" dxfId="0" priority="1" operator="containsText" text="LLEVA CONTABILIDAD">
      <formula>NOT(ISERROR(SEARCH("LLEVA CONTABILIDAD",E16)))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5"/>
  <sheetViews>
    <sheetView topLeftCell="A10" zoomScale="85" zoomScaleNormal="85" workbookViewId="0">
      <selection activeCell="N31" sqref="N31"/>
    </sheetView>
  </sheetViews>
  <sheetFormatPr baseColWidth="10" defaultColWidth="11.44140625" defaultRowHeight="14.4" x14ac:dyDescent="0.3"/>
  <cols>
    <col min="1" max="1" width="33.88671875" style="1" customWidth="1"/>
    <col min="2" max="2" width="11.6640625" style="1" bestFit="1" customWidth="1"/>
    <col min="3" max="3" width="14.88671875" style="1" customWidth="1"/>
    <col min="4" max="7" width="11.6640625" style="1" bestFit="1" customWidth="1"/>
    <col min="8" max="8" width="12.5546875" style="1" customWidth="1"/>
    <col min="9" max="9" width="15.33203125" style="1" customWidth="1"/>
    <col min="10" max="10" width="12.6640625" style="1" customWidth="1"/>
    <col min="11" max="11" width="15.6640625" style="1" customWidth="1"/>
    <col min="12" max="12" width="13.44140625" style="1" customWidth="1"/>
    <col min="13" max="13" width="13" style="1" customWidth="1"/>
    <col min="14" max="14" width="13.109375" style="1" customWidth="1"/>
    <col min="15" max="15" width="12.88671875" style="1" customWidth="1"/>
    <col min="16" max="16384" width="11.44140625" style="1"/>
  </cols>
  <sheetData>
    <row r="1" spans="1:14" x14ac:dyDescent="0.3">
      <c r="C1" s="140" t="s">
        <v>0</v>
      </c>
      <c r="D1" s="140"/>
      <c r="E1" s="140"/>
      <c r="F1" s="140"/>
      <c r="G1" s="140"/>
      <c r="H1" s="140"/>
      <c r="I1" s="140"/>
      <c r="J1" s="140"/>
      <c r="K1" s="140"/>
      <c r="L1" s="140"/>
      <c r="M1" s="140"/>
    </row>
    <row r="2" spans="1:14" x14ac:dyDescent="0.3">
      <c r="C2" s="141" t="s">
        <v>1</v>
      </c>
      <c r="D2" s="141"/>
      <c r="E2" s="141"/>
      <c r="F2" s="141"/>
      <c r="G2" s="141"/>
      <c r="H2" s="141"/>
      <c r="I2" s="141"/>
      <c r="J2" s="141"/>
      <c r="K2" s="141"/>
      <c r="L2" s="141"/>
      <c r="M2" s="141"/>
    </row>
    <row r="5" spans="1:14" x14ac:dyDescent="0.3">
      <c r="A5" s="142" t="s">
        <v>26</v>
      </c>
      <c r="B5" s="142"/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</row>
    <row r="6" spans="1:14" x14ac:dyDescent="0.3">
      <c r="G6" s="2"/>
    </row>
    <row r="7" spans="1:14" x14ac:dyDescent="0.3">
      <c r="A7" s="15" t="s">
        <v>2</v>
      </c>
      <c r="B7" s="15" t="s">
        <v>3</v>
      </c>
      <c r="C7" s="15" t="s">
        <v>4</v>
      </c>
      <c r="D7" s="15" t="s">
        <v>5</v>
      </c>
      <c r="E7" s="15" t="s">
        <v>6</v>
      </c>
      <c r="F7" s="15" t="s">
        <v>7</v>
      </c>
      <c r="G7" s="15" t="s">
        <v>8</v>
      </c>
      <c r="H7" s="15" t="s">
        <v>19</v>
      </c>
      <c r="I7" s="15" t="s">
        <v>20</v>
      </c>
      <c r="J7" s="15" t="s">
        <v>21</v>
      </c>
      <c r="K7" s="15" t="s">
        <v>22</v>
      </c>
      <c r="L7" s="15" t="s">
        <v>23</v>
      </c>
      <c r="M7" s="15" t="s">
        <v>24</v>
      </c>
      <c r="N7" s="15" t="s">
        <v>25</v>
      </c>
    </row>
    <row r="8" spans="1:14" x14ac:dyDescent="0.3">
      <c r="A8" s="6" t="s">
        <v>9</v>
      </c>
      <c r="B8" s="3">
        <v>202735.8</v>
      </c>
      <c r="C8" s="3">
        <v>434431.55</v>
      </c>
      <c r="D8" s="3">
        <v>266571.36</v>
      </c>
      <c r="E8" s="3">
        <v>363546.88</v>
      </c>
      <c r="F8" s="3">
        <v>332917</v>
      </c>
      <c r="G8" s="3">
        <v>332917</v>
      </c>
      <c r="H8" s="9">
        <v>332917</v>
      </c>
      <c r="I8" s="9">
        <v>332917</v>
      </c>
      <c r="J8" s="9">
        <v>332917</v>
      </c>
      <c r="K8" s="9">
        <v>332917</v>
      </c>
      <c r="L8" s="9">
        <v>332917</v>
      </c>
      <c r="M8" s="9">
        <v>332917</v>
      </c>
      <c r="N8" s="13">
        <f>SUM(B8:M8)</f>
        <v>3930621.59</v>
      </c>
    </row>
    <row r="9" spans="1:14" x14ac:dyDescent="0.3">
      <c r="A9" s="7" t="s">
        <v>10</v>
      </c>
      <c r="B9" s="4">
        <v>705325.80000000098</v>
      </c>
      <c r="C9" s="4">
        <v>679695.14999999991</v>
      </c>
      <c r="D9" s="4">
        <v>953133.22000000009</v>
      </c>
      <c r="E9" s="4">
        <v>756944.37</v>
      </c>
      <c r="F9" s="4">
        <v>1200000</v>
      </c>
      <c r="G9" s="4">
        <v>1200000</v>
      </c>
      <c r="H9" s="10">
        <v>1500000</v>
      </c>
      <c r="I9" s="10">
        <v>1552500</v>
      </c>
      <c r="J9" s="10">
        <v>1552500</v>
      </c>
      <c r="K9" s="10">
        <v>1552500</v>
      </c>
      <c r="L9" s="10">
        <v>1512000</v>
      </c>
      <c r="M9" s="10">
        <v>1485000</v>
      </c>
      <c r="N9" s="14">
        <f t="shared" ref="N9:N16" si="0">SUM(B9:M9)</f>
        <v>14649598.540000001</v>
      </c>
    </row>
    <row r="10" spans="1:14" x14ac:dyDescent="0.3">
      <c r="A10" s="7" t="s">
        <v>11</v>
      </c>
      <c r="B10" s="4">
        <v>149385.51999999999</v>
      </c>
      <c r="C10" s="4">
        <v>155452.03</v>
      </c>
      <c r="D10" s="4">
        <v>108327.41</v>
      </c>
      <c r="E10" s="4">
        <v>182392.43</v>
      </c>
      <c r="F10" s="4">
        <v>170000</v>
      </c>
      <c r="G10" s="4">
        <v>160000</v>
      </c>
      <c r="H10" s="10">
        <v>200000</v>
      </c>
      <c r="I10" s="10">
        <v>216000</v>
      </c>
      <c r="J10" s="10">
        <v>202500</v>
      </c>
      <c r="K10" s="10">
        <v>202500</v>
      </c>
      <c r="L10" s="10">
        <v>202500</v>
      </c>
      <c r="M10" s="10">
        <v>202500</v>
      </c>
      <c r="N10" s="14">
        <f t="shared" si="0"/>
        <v>2151557.3899999997</v>
      </c>
    </row>
    <row r="11" spans="1:14" x14ac:dyDescent="0.3">
      <c r="A11" s="7" t="s">
        <v>12</v>
      </c>
      <c r="B11" s="4">
        <v>52358.260000000024</v>
      </c>
      <c r="C11" s="4">
        <v>36981.360000000001</v>
      </c>
      <c r="D11" s="4">
        <v>54709.93</v>
      </c>
      <c r="E11" s="4">
        <v>59321.889999999992</v>
      </c>
      <c r="F11" s="4">
        <v>60000</v>
      </c>
      <c r="G11" s="4">
        <v>48000</v>
      </c>
      <c r="H11" s="10">
        <v>48000</v>
      </c>
      <c r="I11" s="10">
        <v>48000</v>
      </c>
      <c r="J11" s="10">
        <v>45000</v>
      </c>
      <c r="K11" s="10">
        <v>45000</v>
      </c>
      <c r="L11" s="10">
        <v>45000</v>
      </c>
      <c r="M11" s="10">
        <v>45000</v>
      </c>
      <c r="N11" s="14">
        <f t="shared" si="0"/>
        <v>587371.43999999994</v>
      </c>
    </row>
    <row r="12" spans="1:14" x14ac:dyDescent="0.3">
      <c r="A12" s="7" t="s">
        <v>13</v>
      </c>
      <c r="B12" s="4">
        <v>185711.7</v>
      </c>
      <c r="C12" s="4">
        <v>60209.1</v>
      </c>
      <c r="D12" s="4">
        <v>150392.72000000003</v>
      </c>
      <c r="E12" s="4">
        <v>130586.01999999997</v>
      </c>
      <c r="F12" s="4">
        <v>90000</v>
      </c>
      <c r="G12" s="4">
        <v>80000</v>
      </c>
      <c r="H12" s="10">
        <v>70000</v>
      </c>
      <c r="I12" s="10">
        <v>110000</v>
      </c>
      <c r="J12" s="10">
        <v>120000</v>
      </c>
      <c r="K12" s="10">
        <v>80000</v>
      </c>
      <c r="L12" s="10">
        <v>80000</v>
      </c>
      <c r="M12" s="10">
        <v>95000</v>
      </c>
      <c r="N12" s="14">
        <f t="shared" si="0"/>
        <v>1251899.54</v>
      </c>
    </row>
    <row r="13" spans="1:14" x14ac:dyDescent="0.3">
      <c r="A13" s="7" t="s">
        <v>14</v>
      </c>
      <c r="B13" s="4">
        <v>254772.2</v>
      </c>
      <c r="C13" s="4">
        <v>141446</v>
      </c>
      <c r="D13" s="4">
        <v>7021</v>
      </c>
      <c r="E13" s="4">
        <v>164623.45000000001</v>
      </c>
      <c r="F13" s="4">
        <v>170000</v>
      </c>
      <c r="G13" s="4">
        <v>160000</v>
      </c>
      <c r="H13" s="10">
        <v>212500</v>
      </c>
      <c r="I13" s="10">
        <v>212500</v>
      </c>
      <c r="J13" s="10">
        <v>200000</v>
      </c>
      <c r="K13" s="10">
        <v>212500</v>
      </c>
      <c r="L13" s="10">
        <v>212500</v>
      </c>
      <c r="M13" s="10">
        <v>200000</v>
      </c>
      <c r="N13" s="14">
        <f t="shared" si="0"/>
        <v>2147862.65</v>
      </c>
    </row>
    <row r="14" spans="1:14" x14ac:dyDescent="0.3">
      <c r="A14" s="7" t="s">
        <v>15</v>
      </c>
      <c r="B14" s="4">
        <v>117223.23000000004</v>
      </c>
      <c r="C14" s="4">
        <v>148993.06</v>
      </c>
      <c r="D14" s="4">
        <v>208406.28000000003</v>
      </c>
      <c r="E14" s="4">
        <v>152407.91999999998</v>
      </c>
      <c r="F14" s="4">
        <v>280000</v>
      </c>
      <c r="G14" s="4">
        <v>290000</v>
      </c>
      <c r="H14" s="10">
        <v>290000</v>
      </c>
      <c r="I14" s="10">
        <v>300000</v>
      </c>
      <c r="J14" s="10">
        <v>300000</v>
      </c>
      <c r="K14" s="10">
        <v>300000</v>
      </c>
      <c r="L14" s="10">
        <v>300000</v>
      </c>
      <c r="M14" s="10">
        <v>205000</v>
      </c>
      <c r="N14" s="14">
        <f t="shared" si="0"/>
        <v>2892030.49</v>
      </c>
    </row>
    <row r="15" spans="1:14" x14ac:dyDescent="0.3">
      <c r="A15" s="7" t="s">
        <v>16</v>
      </c>
      <c r="B15" s="4">
        <v>37754.450000000004</v>
      </c>
      <c r="C15" s="4">
        <v>37871.25</v>
      </c>
      <c r="D15" s="4">
        <v>6332.5</v>
      </c>
      <c r="E15" s="4">
        <v>19330.900000000001</v>
      </c>
      <c r="F15" s="4">
        <v>44659</v>
      </c>
      <c r="G15" s="4">
        <v>44659</v>
      </c>
      <c r="H15" s="10">
        <v>62801.25</v>
      </c>
      <c r="I15" s="10">
        <v>62801.25</v>
      </c>
      <c r="J15" s="10">
        <v>62801.25</v>
      </c>
      <c r="K15" s="10">
        <v>62801.25</v>
      </c>
      <c r="L15" s="10">
        <v>62801.25</v>
      </c>
      <c r="M15" s="10">
        <v>62801.25</v>
      </c>
      <c r="N15" s="14">
        <f t="shared" si="0"/>
        <v>567414.6</v>
      </c>
    </row>
    <row r="16" spans="1:14" x14ac:dyDescent="0.3">
      <c r="A16" s="8" t="s">
        <v>17</v>
      </c>
      <c r="B16" s="5">
        <v>26546.11</v>
      </c>
      <c r="C16" s="5">
        <v>33520.78</v>
      </c>
      <c r="D16" s="5">
        <v>10842.78</v>
      </c>
      <c r="E16" s="5">
        <v>13933.3</v>
      </c>
      <c r="F16" s="5">
        <v>50000</v>
      </c>
      <c r="G16" s="5">
        <v>60000</v>
      </c>
      <c r="H16" s="11">
        <v>50000</v>
      </c>
      <c r="I16" s="11">
        <v>50000</v>
      </c>
      <c r="J16" s="11">
        <v>50000</v>
      </c>
      <c r="K16" s="11">
        <v>50000</v>
      </c>
      <c r="L16" s="11">
        <v>45000</v>
      </c>
      <c r="M16" s="11">
        <v>40000</v>
      </c>
      <c r="N16" s="12">
        <f t="shared" si="0"/>
        <v>479842.97</v>
      </c>
    </row>
    <row r="17" spans="1:15" x14ac:dyDescent="0.3">
      <c r="A17" s="16" t="s">
        <v>18</v>
      </c>
      <c r="B17" s="17">
        <f t="shared" ref="B17:N17" si="1">SUM(B8:B16)</f>
        <v>1731813.070000001</v>
      </c>
      <c r="C17" s="17">
        <f t="shared" si="1"/>
        <v>1728600.2800000003</v>
      </c>
      <c r="D17" s="17">
        <f t="shared" si="1"/>
        <v>1765737.2</v>
      </c>
      <c r="E17" s="17">
        <f t="shared" si="1"/>
        <v>1843087.1599999997</v>
      </c>
      <c r="F17" s="17">
        <f t="shared" si="1"/>
        <v>2397576</v>
      </c>
      <c r="G17" s="17">
        <f t="shared" si="1"/>
        <v>2375576</v>
      </c>
      <c r="H17" s="18">
        <f t="shared" si="1"/>
        <v>2766218.25</v>
      </c>
      <c r="I17" s="18">
        <f t="shared" si="1"/>
        <v>2884718.25</v>
      </c>
      <c r="J17" s="18">
        <f t="shared" si="1"/>
        <v>2865718.25</v>
      </c>
      <c r="K17" s="18">
        <f t="shared" si="1"/>
        <v>2838218.25</v>
      </c>
      <c r="L17" s="18">
        <f t="shared" si="1"/>
        <v>2792718.25</v>
      </c>
      <c r="M17" s="18">
        <f t="shared" si="1"/>
        <v>2668218.25</v>
      </c>
      <c r="N17" s="18">
        <f t="shared" si="1"/>
        <v>28658199.210000001</v>
      </c>
    </row>
    <row r="20" spans="1:15" x14ac:dyDescent="0.3">
      <c r="A20" s="142" t="s">
        <v>27</v>
      </c>
      <c r="B20" s="142"/>
      <c r="C20" s="142"/>
      <c r="D20" s="142"/>
      <c r="E20" s="142"/>
      <c r="F20" s="142"/>
      <c r="G20" s="142"/>
      <c r="H20" s="142"/>
      <c r="I20" s="142"/>
      <c r="J20" s="142"/>
      <c r="K20" s="142"/>
      <c r="L20" s="142"/>
      <c r="M20" s="142"/>
      <c r="N20" s="142"/>
    </row>
    <row r="22" spans="1:15" x14ac:dyDescent="0.3">
      <c r="A22" s="1" t="s">
        <v>144</v>
      </c>
      <c r="B22" s="64">
        <f>+B17*88%</f>
        <v>1523995.5016000008</v>
      </c>
      <c r="C22" s="65">
        <f t="shared" ref="C22:M22" si="2">+C17*88%</f>
        <v>1521168.2464000003</v>
      </c>
      <c r="D22" s="65">
        <f t="shared" si="2"/>
        <v>1553848.736</v>
      </c>
      <c r="E22" s="65">
        <f t="shared" si="2"/>
        <v>1621916.7007999998</v>
      </c>
      <c r="F22" s="65">
        <f t="shared" si="2"/>
        <v>2109866.88</v>
      </c>
      <c r="G22" s="65">
        <f t="shared" si="2"/>
        <v>2090506.8800000001</v>
      </c>
      <c r="H22" s="65">
        <f t="shared" si="2"/>
        <v>2434272.06</v>
      </c>
      <c r="I22" s="65">
        <f t="shared" si="2"/>
        <v>2538552.06</v>
      </c>
      <c r="J22" s="65">
        <f t="shared" si="2"/>
        <v>2521832.06</v>
      </c>
      <c r="K22" s="65">
        <f t="shared" si="2"/>
        <v>2497632.06</v>
      </c>
      <c r="L22" s="65">
        <f t="shared" si="2"/>
        <v>2457592.06</v>
      </c>
      <c r="M22" s="65">
        <f t="shared" si="2"/>
        <v>2348032.06</v>
      </c>
      <c r="N22" s="66">
        <f>SUM(B22:M22)</f>
        <v>25219215.304799996</v>
      </c>
    </row>
    <row r="23" spans="1:15" x14ac:dyDescent="0.3">
      <c r="A23" s="16" t="s">
        <v>28</v>
      </c>
      <c r="B23" s="20">
        <f>SUM(B22)</f>
        <v>1523995.5016000008</v>
      </c>
      <c r="C23" s="20">
        <f>SUM(C22)</f>
        <v>1521168.2464000003</v>
      </c>
      <c r="D23" s="20">
        <f>SUM(D22)</f>
        <v>1553848.736</v>
      </c>
      <c r="E23" s="20">
        <f>SUM(E22)</f>
        <v>1621916.7007999998</v>
      </c>
      <c r="F23" s="20">
        <f t="shared" ref="F23:M23" si="3">SUM(F22)</f>
        <v>2109866.88</v>
      </c>
      <c r="G23" s="20">
        <f t="shared" si="3"/>
        <v>2090506.8800000001</v>
      </c>
      <c r="H23" s="20">
        <f t="shared" si="3"/>
        <v>2434272.06</v>
      </c>
      <c r="I23" s="20">
        <f t="shared" si="3"/>
        <v>2538552.06</v>
      </c>
      <c r="J23" s="20">
        <f t="shared" si="3"/>
        <v>2521832.06</v>
      </c>
      <c r="K23" s="20">
        <f t="shared" si="3"/>
        <v>2497632.06</v>
      </c>
      <c r="L23" s="20">
        <f t="shared" si="3"/>
        <v>2457592.06</v>
      </c>
      <c r="M23" s="20">
        <f t="shared" si="3"/>
        <v>2348032.06</v>
      </c>
      <c r="N23" s="20">
        <f>+N22-M23-L23-K23-J23-I23-H23-G23-F23-E23-D23-C23-B23</f>
        <v>-1.862645149230957E-9</v>
      </c>
    </row>
    <row r="25" spans="1:15" x14ac:dyDescent="0.3">
      <c r="A25" s="19" t="s">
        <v>29</v>
      </c>
      <c r="B25" s="64">
        <f t="shared" ref="B25:M25" si="4">+B17-B23</f>
        <v>207817.56840000022</v>
      </c>
      <c r="C25" s="65">
        <f t="shared" si="4"/>
        <v>207432.03359999997</v>
      </c>
      <c r="D25" s="65">
        <f t="shared" si="4"/>
        <v>211888.46399999992</v>
      </c>
      <c r="E25" s="65">
        <f t="shared" si="4"/>
        <v>221170.45919999992</v>
      </c>
      <c r="F25" s="65">
        <f t="shared" si="4"/>
        <v>287709.12000000011</v>
      </c>
      <c r="G25" s="65">
        <f t="shared" si="4"/>
        <v>285069.11999999988</v>
      </c>
      <c r="H25" s="65">
        <f t="shared" si="4"/>
        <v>331946.18999999994</v>
      </c>
      <c r="I25" s="65">
        <f t="shared" si="4"/>
        <v>346166.18999999994</v>
      </c>
      <c r="J25" s="65">
        <f t="shared" si="4"/>
        <v>343886.18999999994</v>
      </c>
      <c r="K25" s="65">
        <f t="shared" si="4"/>
        <v>340586.18999999994</v>
      </c>
      <c r="L25" s="65">
        <f t="shared" si="4"/>
        <v>335126.18999999994</v>
      </c>
      <c r="M25" s="65">
        <f t="shared" si="4"/>
        <v>320186.18999999994</v>
      </c>
      <c r="N25" s="66">
        <f>SUM(B25:M25)</f>
        <v>3438983.9051999999</v>
      </c>
      <c r="O25" s="93">
        <f>+N25/N17</f>
        <v>0.12</v>
      </c>
    </row>
    <row r="27" spans="1:15" x14ac:dyDescent="0.3">
      <c r="A27" s="19" t="s">
        <v>31</v>
      </c>
      <c r="B27" s="64">
        <f>+B25*15%</f>
        <v>31172.635260000032</v>
      </c>
      <c r="C27" s="65">
        <f t="shared" ref="C27:M27" si="5">+C25*15%</f>
        <v>31114.805039999992</v>
      </c>
      <c r="D27" s="65">
        <f t="shared" si="5"/>
        <v>31783.269599999985</v>
      </c>
      <c r="E27" s="65">
        <f t="shared" si="5"/>
        <v>33175.568879999984</v>
      </c>
      <c r="F27" s="65">
        <f t="shared" si="5"/>
        <v>43156.368000000017</v>
      </c>
      <c r="G27" s="65">
        <f t="shared" si="5"/>
        <v>42760.36799999998</v>
      </c>
      <c r="H27" s="65">
        <f t="shared" si="5"/>
        <v>49791.928499999987</v>
      </c>
      <c r="I27" s="65">
        <f t="shared" si="5"/>
        <v>51924.928499999987</v>
      </c>
      <c r="J27" s="65">
        <f t="shared" si="5"/>
        <v>51582.928499999987</v>
      </c>
      <c r="K27" s="65">
        <f t="shared" si="5"/>
        <v>51087.928499999987</v>
      </c>
      <c r="L27" s="65">
        <f t="shared" si="5"/>
        <v>50268.928499999987</v>
      </c>
      <c r="M27" s="65">
        <f t="shared" si="5"/>
        <v>48027.928499999987</v>
      </c>
      <c r="N27" s="66">
        <f>SUM(B27:M27)</f>
        <v>515847.58577999991</v>
      </c>
    </row>
    <row r="29" spans="1:15" x14ac:dyDescent="0.3">
      <c r="A29" s="19" t="s">
        <v>30</v>
      </c>
      <c r="B29" s="64">
        <f>+B25-B27</f>
        <v>176644.93314000018</v>
      </c>
      <c r="C29" s="65">
        <f t="shared" ref="C29:M29" si="6">+C25-C27</f>
        <v>176317.22855999996</v>
      </c>
      <c r="D29" s="65">
        <f t="shared" si="6"/>
        <v>180105.19439999992</v>
      </c>
      <c r="E29" s="65">
        <f t="shared" si="6"/>
        <v>187994.89031999995</v>
      </c>
      <c r="F29" s="65">
        <f t="shared" si="6"/>
        <v>244552.75200000009</v>
      </c>
      <c r="G29" s="65">
        <f t="shared" si="6"/>
        <v>242308.75199999989</v>
      </c>
      <c r="H29" s="65">
        <f t="shared" si="6"/>
        <v>282154.26149999996</v>
      </c>
      <c r="I29" s="65">
        <f t="shared" si="6"/>
        <v>294241.26149999996</v>
      </c>
      <c r="J29" s="65">
        <f t="shared" si="6"/>
        <v>292303.26149999996</v>
      </c>
      <c r="K29" s="65">
        <f t="shared" si="6"/>
        <v>289498.26149999996</v>
      </c>
      <c r="L29" s="65">
        <f t="shared" si="6"/>
        <v>284857.26149999996</v>
      </c>
      <c r="M29" s="65">
        <f t="shared" si="6"/>
        <v>272158.26149999996</v>
      </c>
      <c r="N29" s="66">
        <f>SUM(B29:M29)</f>
        <v>2923136.3194200001</v>
      </c>
    </row>
    <row r="31" spans="1:15" x14ac:dyDescent="0.3">
      <c r="A31" s="19" t="s">
        <v>32</v>
      </c>
      <c r="B31" s="64">
        <f>+B29*25%</f>
        <v>44161.233285000046</v>
      </c>
      <c r="C31" s="65">
        <f t="shared" ref="C31:M31" si="7">+C29*25%</f>
        <v>44079.30713999999</v>
      </c>
      <c r="D31" s="65">
        <f t="shared" si="7"/>
        <v>45026.29859999998</v>
      </c>
      <c r="E31" s="65">
        <f t="shared" si="7"/>
        <v>46998.722579999987</v>
      </c>
      <c r="F31" s="65">
        <f t="shared" si="7"/>
        <v>61138.188000000024</v>
      </c>
      <c r="G31" s="65">
        <f t="shared" si="7"/>
        <v>60577.187999999973</v>
      </c>
      <c r="H31" s="65">
        <f t="shared" si="7"/>
        <v>70538.565374999991</v>
      </c>
      <c r="I31" s="65">
        <f t="shared" si="7"/>
        <v>73560.315374999991</v>
      </c>
      <c r="J31" s="65">
        <f t="shared" si="7"/>
        <v>73075.815374999991</v>
      </c>
      <c r="K31" s="65">
        <f t="shared" si="7"/>
        <v>72374.565374999991</v>
      </c>
      <c r="L31" s="65">
        <f t="shared" si="7"/>
        <v>71214.315374999991</v>
      </c>
      <c r="M31" s="65">
        <f t="shared" si="7"/>
        <v>68039.565374999991</v>
      </c>
      <c r="N31" s="66">
        <f>SUM(B31:M31)</f>
        <v>730784.07985500002</v>
      </c>
    </row>
    <row r="33" spans="1:14" x14ac:dyDescent="0.3">
      <c r="A33" s="19" t="s">
        <v>33</v>
      </c>
      <c r="B33" s="64">
        <f>+B29-B31</f>
        <v>132483.69985500013</v>
      </c>
      <c r="C33" s="65">
        <f t="shared" ref="C33:M33" si="8">+C29-C31</f>
        <v>132237.92141999997</v>
      </c>
      <c r="D33" s="65">
        <f t="shared" si="8"/>
        <v>135078.89579999994</v>
      </c>
      <c r="E33" s="65">
        <f t="shared" si="8"/>
        <v>140996.16773999995</v>
      </c>
      <c r="F33" s="65">
        <f t="shared" si="8"/>
        <v>183414.56400000007</v>
      </c>
      <c r="G33" s="65">
        <f t="shared" si="8"/>
        <v>181731.56399999993</v>
      </c>
      <c r="H33" s="65">
        <f t="shared" si="8"/>
        <v>211615.69612499996</v>
      </c>
      <c r="I33" s="65">
        <f t="shared" si="8"/>
        <v>220680.94612499996</v>
      </c>
      <c r="J33" s="65">
        <f t="shared" si="8"/>
        <v>219227.44612499996</v>
      </c>
      <c r="K33" s="65">
        <f t="shared" si="8"/>
        <v>217123.69612499996</v>
      </c>
      <c r="L33" s="65">
        <f t="shared" si="8"/>
        <v>213642.94612499996</v>
      </c>
      <c r="M33" s="65">
        <f t="shared" si="8"/>
        <v>204118.69612499996</v>
      </c>
      <c r="N33" s="66">
        <f>SUM(B33:M33)</f>
        <v>2192352.2395649999</v>
      </c>
    </row>
    <row r="35" spans="1:14" x14ac:dyDescent="0.3">
      <c r="N35" s="93">
        <f>+N33/N17</f>
        <v>7.6499999999999999E-2</v>
      </c>
    </row>
  </sheetData>
  <mergeCells count="4">
    <mergeCell ref="C1:M1"/>
    <mergeCell ref="C2:M2"/>
    <mergeCell ref="A5:N5"/>
    <mergeCell ref="A20:N20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B1:I65"/>
  <sheetViews>
    <sheetView topLeftCell="A43" workbookViewId="0">
      <selection activeCell="F18" sqref="F18"/>
    </sheetView>
  </sheetViews>
  <sheetFormatPr baseColWidth="10" defaultColWidth="11.44140625" defaultRowHeight="14.4" x14ac:dyDescent="0.3"/>
  <cols>
    <col min="1" max="1" width="11.44140625" style="1"/>
    <col min="2" max="2" width="11.44140625" style="31"/>
    <col min="3" max="3" width="11.44140625" style="1"/>
    <col min="4" max="4" width="73.44140625" style="1" customWidth="1"/>
    <col min="5" max="5" width="13.6640625" style="1" bestFit="1" customWidth="1"/>
    <col min="6" max="6" width="16.33203125" style="1" customWidth="1"/>
    <col min="7" max="7" width="11.44140625" style="1"/>
    <col min="8" max="8" width="23.109375" style="1" customWidth="1"/>
    <col min="9" max="16384" width="11.44140625" style="1"/>
  </cols>
  <sheetData>
    <row r="1" spans="2:9" x14ac:dyDescent="0.3">
      <c r="C1" s="145" t="s">
        <v>35</v>
      </c>
      <c r="D1" s="146"/>
      <c r="E1" s="90"/>
      <c r="F1" s="91"/>
    </row>
    <row r="2" spans="2:9" x14ac:dyDescent="0.3">
      <c r="C2" s="24"/>
      <c r="D2" s="23"/>
      <c r="E2" s="23"/>
    </row>
    <row r="3" spans="2:9" x14ac:dyDescent="0.3">
      <c r="C3" s="24"/>
      <c r="D3" s="23"/>
      <c r="E3" s="23"/>
    </row>
    <row r="4" spans="2:9" x14ac:dyDescent="0.3">
      <c r="C4" s="147" t="s">
        <v>36</v>
      </c>
      <c r="D4" s="148"/>
      <c r="F4" s="23">
        <f>+'Presupuesto '!N17</f>
        <v>28658199.210000001</v>
      </c>
    </row>
    <row r="5" spans="2:9" x14ac:dyDescent="0.3">
      <c r="C5" s="24"/>
      <c r="D5" s="23"/>
      <c r="F5" s="23"/>
    </row>
    <row r="6" spans="2:9" x14ac:dyDescent="0.3">
      <c r="C6" s="74" t="s">
        <v>37</v>
      </c>
      <c r="D6" s="75"/>
      <c r="E6" s="76"/>
      <c r="F6" s="77"/>
    </row>
    <row r="7" spans="2:9" x14ac:dyDescent="0.3">
      <c r="C7" s="78" t="s">
        <v>38</v>
      </c>
      <c r="D7" s="79"/>
      <c r="E7" s="80"/>
      <c r="F7" s="81">
        <f>+'Presupuesto '!N22</f>
        <v>25219215.304799996</v>
      </c>
      <c r="H7" s="25"/>
      <c r="I7" s="26"/>
    </row>
    <row r="8" spans="2:9" x14ac:dyDescent="0.3">
      <c r="C8" s="78" t="s">
        <v>39</v>
      </c>
      <c r="D8" s="80"/>
      <c r="E8" s="79">
        <f>-F7</f>
        <v>-25219215.304799996</v>
      </c>
      <c r="F8" s="81"/>
      <c r="I8" s="26"/>
    </row>
    <row r="9" spans="2:9" x14ac:dyDescent="0.3">
      <c r="C9" s="78" t="s">
        <v>40</v>
      </c>
      <c r="D9" s="79"/>
      <c r="E9" s="80"/>
      <c r="F9" s="81"/>
      <c r="I9" s="26"/>
    </row>
    <row r="10" spans="2:9" x14ac:dyDescent="0.3">
      <c r="C10" s="78" t="s">
        <v>41</v>
      </c>
      <c r="D10" s="79"/>
      <c r="E10" s="80"/>
      <c r="F10" s="81"/>
      <c r="I10" s="26"/>
    </row>
    <row r="11" spans="2:9" x14ac:dyDescent="0.3">
      <c r="C11" s="82" t="s">
        <v>42</v>
      </c>
      <c r="D11" s="83"/>
      <c r="E11" s="69"/>
      <c r="F11" s="84">
        <f>SUM(E7:E10)</f>
        <v>-25219215.304799996</v>
      </c>
      <c r="I11" s="26"/>
    </row>
    <row r="12" spans="2:9" x14ac:dyDescent="0.3">
      <c r="C12" s="24"/>
      <c r="D12" s="23"/>
      <c r="F12" s="23"/>
      <c r="I12" s="27"/>
    </row>
    <row r="13" spans="2:9" x14ac:dyDescent="0.3">
      <c r="C13" s="24"/>
      <c r="D13" s="23"/>
      <c r="F13" s="23"/>
      <c r="I13" s="26"/>
    </row>
    <row r="14" spans="2:9" x14ac:dyDescent="0.3">
      <c r="B14" s="32">
        <v>801</v>
      </c>
      <c r="C14" s="149" t="s">
        <v>33</v>
      </c>
      <c r="D14" s="150"/>
      <c r="E14" s="76"/>
      <c r="F14" s="77">
        <f>+F4+F11</f>
        <v>3438983.9052000046</v>
      </c>
      <c r="I14" s="26"/>
    </row>
    <row r="15" spans="2:9" x14ac:dyDescent="0.3">
      <c r="B15" s="32">
        <v>803</v>
      </c>
      <c r="C15" s="143" t="s">
        <v>43</v>
      </c>
      <c r="D15" s="144"/>
      <c r="E15" s="80"/>
      <c r="F15" s="81">
        <f>-F14*0.15</f>
        <v>-515847.58578000066</v>
      </c>
      <c r="I15" s="26"/>
    </row>
    <row r="16" spans="2:9" x14ac:dyDescent="0.3">
      <c r="B16" s="32">
        <v>804</v>
      </c>
      <c r="C16" s="143" t="s">
        <v>44</v>
      </c>
      <c r="D16" s="144"/>
      <c r="E16" s="80"/>
      <c r="F16" s="81">
        <v>0</v>
      </c>
      <c r="I16" s="26"/>
    </row>
    <row r="17" spans="2:7" x14ac:dyDescent="0.3">
      <c r="B17" s="32">
        <v>805</v>
      </c>
      <c r="C17" s="143" t="s">
        <v>45</v>
      </c>
      <c r="D17" s="144"/>
      <c r="E17" s="80"/>
      <c r="F17" s="81">
        <v>0</v>
      </c>
    </row>
    <row r="18" spans="2:7" x14ac:dyDescent="0.3">
      <c r="B18" s="32">
        <v>806</v>
      </c>
      <c r="C18" s="143" t="s">
        <v>46</v>
      </c>
      <c r="D18" s="144" t="s">
        <v>47</v>
      </c>
      <c r="E18" s="85"/>
      <c r="F18" s="81">
        <f>+'Gasto no Deducible'!D10</f>
        <v>214794.45</v>
      </c>
    </row>
    <row r="19" spans="2:7" x14ac:dyDescent="0.3">
      <c r="B19" s="32">
        <v>807</v>
      </c>
      <c r="C19" s="143" t="s">
        <v>48</v>
      </c>
      <c r="D19" s="144"/>
      <c r="E19" s="80"/>
      <c r="F19" s="81">
        <v>0</v>
      </c>
    </row>
    <row r="20" spans="2:7" x14ac:dyDescent="0.3">
      <c r="B20" s="32">
        <v>808</v>
      </c>
      <c r="C20" s="143" t="s">
        <v>49</v>
      </c>
      <c r="D20" s="144"/>
      <c r="E20" s="80"/>
      <c r="F20" s="81">
        <v>0</v>
      </c>
    </row>
    <row r="21" spans="2:7" x14ac:dyDescent="0.3">
      <c r="B21" s="32">
        <v>809</v>
      </c>
      <c r="C21" s="143" t="s">
        <v>50</v>
      </c>
      <c r="D21" s="144"/>
      <c r="E21" s="80"/>
      <c r="F21" s="81">
        <v>0</v>
      </c>
    </row>
    <row r="22" spans="2:7" x14ac:dyDescent="0.3">
      <c r="B22" s="32">
        <v>810</v>
      </c>
      <c r="C22" s="143" t="s">
        <v>51</v>
      </c>
      <c r="D22" s="144"/>
      <c r="E22" s="85"/>
      <c r="F22" s="81">
        <v>0</v>
      </c>
    </row>
    <row r="23" spans="2:7" x14ac:dyDescent="0.3">
      <c r="B23" s="32">
        <v>811</v>
      </c>
      <c r="C23" s="143" t="s">
        <v>52</v>
      </c>
      <c r="D23" s="144"/>
      <c r="E23" s="80"/>
      <c r="F23" s="81">
        <v>0</v>
      </c>
    </row>
    <row r="24" spans="2:7" x14ac:dyDescent="0.3">
      <c r="B24" s="32">
        <v>812</v>
      </c>
      <c r="C24" s="143" t="s">
        <v>53</v>
      </c>
      <c r="D24" s="144"/>
      <c r="E24" s="80"/>
      <c r="F24" s="81">
        <v>0</v>
      </c>
    </row>
    <row r="25" spans="2:7" x14ac:dyDescent="0.3">
      <c r="B25" s="32">
        <v>813</v>
      </c>
      <c r="C25" s="151" t="s">
        <v>54</v>
      </c>
      <c r="D25" s="152"/>
      <c r="E25" s="69"/>
      <c r="F25" s="84">
        <v>0</v>
      </c>
    </row>
    <row r="26" spans="2:7" x14ac:dyDescent="0.3">
      <c r="B26" s="32"/>
      <c r="C26" s="153"/>
      <c r="D26" s="153"/>
      <c r="F26" s="23"/>
    </row>
    <row r="27" spans="2:7" x14ac:dyDescent="0.3">
      <c r="B27" s="32">
        <v>814</v>
      </c>
      <c r="C27" s="149" t="s">
        <v>55</v>
      </c>
      <c r="D27" s="150"/>
      <c r="E27" s="76"/>
      <c r="F27" s="86">
        <v>0</v>
      </c>
    </row>
    <row r="28" spans="2:7" x14ac:dyDescent="0.3">
      <c r="B28" s="32">
        <v>816</v>
      </c>
      <c r="C28" s="143" t="s">
        <v>56</v>
      </c>
      <c r="D28" s="144"/>
      <c r="E28" s="85"/>
      <c r="F28" s="81">
        <v>37599.65</v>
      </c>
      <c r="G28" s="1" t="s">
        <v>215</v>
      </c>
    </row>
    <row r="29" spans="2:7" x14ac:dyDescent="0.3">
      <c r="B29" s="32">
        <v>818</v>
      </c>
      <c r="C29" s="143" t="s">
        <v>57</v>
      </c>
      <c r="D29" s="144"/>
      <c r="E29" s="80"/>
      <c r="F29" s="81">
        <v>0</v>
      </c>
    </row>
    <row r="30" spans="2:7" x14ac:dyDescent="0.3">
      <c r="B30" s="32">
        <v>820</v>
      </c>
      <c r="C30" s="143" t="s">
        <v>58</v>
      </c>
      <c r="D30" s="144"/>
      <c r="E30" s="80"/>
      <c r="F30" s="81">
        <v>0</v>
      </c>
    </row>
    <row r="31" spans="2:7" x14ac:dyDescent="0.3">
      <c r="B31" s="32">
        <v>822</v>
      </c>
      <c r="C31" s="143" t="s">
        <v>59</v>
      </c>
      <c r="D31" s="144"/>
      <c r="E31" s="80"/>
      <c r="F31" s="81">
        <v>0</v>
      </c>
    </row>
    <row r="32" spans="2:7" x14ac:dyDescent="0.3">
      <c r="B32" s="32" t="s">
        <v>60</v>
      </c>
      <c r="C32" s="143" t="s">
        <v>61</v>
      </c>
      <c r="D32" s="144"/>
      <c r="E32" s="80"/>
      <c r="F32" s="81">
        <v>0</v>
      </c>
    </row>
    <row r="33" spans="2:8" x14ac:dyDescent="0.3">
      <c r="B33" s="32">
        <v>826</v>
      </c>
      <c r="C33" s="143" t="s">
        <v>62</v>
      </c>
      <c r="D33" s="144"/>
      <c r="E33" s="80"/>
      <c r="F33" s="81">
        <v>0</v>
      </c>
    </row>
    <row r="34" spans="2:8" x14ac:dyDescent="0.3">
      <c r="B34" s="32"/>
      <c r="C34" s="143" t="s">
        <v>63</v>
      </c>
      <c r="D34" s="144"/>
      <c r="E34" s="80"/>
      <c r="F34" s="81"/>
    </row>
    <row r="35" spans="2:8" x14ac:dyDescent="0.3">
      <c r="B35" s="32">
        <v>828</v>
      </c>
      <c r="C35" s="143" t="s">
        <v>64</v>
      </c>
      <c r="D35" s="144"/>
      <c r="E35" s="80"/>
      <c r="F35" s="81">
        <v>0</v>
      </c>
    </row>
    <row r="36" spans="2:8" x14ac:dyDescent="0.3">
      <c r="B36" s="32">
        <v>830</v>
      </c>
      <c r="C36" s="143" t="s">
        <v>65</v>
      </c>
      <c r="D36" s="144"/>
      <c r="E36" s="80"/>
      <c r="F36" s="81">
        <v>0</v>
      </c>
    </row>
    <row r="37" spans="2:8" x14ac:dyDescent="0.3">
      <c r="B37" s="32">
        <v>833</v>
      </c>
      <c r="C37" s="143" t="s">
        <v>66</v>
      </c>
      <c r="D37" s="144"/>
      <c r="E37" s="80"/>
      <c r="F37" s="81"/>
    </row>
    <row r="38" spans="2:8" x14ac:dyDescent="0.3">
      <c r="B38" s="32" t="s">
        <v>67</v>
      </c>
      <c r="C38" s="151" t="s">
        <v>68</v>
      </c>
      <c r="D38" s="152"/>
      <c r="E38" s="69"/>
      <c r="F38" s="84">
        <v>0</v>
      </c>
    </row>
    <row r="39" spans="2:8" x14ac:dyDescent="0.3">
      <c r="B39" s="33"/>
      <c r="C39" s="153"/>
      <c r="D39" s="153"/>
      <c r="F39" s="23"/>
    </row>
    <row r="40" spans="2:8" x14ac:dyDescent="0.3">
      <c r="B40" s="33"/>
      <c r="C40" s="153"/>
      <c r="D40" s="153"/>
      <c r="F40" s="23"/>
    </row>
    <row r="41" spans="2:8" x14ac:dyDescent="0.3">
      <c r="B41" s="34">
        <v>37</v>
      </c>
      <c r="C41" s="149" t="s">
        <v>69</v>
      </c>
      <c r="D41" s="150" t="s">
        <v>70</v>
      </c>
      <c r="E41" s="76"/>
      <c r="F41" s="77"/>
    </row>
    <row r="42" spans="2:8" x14ac:dyDescent="0.3">
      <c r="B42" s="34">
        <v>38</v>
      </c>
      <c r="C42" s="151" t="s">
        <v>71</v>
      </c>
      <c r="D42" s="152" t="e">
        <f>ROUND(+#REF!,4)</f>
        <v>#REF!</v>
      </c>
      <c r="E42" s="182">
        <f>IF(Inversion!D13&gt;=5%,5%,+Inversion!D13)</f>
        <v>4.3963708143802301E-2</v>
      </c>
      <c r="F42" s="84"/>
    </row>
    <row r="43" spans="2:8" x14ac:dyDescent="0.3">
      <c r="B43" s="35"/>
      <c r="C43" s="153"/>
      <c r="D43" s="153"/>
      <c r="F43" s="23"/>
    </row>
    <row r="44" spans="2:8" x14ac:dyDescent="0.3">
      <c r="B44" s="35"/>
      <c r="C44" s="149" t="s">
        <v>29</v>
      </c>
      <c r="D44" s="150"/>
      <c r="E44" s="76"/>
      <c r="F44" s="77">
        <f>+SUM(F14:F43)</f>
        <v>3175530.4194200039</v>
      </c>
      <c r="H44" s="29">
        <f>+F44*E42</f>
        <v>139608.09256114715</v>
      </c>
    </row>
    <row r="45" spans="2:8" x14ac:dyDescent="0.3">
      <c r="B45" s="35">
        <v>850</v>
      </c>
      <c r="C45" s="143" t="s">
        <v>72</v>
      </c>
      <c r="D45" s="144">
        <v>0.25</v>
      </c>
      <c r="E45" s="87">
        <v>0.25</v>
      </c>
      <c r="F45" s="81">
        <f>+F44*(E45-E42)</f>
        <v>654274.5122938538</v>
      </c>
    </row>
    <row r="46" spans="2:8" x14ac:dyDescent="0.3">
      <c r="B46" s="35">
        <v>800</v>
      </c>
      <c r="C46" s="143" t="s">
        <v>73</v>
      </c>
      <c r="D46" s="144"/>
      <c r="E46" s="80"/>
      <c r="F46" s="81">
        <v>0</v>
      </c>
    </row>
    <row r="47" spans="2:8" x14ac:dyDescent="0.3">
      <c r="B47" s="35">
        <v>851</v>
      </c>
      <c r="C47" s="151" t="s">
        <v>74</v>
      </c>
      <c r="D47" s="152"/>
      <c r="E47" s="88"/>
      <c r="F47" s="84">
        <v>0</v>
      </c>
    </row>
    <row r="48" spans="2:8" x14ac:dyDescent="0.3">
      <c r="B48" s="35"/>
      <c r="C48" s="153"/>
      <c r="D48" s="153"/>
      <c r="F48" s="23"/>
    </row>
    <row r="49" spans="2:7" x14ac:dyDescent="0.3">
      <c r="B49" s="35">
        <v>856</v>
      </c>
      <c r="C49" s="149" t="s">
        <v>75</v>
      </c>
      <c r="D49" s="150"/>
      <c r="E49" s="76"/>
      <c r="F49" s="77">
        <v>0</v>
      </c>
    </row>
    <row r="50" spans="2:7" x14ac:dyDescent="0.3">
      <c r="B50" s="35">
        <v>857</v>
      </c>
      <c r="C50" s="143" t="s">
        <v>76</v>
      </c>
      <c r="D50" s="144" t="s">
        <v>77</v>
      </c>
      <c r="E50" s="85"/>
      <c r="F50" s="81">
        <f>+F4*1.75%</f>
        <v>501518.48617500009</v>
      </c>
    </row>
    <row r="51" spans="2:7" x14ac:dyDescent="0.3">
      <c r="B51" s="35">
        <v>858</v>
      </c>
      <c r="C51" s="143" t="s">
        <v>78</v>
      </c>
      <c r="D51" s="144"/>
      <c r="E51" s="80"/>
      <c r="F51" s="81">
        <v>0</v>
      </c>
    </row>
    <row r="52" spans="2:7" x14ac:dyDescent="0.3">
      <c r="B52" s="35">
        <v>859</v>
      </c>
      <c r="C52" s="143" t="s">
        <v>122</v>
      </c>
      <c r="D52" s="144"/>
      <c r="E52" s="80"/>
      <c r="F52" s="81">
        <v>180000</v>
      </c>
      <c r="G52" s="1" t="s">
        <v>212</v>
      </c>
    </row>
    <row r="53" spans="2:7" x14ac:dyDescent="0.3">
      <c r="B53" s="35">
        <v>860</v>
      </c>
      <c r="C53" s="143" t="s">
        <v>79</v>
      </c>
      <c r="D53" s="144"/>
      <c r="E53" s="80"/>
      <c r="F53" s="81">
        <v>0</v>
      </c>
    </row>
    <row r="54" spans="2:7" x14ac:dyDescent="0.3">
      <c r="B54" s="35">
        <v>861</v>
      </c>
      <c r="C54" s="151" t="s">
        <v>80</v>
      </c>
      <c r="D54" s="152"/>
      <c r="E54" s="69"/>
      <c r="F54" s="84">
        <v>41792.754000000001</v>
      </c>
    </row>
    <row r="55" spans="2:7" x14ac:dyDescent="0.3">
      <c r="B55" s="35"/>
      <c r="C55" s="153"/>
      <c r="D55" s="153"/>
      <c r="F55" s="23"/>
    </row>
    <row r="56" spans="2:7" x14ac:dyDescent="0.3">
      <c r="B56" s="35"/>
      <c r="C56" s="149" t="s">
        <v>81</v>
      </c>
      <c r="D56" s="150"/>
      <c r="E56" s="76"/>
      <c r="F56" s="77"/>
    </row>
    <row r="57" spans="2:7" x14ac:dyDescent="0.3">
      <c r="B57" s="35">
        <v>862</v>
      </c>
      <c r="C57" s="143" t="s">
        <v>82</v>
      </c>
      <c r="D57" s="144" t="s">
        <v>77</v>
      </c>
      <c r="E57" s="85"/>
      <c r="F57" s="81">
        <v>0</v>
      </c>
    </row>
    <row r="58" spans="2:7" x14ac:dyDescent="0.3">
      <c r="B58" s="35">
        <v>863</v>
      </c>
      <c r="C58" s="143" t="s">
        <v>83</v>
      </c>
      <c r="D58" s="144"/>
      <c r="E58" s="80"/>
      <c r="F58" s="81">
        <v>0</v>
      </c>
    </row>
    <row r="59" spans="2:7" x14ac:dyDescent="0.3">
      <c r="B59" s="35">
        <v>865</v>
      </c>
      <c r="C59" s="143" t="s">
        <v>84</v>
      </c>
      <c r="D59" s="144"/>
      <c r="E59" s="80"/>
      <c r="F59" s="81">
        <f>+F45-F46-F47-F49-F50-F51-F52-F53-F54-F57</f>
        <v>-69036.727881146289</v>
      </c>
    </row>
    <row r="60" spans="2:7" x14ac:dyDescent="0.3">
      <c r="B60" s="35">
        <v>866</v>
      </c>
      <c r="C60" s="151" t="s">
        <v>85</v>
      </c>
      <c r="D60" s="152"/>
      <c r="E60" s="69"/>
      <c r="F60" s="84">
        <v>0</v>
      </c>
    </row>
    <row r="61" spans="2:7" x14ac:dyDescent="0.3">
      <c r="B61" s="35"/>
      <c r="C61" s="153"/>
      <c r="D61" s="153"/>
      <c r="F61" s="23"/>
    </row>
    <row r="62" spans="2:7" x14ac:dyDescent="0.3">
      <c r="B62" s="36">
        <v>869</v>
      </c>
      <c r="C62" s="154" t="s">
        <v>86</v>
      </c>
      <c r="D62" s="155"/>
      <c r="E62" s="76"/>
      <c r="F62" s="89">
        <f>+F59</f>
        <v>-69036.727881146289</v>
      </c>
    </row>
    <row r="63" spans="2:7" x14ac:dyDescent="0.3">
      <c r="B63" s="35">
        <v>870</v>
      </c>
      <c r="C63" s="151" t="s">
        <v>87</v>
      </c>
      <c r="D63" s="152"/>
      <c r="E63" s="69"/>
      <c r="F63" s="84">
        <f>+F60</f>
        <v>0</v>
      </c>
    </row>
    <row r="64" spans="2:7" x14ac:dyDescent="0.3">
      <c r="B64" s="35"/>
      <c r="C64" s="30"/>
      <c r="D64" s="23"/>
      <c r="E64" s="23"/>
    </row>
    <row r="65" spans="2:5" x14ac:dyDescent="0.3">
      <c r="B65" s="35"/>
      <c r="C65" s="30"/>
      <c r="D65" s="23"/>
      <c r="E65" s="23"/>
    </row>
  </sheetData>
  <mergeCells count="52">
    <mergeCell ref="C60:D60"/>
    <mergeCell ref="C61:D61"/>
    <mergeCell ref="C62:D62"/>
    <mergeCell ref="C63:D63"/>
    <mergeCell ref="C54:D54"/>
    <mergeCell ref="C55:D55"/>
    <mergeCell ref="C56:D56"/>
    <mergeCell ref="C57:D57"/>
    <mergeCell ref="C58:D58"/>
    <mergeCell ref="C59:D59"/>
    <mergeCell ref="C53:D53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41:D41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29:D29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17:D17"/>
    <mergeCell ref="C1:D1"/>
    <mergeCell ref="C4:D4"/>
    <mergeCell ref="C14:D14"/>
    <mergeCell ref="C15:D15"/>
    <mergeCell ref="C16:D16"/>
  </mergeCells>
  <hyperlinks>
    <hyperlink ref="D18" location="'RESUMEN GND'!B20" display="(Ver Anexo)" xr:uid="{00000000-0004-0000-0200-000000000000}"/>
    <hyperlink ref="D50" location="'credit trib renta 2019'!E7" display="'credit trib renta 2019'!E7" xr:uid="{00000000-0004-0000-0200-000001000000}"/>
    <hyperlink ref="D57" location="'credit trib renta 2019'!E14" display="'credit trib renta 2019'!E14" xr:uid="{00000000-0004-0000-0200-000002000000}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7"/>
  <sheetViews>
    <sheetView workbookViewId="0">
      <selection activeCell="E9" sqref="E9"/>
    </sheetView>
  </sheetViews>
  <sheetFormatPr baseColWidth="10" defaultColWidth="11.44140625" defaultRowHeight="14.4" x14ac:dyDescent="0.3"/>
  <cols>
    <col min="1" max="1" width="11.44140625" style="1"/>
    <col min="2" max="2" width="19.33203125" style="1" customWidth="1"/>
    <col min="3" max="3" width="42.109375" style="1" customWidth="1"/>
    <col min="4" max="4" width="11.44140625" style="1"/>
    <col min="5" max="5" width="13.44140625" style="1" customWidth="1"/>
    <col min="6" max="6" width="11.44140625" style="1"/>
    <col min="7" max="7" width="14.44140625" style="1" customWidth="1"/>
    <col min="8" max="9" width="11.44140625" style="1"/>
    <col min="10" max="10" width="24.88671875" style="1" bestFit="1" customWidth="1"/>
    <col min="11" max="11" width="14.5546875" style="1" customWidth="1"/>
    <col min="12" max="12" width="14.44140625" style="1" customWidth="1"/>
    <col min="13" max="13" width="13.5546875" style="1" customWidth="1"/>
    <col min="14" max="16384" width="11.44140625" style="1"/>
  </cols>
  <sheetData>
    <row r="1" spans="1:13" x14ac:dyDescent="0.3">
      <c r="A1" s="28"/>
    </row>
    <row r="5" spans="1:13" x14ac:dyDescent="0.3">
      <c r="E5" s="1" t="s">
        <v>123</v>
      </c>
      <c r="K5" s="1" t="s">
        <v>123</v>
      </c>
    </row>
    <row r="6" spans="1:13" x14ac:dyDescent="0.3">
      <c r="B6" s="42" t="s">
        <v>124</v>
      </c>
      <c r="C6" s="42" t="s">
        <v>125</v>
      </c>
      <c r="D6" s="63" t="s">
        <v>126</v>
      </c>
      <c r="E6" s="42" t="s">
        <v>127</v>
      </c>
      <c r="F6" s="42" t="s">
        <v>128</v>
      </c>
      <c r="G6" s="42" t="s">
        <v>129</v>
      </c>
      <c r="J6" s="42" t="s">
        <v>130</v>
      </c>
      <c r="K6" s="42" t="s">
        <v>131</v>
      </c>
      <c r="L6" s="42" t="s">
        <v>128</v>
      </c>
      <c r="M6" s="42" t="s">
        <v>132</v>
      </c>
    </row>
    <row r="7" spans="1:13" x14ac:dyDescent="0.3">
      <c r="B7" s="53" t="s">
        <v>133</v>
      </c>
      <c r="C7" s="53" t="s">
        <v>213</v>
      </c>
      <c r="D7" s="54">
        <v>44420</v>
      </c>
      <c r="E7" s="55">
        <v>1510095.93</v>
      </c>
      <c r="F7" s="55">
        <v>0</v>
      </c>
      <c r="G7" s="55">
        <f>+E7-F7</f>
        <v>1510095.93</v>
      </c>
      <c r="J7" s="53" t="s">
        <v>134</v>
      </c>
      <c r="K7" s="55">
        <v>461156.96</v>
      </c>
      <c r="L7" s="55">
        <v>8192.16</v>
      </c>
      <c r="M7" s="55">
        <f t="shared" ref="M7:M12" si="0">+K7-L7</f>
        <v>452964.80000000005</v>
      </c>
    </row>
    <row r="8" spans="1:13" x14ac:dyDescent="0.3">
      <c r="B8" s="53" t="s">
        <v>133</v>
      </c>
      <c r="C8" s="53" t="s">
        <v>214</v>
      </c>
      <c r="D8" s="54">
        <v>44561</v>
      </c>
      <c r="E8" s="55">
        <v>0</v>
      </c>
      <c r="F8" s="55">
        <v>0</v>
      </c>
      <c r="G8" s="55">
        <f>+E8-F8</f>
        <v>0</v>
      </c>
      <c r="J8" s="53" t="s">
        <v>135</v>
      </c>
      <c r="K8" s="55">
        <v>141445.51</v>
      </c>
      <c r="L8" s="55">
        <v>118120.19</v>
      </c>
      <c r="M8" s="55">
        <f t="shared" si="0"/>
        <v>23325.320000000007</v>
      </c>
    </row>
    <row r="9" spans="1:13" x14ac:dyDescent="0.3">
      <c r="B9" s="169" t="s">
        <v>136</v>
      </c>
      <c r="C9" s="169"/>
      <c r="D9" s="56"/>
      <c r="E9" s="57">
        <f t="shared" ref="E9:G9" si="1">SUM(E7:E8)</f>
        <v>1510095.93</v>
      </c>
      <c r="F9" s="57">
        <f t="shared" si="1"/>
        <v>0</v>
      </c>
      <c r="G9" s="57">
        <f t="shared" si="1"/>
        <v>1510095.93</v>
      </c>
      <c r="J9" s="53" t="s">
        <v>137</v>
      </c>
      <c r="K9" s="55">
        <v>15974.66</v>
      </c>
      <c r="L9" s="55">
        <v>15329.34</v>
      </c>
      <c r="M9" s="55">
        <f t="shared" si="0"/>
        <v>645.31999999999971</v>
      </c>
    </row>
    <row r="10" spans="1:13" x14ac:dyDescent="0.3">
      <c r="F10" s="26"/>
      <c r="J10" s="53" t="s">
        <v>133</v>
      </c>
      <c r="K10" s="55">
        <v>7266814.0599999996</v>
      </c>
      <c r="L10" s="55">
        <v>4021644.67</v>
      </c>
      <c r="M10" s="55">
        <f t="shared" si="0"/>
        <v>3245169.3899999997</v>
      </c>
    </row>
    <row r="11" spans="1:13" x14ac:dyDescent="0.3">
      <c r="C11" s="53" t="s">
        <v>138</v>
      </c>
      <c r="D11" s="58">
        <f>+E9/K13</f>
        <v>0.1758548325752092</v>
      </c>
      <c r="F11" s="59"/>
      <c r="J11" s="53" t="s">
        <v>139</v>
      </c>
      <c r="K11" s="55">
        <v>198798.62</v>
      </c>
      <c r="L11" s="55">
        <v>155832.79</v>
      </c>
      <c r="M11" s="55">
        <f t="shared" si="0"/>
        <v>42965.829999999987</v>
      </c>
    </row>
    <row r="12" spans="1:13" x14ac:dyDescent="0.3">
      <c r="C12" s="53" t="s">
        <v>140</v>
      </c>
      <c r="D12" s="58">
        <v>0.25</v>
      </c>
      <c r="J12" s="53" t="s">
        <v>141</v>
      </c>
      <c r="K12" s="55">
        <v>502983.53</v>
      </c>
      <c r="L12" s="55">
        <v>316627.84999999998</v>
      </c>
      <c r="M12" s="55">
        <f t="shared" si="0"/>
        <v>186355.68000000005</v>
      </c>
    </row>
    <row r="13" spans="1:13" ht="15" thickBot="1" x14ac:dyDescent="0.35">
      <c r="C13" s="60" t="s">
        <v>142</v>
      </c>
      <c r="D13" s="61">
        <f>+D12*D11</f>
        <v>4.3963708143802301E-2</v>
      </c>
      <c r="E13" s="93"/>
      <c r="F13" s="94"/>
      <c r="J13" s="60" t="s">
        <v>136</v>
      </c>
      <c r="K13" s="62">
        <f>SUM(K7:K12)</f>
        <v>8587173.3399999999</v>
      </c>
      <c r="L13" s="62">
        <f t="shared" ref="L13:M13" si="2">SUM(L7:L12)</f>
        <v>4635746.9999999991</v>
      </c>
      <c r="M13" s="62">
        <f t="shared" si="2"/>
        <v>3951426.34</v>
      </c>
    </row>
    <row r="14" spans="1:13" ht="15" thickTop="1" x14ac:dyDescent="0.3"/>
    <row r="16" spans="1:13" x14ac:dyDescent="0.3">
      <c r="B16" s="56" t="s">
        <v>162</v>
      </c>
    </row>
    <row r="17" spans="2:2" x14ac:dyDescent="0.3">
      <c r="B17" s="1" t="s">
        <v>163</v>
      </c>
    </row>
  </sheetData>
  <mergeCells count="1">
    <mergeCell ref="B9:C9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M58"/>
  <sheetViews>
    <sheetView topLeftCell="A10" zoomScale="80" zoomScaleNormal="80" workbookViewId="0">
      <selection activeCell="E10" sqref="E10"/>
    </sheetView>
  </sheetViews>
  <sheetFormatPr baseColWidth="10" defaultColWidth="11.44140625" defaultRowHeight="14.4" x14ac:dyDescent="0.3"/>
  <cols>
    <col min="1" max="2" width="11.44140625" style="1"/>
    <col min="3" max="3" width="18.88671875" style="1" customWidth="1"/>
    <col min="4" max="7" width="11.44140625" style="1"/>
    <col min="8" max="8" width="56" style="1" bestFit="1" customWidth="1"/>
    <col min="9" max="9" width="20.5546875" style="1" customWidth="1"/>
    <col min="10" max="10" width="13.88671875" style="1" customWidth="1"/>
    <col min="11" max="11" width="11.44140625" style="1"/>
    <col min="12" max="13" width="30.33203125" style="1" customWidth="1"/>
    <col min="14" max="16384" width="11.44140625" style="1"/>
  </cols>
  <sheetData>
    <row r="3" spans="1:13" x14ac:dyDescent="0.3">
      <c r="H3" s="142" t="s">
        <v>93</v>
      </c>
      <c r="I3" s="142"/>
      <c r="J3" s="142"/>
      <c r="K3" s="142"/>
      <c r="L3" s="142"/>
      <c r="M3" s="142"/>
    </row>
    <row r="5" spans="1:13" x14ac:dyDescent="0.3">
      <c r="A5" s="156" t="s">
        <v>88</v>
      </c>
      <c r="B5" s="156"/>
      <c r="C5" s="156"/>
      <c r="D5" s="39" t="s">
        <v>89</v>
      </c>
      <c r="E5" s="39" t="s">
        <v>114</v>
      </c>
      <c r="H5" s="156" t="s">
        <v>90</v>
      </c>
      <c r="I5" s="156"/>
      <c r="J5" s="156"/>
      <c r="K5" s="39" t="s">
        <v>89</v>
      </c>
      <c r="L5" s="39" t="s">
        <v>94</v>
      </c>
      <c r="M5" s="39" t="s">
        <v>91</v>
      </c>
    </row>
    <row r="6" spans="1:13" x14ac:dyDescent="0.3">
      <c r="A6" s="157" t="s">
        <v>160</v>
      </c>
      <c r="B6" s="158"/>
      <c r="C6" s="158"/>
      <c r="D6" s="71">
        <v>37616.65</v>
      </c>
      <c r="E6" s="67">
        <f>+D6*25%</f>
        <v>9404.1625000000004</v>
      </c>
      <c r="H6" s="161" t="s">
        <v>95</v>
      </c>
      <c r="I6" s="161"/>
      <c r="J6" s="161"/>
      <c r="K6" s="37">
        <v>58999</v>
      </c>
      <c r="L6" s="37">
        <v>35000</v>
      </c>
      <c r="M6" s="37">
        <f>(K6-L6)/5</f>
        <v>4799.8</v>
      </c>
    </row>
    <row r="7" spans="1:13" x14ac:dyDescent="0.3">
      <c r="A7" s="159" t="s">
        <v>92</v>
      </c>
      <c r="B7" s="160"/>
      <c r="C7" s="160"/>
      <c r="D7" s="72">
        <f>+M8</f>
        <v>28797.8</v>
      </c>
      <c r="E7" s="68">
        <f t="shared" ref="E7:E8" si="0">+D7*25%</f>
        <v>7199.45</v>
      </c>
      <c r="H7" s="161" t="s">
        <v>96</v>
      </c>
      <c r="I7" s="161"/>
      <c r="J7" s="161"/>
      <c r="K7" s="37">
        <v>154990</v>
      </c>
      <c r="L7" s="37">
        <v>35000</v>
      </c>
      <c r="M7" s="37">
        <f>(+K7-L7)/5</f>
        <v>23998</v>
      </c>
    </row>
    <row r="8" spans="1:13" x14ac:dyDescent="0.3">
      <c r="A8" s="159" t="s">
        <v>98</v>
      </c>
      <c r="B8" s="160"/>
      <c r="C8" s="160"/>
      <c r="D8" s="72">
        <f>+J40</f>
        <v>148380</v>
      </c>
      <c r="E8" s="68">
        <f t="shared" si="0"/>
        <v>37095</v>
      </c>
      <c r="H8" s="140" t="s">
        <v>97</v>
      </c>
      <c r="I8" s="140"/>
      <c r="J8" s="140"/>
      <c r="K8" s="140"/>
      <c r="L8" s="140"/>
      <c r="M8" s="38">
        <f>+M6+M7</f>
        <v>28797.8</v>
      </c>
    </row>
    <row r="9" spans="1:13" x14ac:dyDescent="0.3">
      <c r="A9" s="167" t="s">
        <v>115</v>
      </c>
      <c r="B9" s="168"/>
      <c r="C9" s="168"/>
      <c r="D9" s="73">
        <v>0</v>
      </c>
      <c r="E9" s="70">
        <f>+D9*25%</f>
        <v>0</v>
      </c>
    </row>
    <row r="10" spans="1:13" x14ac:dyDescent="0.3">
      <c r="A10" s="142" t="s">
        <v>28</v>
      </c>
      <c r="B10" s="142"/>
      <c r="C10" s="142"/>
      <c r="D10" s="20">
        <f>SUM(D6:D9)</f>
        <v>214794.45</v>
      </c>
      <c r="E10" s="20">
        <f>SUM(E6:E9)</f>
        <v>53698.612500000003</v>
      </c>
      <c r="H10" s="31"/>
      <c r="I10" s="31"/>
      <c r="J10" s="31"/>
      <c r="K10" s="31"/>
      <c r="L10" s="31"/>
      <c r="M10" s="31"/>
    </row>
    <row r="11" spans="1:13" x14ac:dyDescent="0.3">
      <c r="H11" s="165" t="s">
        <v>206</v>
      </c>
      <c r="I11" s="166"/>
      <c r="K11" s="31"/>
    </row>
    <row r="12" spans="1:13" x14ac:dyDescent="0.3">
      <c r="A12" s="1" t="s">
        <v>161</v>
      </c>
      <c r="H12"/>
      <c r="I12"/>
      <c r="K12" s="31"/>
    </row>
    <row r="13" spans="1:13" x14ac:dyDescent="0.3">
      <c r="H13" s="43" t="s">
        <v>116</v>
      </c>
      <c r="I13" s="44">
        <v>85000</v>
      </c>
      <c r="K13" s="31"/>
    </row>
    <row r="14" spans="1:13" x14ac:dyDescent="0.3">
      <c r="D14" s="31"/>
      <c r="H14" s="45" t="s">
        <v>117</v>
      </c>
      <c r="I14" s="46">
        <v>43482.41</v>
      </c>
      <c r="K14" s="31"/>
    </row>
    <row r="15" spans="1:13" x14ac:dyDescent="0.3">
      <c r="H15" s="125" t="s">
        <v>205</v>
      </c>
      <c r="I15" s="126">
        <f>SUM(I13:I14)</f>
        <v>128482.41</v>
      </c>
      <c r="K15" s="31"/>
    </row>
    <row r="16" spans="1:13" x14ac:dyDescent="0.3">
      <c r="D16" s="26"/>
      <c r="H16" s="47" t="s">
        <v>118</v>
      </c>
      <c r="I16" s="48">
        <f>+'Conciliacion Tributaria'!F44</f>
        <v>3175530.4194200039</v>
      </c>
      <c r="K16" s="31"/>
    </row>
    <row r="17" spans="8:13" x14ac:dyDescent="0.3">
      <c r="H17" s="47" t="s">
        <v>119</v>
      </c>
      <c r="I17" s="48">
        <v>0</v>
      </c>
      <c r="K17" s="31"/>
    </row>
    <row r="18" spans="8:13" x14ac:dyDescent="0.3">
      <c r="H18" s="183" t="s">
        <v>120</v>
      </c>
      <c r="I18" s="184">
        <f>+I16-I17+I15</f>
        <v>3304012.829420004</v>
      </c>
      <c r="K18" s="31"/>
    </row>
    <row r="19" spans="8:13" x14ac:dyDescent="0.3">
      <c r="H19" s="47" t="s">
        <v>121</v>
      </c>
      <c r="I19" s="49">
        <f>+I18*0.2</f>
        <v>660802.56588400085</v>
      </c>
      <c r="J19" s="52"/>
      <c r="K19" s="31"/>
    </row>
    <row r="20" spans="8:13" ht="15" thickBot="1" x14ac:dyDescent="0.35">
      <c r="H20" s="50" t="str">
        <f>IF(I15&gt;I19,"LIMITE EXCEDIDO DE GND","NO SUPERA LIMITE GND")</f>
        <v>NO SUPERA LIMITE GND</v>
      </c>
      <c r="I20" s="51">
        <f>+I15-I19</f>
        <v>-532320.15588400082</v>
      </c>
      <c r="K20" s="31"/>
    </row>
    <row r="21" spans="8:13" ht="15" thickTop="1" x14ac:dyDescent="0.3">
      <c r="H21" s="31"/>
      <c r="I21" s="31"/>
      <c r="J21" s="31"/>
      <c r="K21" s="31"/>
    </row>
    <row r="22" spans="8:13" x14ac:dyDescent="0.3">
      <c r="H22" s="31"/>
      <c r="I22" s="31"/>
      <c r="J22" s="31"/>
      <c r="K22" s="31"/>
      <c r="L22" s="31"/>
      <c r="M22" s="31"/>
    </row>
    <row r="25" spans="8:13" x14ac:dyDescent="0.3">
      <c r="H25" s="142" t="s">
        <v>99</v>
      </c>
      <c r="I25" s="142"/>
      <c r="J25" s="142"/>
      <c r="K25" s="40"/>
      <c r="L25" s="40"/>
      <c r="M25" s="40"/>
    </row>
    <row r="26" spans="8:13" x14ac:dyDescent="0.3">
      <c r="H26" s="92"/>
      <c r="I26" s="33"/>
      <c r="J26" s="33"/>
      <c r="K26" s="40"/>
      <c r="L26" s="40"/>
      <c r="M26" s="40"/>
    </row>
    <row r="27" spans="8:13" x14ac:dyDescent="0.3">
      <c r="H27" s="162" t="s">
        <v>112</v>
      </c>
      <c r="I27" s="162"/>
      <c r="J27" s="41" t="s">
        <v>89</v>
      </c>
    </row>
    <row r="28" spans="8:13" x14ac:dyDescent="0.3">
      <c r="H28" s="163" t="s">
        <v>100</v>
      </c>
      <c r="I28" s="164"/>
      <c r="J28" s="37">
        <v>0</v>
      </c>
    </row>
    <row r="29" spans="8:13" x14ac:dyDescent="0.3">
      <c r="H29" s="163" t="s">
        <v>101</v>
      </c>
      <c r="I29" s="164"/>
      <c r="J29" s="37">
        <v>0</v>
      </c>
    </row>
    <row r="30" spans="8:13" x14ac:dyDescent="0.3">
      <c r="H30" s="163" t="s">
        <v>102</v>
      </c>
      <c r="I30" s="164"/>
      <c r="J30" s="37">
        <v>0</v>
      </c>
    </row>
    <row r="31" spans="8:13" x14ac:dyDescent="0.3">
      <c r="H31" s="163" t="s">
        <v>103</v>
      </c>
      <c r="I31" s="164"/>
      <c r="J31" s="37">
        <v>0</v>
      </c>
    </row>
    <row r="32" spans="8:13" x14ac:dyDescent="0.3">
      <c r="H32" s="163" t="s">
        <v>104</v>
      </c>
      <c r="I32" s="164"/>
      <c r="J32" s="37">
        <v>0</v>
      </c>
    </row>
    <row r="33" spans="8:10" x14ac:dyDescent="0.3">
      <c r="H33" s="163" t="s">
        <v>105</v>
      </c>
      <c r="I33" s="164"/>
      <c r="J33" s="37">
        <v>0</v>
      </c>
    </row>
    <row r="34" spans="8:10" x14ac:dyDescent="0.3">
      <c r="H34" s="163" t="s">
        <v>106</v>
      </c>
      <c r="I34" s="164"/>
      <c r="J34" s="37">
        <v>23380</v>
      </c>
    </row>
    <row r="35" spans="8:10" x14ac:dyDescent="0.3">
      <c r="H35" s="163" t="s">
        <v>107</v>
      </c>
      <c r="I35" s="164"/>
      <c r="J35" s="37">
        <v>25000</v>
      </c>
    </row>
    <row r="36" spans="8:10" x14ac:dyDescent="0.3">
      <c r="H36" s="163" t="s">
        <v>108</v>
      </c>
      <c r="I36" s="164"/>
      <c r="J36" s="37">
        <v>25000</v>
      </c>
    </row>
    <row r="37" spans="8:10" x14ac:dyDescent="0.3">
      <c r="H37" s="163" t="s">
        <v>109</v>
      </c>
      <c r="I37" s="164"/>
      <c r="J37" s="37">
        <v>25000</v>
      </c>
    </row>
    <row r="38" spans="8:10" x14ac:dyDescent="0.3">
      <c r="H38" s="163" t="s">
        <v>110</v>
      </c>
      <c r="I38" s="164"/>
      <c r="J38" s="37">
        <v>25000</v>
      </c>
    </row>
    <row r="39" spans="8:10" x14ac:dyDescent="0.3">
      <c r="H39" s="163" t="s">
        <v>111</v>
      </c>
      <c r="I39" s="164"/>
      <c r="J39" s="37">
        <v>25000</v>
      </c>
    </row>
    <row r="40" spans="8:10" x14ac:dyDescent="0.3">
      <c r="H40" s="42" t="s">
        <v>113</v>
      </c>
      <c r="I40" s="42"/>
      <c r="J40" s="38">
        <f>SUM(J28:J39)</f>
        <v>148380</v>
      </c>
    </row>
    <row r="42" spans="8:10" x14ac:dyDescent="0.3">
      <c r="H42" s="1" t="s">
        <v>159</v>
      </c>
    </row>
    <row r="43" spans="8:10" x14ac:dyDescent="0.3">
      <c r="H43" s="1" t="s">
        <v>158</v>
      </c>
    </row>
    <row r="44" spans="8:10" x14ac:dyDescent="0.3">
      <c r="H44" s="1" t="s">
        <v>216</v>
      </c>
    </row>
    <row r="46" spans="8:10" s="185" customFormat="1" x14ac:dyDescent="0.3"/>
    <row r="47" spans="8:10" ht="25.8" x14ac:dyDescent="0.5">
      <c r="H47" s="188" t="s">
        <v>217</v>
      </c>
      <c r="I47" s="189"/>
    </row>
    <row r="48" spans="8:10" x14ac:dyDescent="0.3">
      <c r="H48" s="165" t="s">
        <v>206</v>
      </c>
      <c r="I48" s="166"/>
    </row>
    <row r="49" spans="8:9" x14ac:dyDescent="0.3">
      <c r="H49"/>
      <c r="I49"/>
    </row>
    <row r="50" spans="8:9" s="95" customFormat="1" ht="15" customHeight="1" x14ac:dyDescent="0.3">
      <c r="H50" s="190" t="s">
        <v>211</v>
      </c>
      <c r="I50" s="191">
        <v>41450</v>
      </c>
    </row>
    <row r="51" spans="8:9" s="95" customFormat="1" ht="15" customHeight="1" x14ac:dyDescent="0.3">
      <c r="H51" s="192"/>
      <c r="I51" s="193"/>
    </row>
    <row r="52" spans="8:9" s="95" customFormat="1" ht="15" customHeight="1" x14ac:dyDescent="0.3">
      <c r="H52" s="194" t="s">
        <v>205</v>
      </c>
      <c r="I52" s="195">
        <f>SUM(I50:I51)</f>
        <v>41450</v>
      </c>
    </row>
    <row r="53" spans="8:9" s="95" customFormat="1" ht="15" customHeight="1" x14ac:dyDescent="0.3">
      <c r="H53" s="196" t="s">
        <v>118</v>
      </c>
      <c r="I53" s="197">
        <v>54591.73</v>
      </c>
    </row>
    <row r="54" spans="8:9" s="95" customFormat="1" ht="15" customHeight="1" x14ac:dyDescent="0.3">
      <c r="H54" s="196" t="s">
        <v>119</v>
      </c>
      <c r="I54" s="197">
        <v>0</v>
      </c>
    </row>
    <row r="55" spans="8:9" s="95" customFormat="1" ht="15" customHeight="1" x14ac:dyDescent="0.3">
      <c r="H55" s="194" t="s">
        <v>120</v>
      </c>
      <c r="I55" s="198">
        <f>+I53-I54+I52</f>
        <v>96041.73000000001</v>
      </c>
    </row>
    <row r="56" spans="8:9" s="95" customFormat="1" ht="15" customHeight="1" x14ac:dyDescent="0.3">
      <c r="H56" s="196" t="s">
        <v>121</v>
      </c>
      <c r="I56" s="199">
        <f>+I55*0.2</f>
        <v>19208.346000000001</v>
      </c>
    </row>
    <row r="57" spans="8:9" s="95" customFormat="1" ht="15" customHeight="1" thickBot="1" x14ac:dyDescent="0.35">
      <c r="H57" s="200" t="str">
        <f>IF(I52&gt;I56,"LIMITE EXCEDIDO DE GND","NO SUPERA LIMITE GND")</f>
        <v>LIMITE EXCEDIDO DE GND</v>
      </c>
      <c r="I57" s="201">
        <f>+I52-I56</f>
        <v>22241.653999999999</v>
      </c>
    </row>
    <row r="58" spans="8:9" s="95" customFormat="1" ht="15" customHeight="1" thickTop="1" x14ac:dyDescent="0.3">
      <c r="H58" s="202" t="s">
        <v>210</v>
      </c>
      <c r="I58" s="203">
        <f>+I57*25%</f>
        <v>5560.4134999999997</v>
      </c>
    </row>
  </sheetData>
  <mergeCells count="28">
    <mergeCell ref="H35:I35"/>
    <mergeCell ref="H36:I36"/>
    <mergeCell ref="H37:I37"/>
    <mergeCell ref="H38:I38"/>
    <mergeCell ref="H39:I39"/>
    <mergeCell ref="A8:C8"/>
    <mergeCell ref="A9:C9"/>
    <mergeCell ref="H11:I11"/>
    <mergeCell ref="A10:C10"/>
    <mergeCell ref="H29:I29"/>
    <mergeCell ref="H30:I30"/>
    <mergeCell ref="H31:I31"/>
    <mergeCell ref="H32:I32"/>
    <mergeCell ref="H33:I33"/>
    <mergeCell ref="H34:I34"/>
    <mergeCell ref="H3:M3"/>
    <mergeCell ref="H8:L8"/>
    <mergeCell ref="H25:J25"/>
    <mergeCell ref="H27:I27"/>
    <mergeCell ref="H28:I28"/>
    <mergeCell ref="H48:I48"/>
    <mergeCell ref="H47:I47"/>
    <mergeCell ref="A5:C5"/>
    <mergeCell ref="A6:C6"/>
    <mergeCell ref="A7:C7"/>
    <mergeCell ref="H5:J5"/>
    <mergeCell ref="H6:J6"/>
    <mergeCell ref="H7:J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5:C10"/>
  <sheetViews>
    <sheetView workbookViewId="0">
      <selection activeCell="B9" sqref="B9:C10"/>
    </sheetView>
  </sheetViews>
  <sheetFormatPr baseColWidth="10" defaultColWidth="11.5546875" defaultRowHeight="14.4" x14ac:dyDescent="0.3"/>
  <cols>
    <col min="1" max="1" width="27.44140625" style="95" customWidth="1"/>
    <col min="2" max="2" width="22.88671875" style="95" bestFit="1" customWidth="1"/>
    <col min="3" max="3" width="70.6640625" style="95" customWidth="1"/>
    <col min="4" max="16384" width="11.5546875" style="95"/>
  </cols>
  <sheetData>
    <row r="5" spans="1:3" x14ac:dyDescent="0.3">
      <c r="A5" s="98" t="s">
        <v>149</v>
      </c>
      <c r="B5" s="98" t="s">
        <v>150</v>
      </c>
      <c r="C5" s="98" t="s">
        <v>148</v>
      </c>
    </row>
    <row r="6" spans="1:3" x14ac:dyDescent="0.3">
      <c r="A6" s="172" t="s">
        <v>145</v>
      </c>
      <c r="B6" s="96" t="s">
        <v>146</v>
      </c>
      <c r="C6" s="96" t="s">
        <v>151</v>
      </c>
    </row>
    <row r="7" spans="1:3" x14ac:dyDescent="0.3">
      <c r="A7" s="172"/>
      <c r="B7" s="96" t="s">
        <v>147</v>
      </c>
      <c r="C7" s="96" t="s">
        <v>152</v>
      </c>
    </row>
    <row r="8" spans="1:3" ht="28.8" x14ac:dyDescent="0.3">
      <c r="A8" s="172"/>
      <c r="B8" s="97" t="s">
        <v>153</v>
      </c>
      <c r="C8" s="96" t="s">
        <v>154</v>
      </c>
    </row>
    <row r="9" spans="1:3" x14ac:dyDescent="0.3">
      <c r="B9" s="170" t="s">
        <v>155</v>
      </c>
      <c r="C9" s="96" t="s">
        <v>156</v>
      </c>
    </row>
    <row r="10" spans="1:3" x14ac:dyDescent="0.3">
      <c r="B10" s="171"/>
      <c r="C10" s="96" t="s">
        <v>157</v>
      </c>
    </row>
  </sheetData>
  <mergeCells count="2">
    <mergeCell ref="B9:B10"/>
    <mergeCell ref="A6:A8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2:L14"/>
  <sheetViews>
    <sheetView workbookViewId="0">
      <selection activeCell="D8" sqref="D8:J8"/>
    </sheetView>
  </sheetViews>
  <sheetFormatPr baseColWidth="10" defaultColWidth="11.44140625" defaultRowHeight="14.4" x14ac:dyDescent="0.3"/>
  <cols>
    <col min="1" max="2" width="11.44140625" style="1"/>
    <col min="3" max="3" width="3.44140625" style="1" customWidth="1"/>
    <col min="4" max="16384" width="11.44140625" style="1"/>
  </cols>
  <sheetData>
    <row r="2" spans="3:12" ht="23.4" x14ac:dyDescent="0.45">
      <c r="C2" s="174" t="s">
        <v>167</v>
      </c>
      <c r="D2" s="174"/>
      <c r="E2" s="174"/>
      <c r="F2" s="174"/>
      <c r="G2" s="174"/>
      <c r="H2" s="174"/>
      <c r="I2" s="174"/>
      <c r="J2" s="174"/>
    </row>
    <row r="5" spans="3:12" x14ac:dyDescent="0.3">
      <c r="C5" s="19" t="s">
        <v>165</v>
      </c>
      <c r="D5" s="142" t="s">
        <v>88</v>
      </c>
      <c r="E5" s="142"/>
      <c r="F5" s="142"/>
      <c r="G5" s="142"/>
      <c r="H5" s="142"/>
      <c r="I5" s="142"/>
      <c r="J5" s="142"/>
    </row>
    <row r="6" spans="3:12" ht="30" customHeight="1" x14ac:dyDescent="0.3">
      <c r="C6" s="97" t="s">
        <v>164</v>
      </c>
      <c r="D6" s="175" t="s">
        <v>168</v>
      </c>
      <c r="E6" s="175"/>
      <c r="F6" s="175"/>
      <c r="G6" s="175"/>
      <c r="H6" s="175"/>
      <c r="I6" s="175"/>
      <c r="J6" s="175"/>
    </row>
    <row r="7" spans="3:12" ht="64.5" customHeight="1" x14ac:dyDescent="0.3">
      <c r="C7" s="97" t="s">
        <v>166</v>
      </c>
      <c r="D7" s="175" t="s">
        <v>171</v>
      </c>
      <c r="E7" s="175"/>
      <c r="F7" s="175"/>
      <c r="G7" s="175"/>
      <c r="H7" s="175"/>
      <c r="I7" s="175"/>
      <c r="J7" s="175"/>
    </row>
    <row r="8" spans="3:12" ht="49.2" customHeight="1" x14ac:dyDescent="0.3">
      <c r="C8" s="97" t="s">
        <v>170</v>
      </c>
      <c r="D8" s="175" t="s">
        <v>218</v>
      </c>
      <c r="E8" s="175"/>
      <c r="F8" s="175"/>
      <c r="G8" s="175"/>
      <c r="H8" s="175"/>
      <c r="I8" s="175"/>
      <c r="J8" s="175"/>
    </row>
    <row r="9" spans="3:12" x14ac:dyDescent="0.3">
      <c r="D9" s="173"/>
      <c r="E9" s="173"/>
      <c r="F9" s="173"/>
      <c r="G9" s="173"/>
      <c r="H9" s="173"/>
      <c r="I9" s="173"/>
      <c r="J9" s="173"/>
    </row>
    <row r="10" spans="3:12" x14ac:dyDescent="0.3">
      <c r="D10" s="173"/>
      <c r="E10" s="173"/>
      <c r="F10" s="173"/>
      <c r="G10" s="173"/>
      <c r="H10" s="173"/>
      <c r="I10" s="173"/>
      <c r="J10" s="173"/>
      <c r="L10" s="1" t="s">
        <v>169</v>
      </c>
    </row>
    <row r="11" spans="3:12" x14ac:dyDescent="0.3">
      <c r="D11" s="173"/>
      <c r="E11" s="173"/>
      <c r="F11" s="173"/>
      <c r="G11" s="173"/>
      <c r="H11" s="173"/>
      <c r="I11" s="173"/>
      <c r="J11" s="173"/>
    </row>
    <row r="12" spans="3:12" x14ac:dyDescent="0.3">
      <c r="D12" s="173"/>
      <c r="E12" s="173"/>
      <c r="F12" s="173"/>
      <c r="G12" s="173"/>
      <c r="H12" s="173"/>
      <c r="I12" s="173"/>
      <c r="J12" s="173"/>
    </row>
    <row r="13" spans="3:12" x14ac:dyDescent="0.3">
      <c r="D13" s="173"/>
      <c r="E13" s="173"/>
      <c r="F13" s="173"/>
      <c r="G13" s="173"/>
      <c r="H13" s="173"/>
      <c r="I13" s="173"/>
      <c r="J13" s="173"/>
    </row>
    <row r="14" spans="3:12" x14ac:dyDescent="0.3">
      <c r="D14" s="173"/>
      <c r="E14" s="173"/>
      <c r="F14" s="173"/>
      <c r="G14" s="173"/>
      <c r="H14" s="173"/>
      <c r="I14" s="173"/>
      <c r="J14" s="173"/>
    </row>
  </sheetData>
  <mergeCells count="11">
    <mergeCell ref="D10:J10"/>
    <mergeCell ref="D11:J11"/>
    <mergeCell ref="D12:J12"/>
    <mergeCell ref="D13:J13"/>
    <mergeCell ref="D14:J14"/>
    <mergeCell ref="D9:J9"/>
    <mergeCell ref="C2:J2"/>
    <mergeCell ref="D5:J5"/>
    <mergeCell ref="D6:J6"/>
    <mergeCell ref="D7:J7"/>
    <mergeCell ref="D8:J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3:I16"/>
  <sheetViews>
    <sheetView workbookViewId="0">
      <selection activeCell="C15" sqref="C15"/>
    </sheetView>
  </sheetViews>
  <sheetFormatPr baseColWidth="10" defaultColWidth="11.44140625" defaultRowHeight="14.4" x14ac:dyDescent="0.3"/>
  <cols>
    <col min="1" max="3" width="11.44140625" style="1"/>
    <col min="4" max="4" width="18" style="1" customWidth="1"/>
    <col min="5" max="7" width="11.44140625" style="1"/>
    <col min="8" max="8" width="15" style="1" customWidth="1"/>
    <col min="9" max="16384" width="11.44140625" style="1"/>
  </cols>
  <sheetData>
    <row r="3" spans="3:9" x14ac:dyDescent="0.3">
      <c r="C3" s="186" t="s">
        <v>219</v>
      </c>
      <c r="D3" s="204"/>
      <c r="E3" s="204"/>
      <c r="F3" s="204"/>
      <c r="G3" s="204"/>
      <c r="H3" s="204"/>
      <c r="I3" s="187"/>
    </row>
    <row r="4" spans="3:9" x14ac:dyDescent="0.3">
      <c r="C4" s="101"/>
      <c r="D4" s="102"/>
      <c r="E4" s="102"/>
      <c r="F4" s="103"/>
      <c r="G4" s="103"/>
      <c r="H4" s="103"/>
      <c r="I4" s="104"/>
    </row>
    <row r="5" spans="3:9" x14ac:dyDescent="0.3">
      <c r="C5" s="105" t="s">
        <v>172</v>
      </c>
      <c r="D5" s="106"/>
      <c r="E5" s="107">
        <v>80500</v>
      </c>
      <c r="F5" s="80"/>
      <c r="G5" s="160" t="s">
        <v>191</v>
      </c>
      <c r="H5" s="160"/>
      <c r="I5" s="108">
        <v>42874</v>
      </c>
    </row>
    <row r="6" spans="3:9" x14ac:dyDescent="0.3">
      <c r="C6" s="105" t="s">
        <v>173</v>
      </c>
      <c r="D6" s="106"/>
      <c r="E6" s="107">
        <v>14575.6</v>
      </c>
      <c r="F6" s="80"/>
      <c r="G6" s="160" t="s">
        <v>181</v>
      </c>
      <c r="H6" s="160"/>
      <c r="I6" s="108">
        <v>4156</v>
      </c>
    </row>
    <row r="7" spans="3:9" x14ac:dyDescent="0.3">
      <c r="C7" s="130" t="s">
        <v>174</v>
      </c>
      <c r="D7" s="131"/>
      <c r="E7" s="112">
        <v>11315</v>
      </c>
      <c r="F7" s="80"/>
      <c r="G7" s="160" t="s">
        <v>180</v>
      </c>
      <c r="H7" s="160"/>
      <c r="I7" s="109">
        <v>0.2</v>
      </c>
    </row>
    <row r="8" spans="3:9" x14ac:dyDescent="0.3">
      <c r="C8" s="127" t="s">
        <v>175</v>
      </c>
      <c r="D8" s="128"/>
      <c r="E8" s="129">
        <f>+E5-E6-E7</f>
        <v>54609.399999999994</v>
      </c>
      <c r="F8" s="80"/>
      <c r="G8" s="80"/>
      <c r="H8" s="80"/>
      <c r="I8" s="111"/>
    </row>
    <row r="9" spans="3:9" x14ac:dyDescent="0.3">
      <c r="C9" s="105" t="s">
        <v>176</v>
      </c>
      <c r="D9" s="106"/>
      <c r="E9" s="107">
        <f>((+E8-I5)*I7)+4156</f>
        <v>6503.079999999999</v>
      </c>
      <c r="F9" s="80"/>
      <c r="G9" s="80"/>
      <c r="H9" s="80"/>
      <c r="I9" s="111"/>
    </row>
    <row r="10" spans="3:9" x14ac:dyDescent="0.3">
      <c r="C10" s="105" t="s">
        <v>177</v>
      </c>
      <c r="D10" s="106"/>
      <c r="E10" s="107">
        <f>+E5*8%</f>
        <v>6440</v>
      </c>
      <c r="F10" s="80"/>
      <c r="G10" s="80"/>
      <c r="H10" s="80"/>
      <c r="I10" s="111"/>
    </row>
    <row r="11" spans="3:9" x14ac:dyDescent="0.3">
      <c r="C11" s="177" t="s">
        <v>178</v>
      </c>
      <c r="D11" s="178"/>
      <c r="E11" s="132">
        <f>+E9-E10</f>
        <v>63.079999999999018</v>
      </c>
      <c r="F11" s="80"/>
      <c r="G11" s="80"/>
      <c r="H11" s="80"/>
      <c r="I11" s="111"/>
    </row>
    <row r="12" spans="3:9" x14ac:dyDescent="0.3">
      <c r="C12" s="177" t="s">
        <v>182</v>
      </c>
      <c r="D12" s="178"/>
      <c r="E12" s="133">
        <f>96*12</f>
        <v>1152</v>
      </c>
      <c r="F12" s="69"/>
      <c r="G12" s="69"/>
      <c r="H12" s="69"/>
      <c r="I12" s="70"/>
    </row>
    <row r="14" spans="3:9" x14ac:dyDescent="0.3">
      <c r="C14" s="56" t="s">
        <v>221</v>
      </c>
    </row>
    <row r="15" spans="3:9" x14ac:dyDescent="0.3">
      <c r="C15" s="1" t="s">
        <v>220</v>
      </c>
      <c r="E15" s="107">
        <v>3200</v>
      </c>
    </row>
    <row r="16" spans="3:9" x14ac:dyDescent="0.3">
      <c r="C16" s="1" t="s">
        <v>222</v>
      </c>
      <c r="E16" s="107">
        <v>1100</v>
      </c>
    </row>
  </sheetData>
  <mergeCells count="6">
    <mergeCell ref="C3:I3"/>
    <mergeCell ref="C11:D11"/>
    <mergeCell ref="C12:D12"/>
    <mergeCell ref="G5:H5"/>
    <mergeCell ref="G6:H6"/>
    <mergeCell ref="G7:H7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3:I17"/>
  <sheetViews>
    <sheetView workbookViewId="0">
      <selection activeCell="E17" sqref="E17"/>
    </sheetView>
  </sheetViews>
  <sheetFormatPr baseColWidth="10" defaultColWidth="11.44140625" defaultRowHeight="14.4" x14ac:dyDescent="0.3"/>
  <cols>
    <col min="1" max="3" width="11.44140625" style="1"/>
    <col min="4" max="4" width="18" style="1" customWidth="1"/>
    <col min="5" max="7" width="11.44140625" style="1"/>
    <col min="8" max="8" width="15" style="1" customWidth="1"/>
    <col min="9" max="16384" width="11.44140625" style="1"/>
  </cols>
  <sheetData>
    <row r="3" spans="3:9" x14ac:dyDescent="0.3">
      <c r="C3" s="165" t="s">
        <v>185</v>
      </c>
      <c r="D3" s="176"/>
      <c r="E3" s="176"/>
      <c r="F3" s="176"/>
      <c r="G3" s="176"/>
      <c r="H3" s="176"/>
      <c r="I3" s="166"/>
    </row>
    <row r="4" spans="3:9" x14ac:dyDescent="0.3">
      <c r="C4" s="101"/>
      <c r="D4" s="102"/>
      <c r="E4" s="102"/>
      <c r="F4" s="103"/>
      <c r="G4" s="103"/>
      <c r="H4" s="103"/>
      <c r="I4" s="104"/>
    </row>
    <row r="5" spans="3:9" x14ac:dyDescent="0.3">
      <c r="C5" s="105" t="s">
        <v>172</v>
      </c>
      <c r="D5" s="106"/>
      <c r="E5" s="107">
        <v>79464.759999999995</v>
      </c>
      <c r="F5" s="80"/>
      <c r="G5" s="160" t="s">
        <v>179</v>
      </c>
      <c r="H5" s="160"/>
      <c r="I5" s="108">
        <v>42874</v>
      </c>
    </row>
    <row r="6" spans="3:9" x14ac:dyDescent="0.3">
      <c r="C6" s="105" t="s">
        <v>173</v>
      </c>
      <c r="D6" s="106"/>
      <c r="E6" s="107">
        <v>11696.22</v>
      </c>
      <c r="F6" s="80"/>
      <c r="G6" s="160" t="s">
        <v>181</v>
      </c>
      <c r="H6" s="160"/>
      <c r="I6" s="108">
        <v>4156</v>
      </c>
    </row>
    <row r="7" spans="3:9" x14ac:dyDescent="0.3">
      <c r="C7" s="105" t="s">
        <v>174</v>
      </c>
      <c r="D7" s="106"/>
      <c r="E7" s="107">
        <v>11315</v>
      </c>
      <c r="F7" s="80"/>
      <c r="G7" s="160" t="s">
        <v>180</v>
      </c>
      <c r="H7" s="160"/>
      <c r="I7" s="109">
        <v>0.2</v>
      </c>
    </row>
    <row r="8" spans="3:9" x14ac:dyDescent="0.3">
      <c r="C8" s="130" t="s">
        <v>183</v>
      </c>
      <c r="D8" s="131"/>
      <c r="E8" s="112">
        <v>4739.6099999999997</v>
      </c>
      <c r="F8" s="80"/>
      <c r="G8" s="99"/>
      <c r="H8" s="99"/>
      <c r="I8" s="109"/>
    </row>
    <row r="9" spans="3:9" x14ac:dyDescent="0.3">
      <c r="C9" s="127" t="s">
        <v>175</v>
      </c>
      <c r="D9" s="128"/>
      <c r="E9" s="129">
        <f>+E5-E6-E7-E8</f>
        <v>51713.929999999993</v>
      </c>
      <c r="F9" s="80"/>
      <c r="G9" s="80"/>
      <c r="H9" s="80"/>
      <c r="I9" s="111"/>
    </row>
    <row r="10" spans="3:9" x14ac:dyDescent="0.3">
      <c r="C10" s="105" t="s">
        <v>176</v>
      </c>
      <c r="D10" s="106"/>
      <c r="E10" s="107">
        <f>((+E9-I5)*I7)+4156</f>
        <v>5923.985999999999</v>
      </c>
      <c r="F10" s="80"/>
      <c r="G10" s="80"/>
      <c r="H10" s="80"/>
      <c r="I10" s="111"/>
    </row>
    <row r="11" spans="3:9" x14ac:dyDescent="0.3">
      <c r="C11" s="105" t="s">
        <v>177</v>
      </c>
      <c r="D11" s="106"/>
      <c r="E11" s="107">
        <f>+E5*10%</f>
        <v>7946.4759999999997</v>
      </c>
      <c r="F11" s="80"/>
      <c r="G11" s="80"/>
      <c r="H11" s="80"/>
      <c r="I11" s="111"/>
    </row>
    <row r="12" spans="3:9" x14ac:dyDescent="0.3">
      <c r="C12" s="177" t="s">
        <v>184</v>
      </c>
      <c r="D12" s="178"/>
      <c r="E12" s="132">
        <f>(-(+E10-E11))</f>
        <v>2022.4900000000007</v>
      </c>
      <c r="F12" s="80"/>
      <c r="G12" s="80"/>
      <c r="H12" s="80"/>
      <c r="I12" s="111"/>
    </row>
    <row r="13" spans="3:9" x14ac:dyDescent="0.3">
      <c r="C13" s="177" t="s">
        <v>182</v>
      </c>
      <c r="D13" s="178"/>
      <c r="E13" s="133">
        <f>96*12</f>
        <v>1152</v>
      </c>
      <c r="F13" s="69"/>
      <c r="G13" s="69"/>
      <c r="H13" s="69"/>
      <c r="I13" s="70"/>
    </row>
    <row r="15" spans="3:9" x14ac:dyDescent="0.3">
      <c r="C15" s="56" t="s">
        <v>221</v>
      </c>
    </row>
    <row r="16" spans="3:9" x14ac:dyDescent="0.3">
      <c r="C16" s="1">
        <v>2016</v>
      </c>
      <c r="E16" s="107">
        <v>200</v>
      </c>
    </row>
    <row r="17" spans="3:5" x14ac:dyDescent="0.3">
      <c r="C17" s="1" t="s">
        <v>223</v>
      </c>
      <c r="E17" s="107">
        <v>3000</v>
      </c>
    </row>
  </sheetData>
  <mergeCells count="6">
    <mergeCell ref="C12:D12"/>
    <mergeCell ref="C3:I3"/>
    <mergeCell ref="C13:D13"/>
    <mergeCell ref="G5:H5"/>
    <mergeCell ref="G6:H6"/>
    <mergeCell ref="G7:H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MAPEO</vt:lpstr>
      <vt:lpstr>Presupuesto </vt:lpstr>
      <vt:lpstr>Conciliacion Tributaria</vt:lpstr>
      <vt:lpstr>Inversion</vt:lpstr>
      <vt:lpstr>Gasto no Deducible</vt:lpstr>
      <vt:lpstr>SOLICITUD</vt:lpstr>
      <vt:lpstr>RECOMENDACIONES</vt:lpstr>
      <vt:lpstr>ING Jose Orbea</vt:lpstr>
      <vt:lpstr>Sra Pilar Arellano</vt:lpstr>
      <vt:lpstr>Sr. Raul Orbea</vt:lpstr>
      <vt:lpstr>SR. Jose Xavier Orbea</vt:lpstr>
      <vt:lpstr>Facturitas JOV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Gurumendi</dc:creator>
  <cp:lastModifiedBy>Christian Ramirez</cp:lastModifiedBy>
  <cp:lastPrinted>2021-07-27T19:45:41Z</cp:lastPrinted>
  <dcterms:created xsi:type="dcterms:W3CDTF">2021-07-27T16:04:13Z</dcterms:created>
  <dcterms:modified xsi:type="dcterms:W3CDTF">2021-09-01T16:33:35Z</dcterms:modified>
</cp:coreProperties>
</file>