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ml.chartshape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tables/table1.xml" ContentType="application/vnd.openxmlformats-officedocument.spreadsheetml.table+xml"/>
  <Override PartName="/xl/charts/chart7.xml" ContentType="application/vnd.openxmlformats-officedocument.drawingml.chart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charts/chart8.xml" ContentType="application/vnd.openxmlformats-officedocument.drawingml.char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os Almeida\Documents\GitHub\Grafimpac\Varios\"/>
    </mc:Choice>
  </mc:AlternateContent>
  <xr:revisionPtr revIDLastSave="0" documentId="8_{E40995BD-EAD3-49BC-94D9-D8E8CE50F478}" xr6:coauthVersionLast="47" xr6:coauthVersionMax="47" xr10:uidLastSave="{00000000-0000-0000-0000-000000000000}"/>
  <bookViews>
    <workbookView xWindow="-120" yWindow="-120" windowWidth="20730" windowHeight="11160" activeTab="3" xr2:uid="{FBA5DC02-B486-463B-A701-00AC45EB0F87}"/>
  </bookViews>
  <sheets>
    <sheet name="Hoja1" sheetId="1" r:id="rId1"/>
    <sheet name="Hoja2" sheetId="2" r:id="rId2"/>
    <sheet name="Hoja3" sheetId="3" r:id="rId3"/>
    <sheet name="Hoja4" sheetId="4" r:id="rId4"/>
    <sheet name="Hoja5" sheetId="5" r:id="rId5"/>
    <sheet name="Hoja6" sheetId="6" r:id="rId6"/>
    <sheet name="Hoja7" sheetId="7" r:id="rId7"/>
    <sheet name="Hoja8" sheetId="8" r:id="rId8"/>
    <sheet name="Hoja9" sheetId="9" r:id="rId9"/>
    <sheet name="Hoja10" sheetId="10" r:id="rId10"/>
    <sheet name="Hoja11" sheetId="11" r:id="rId11"/>
    <sheet name="Hoja12" sheetId="12" r:id="rId12"/>
    <sheet name="Hoja13" sheetId="13" r:id="rId13"/>
    <sheet name="Hoja14" sheetId="14" r:id="rId14"/>
  </sheets>
  <externalReferences>
    <externalReference r:id="rId15"/>
    <externalReference r:id="rId16"/>
  </externalReferences>
  <definedNames>
    <definedName name="base74">'[1]Base Balance 2020'!$1:$1048576</definedName>
    <definedName name="base75">'[1]Base Balance 2021'!$1:$1048576</definedName>
    <definedName name="base76">'[1]Base PG 2021'!$1:$1048576</definedName>
    <definedName name="base79">'[1]Presupuesto 2021'!$1:$1048576</definedName>
    <definedName name="base80">'[1]PG Mensual 2020'!$1:$1048576</definedName>
    <definedName name="base81">'[1]Base PG 2020'!$1:$1048576</definedName>
    <definedName name="base82">'[1]PG Mensual 2021'!$1:$1048576</definedName>
    <definedName name="base83">'[1]Base cartera'!$1:$1048576</definedName>
    <definedName name="base85">'[1]Base Inventario'!$1:$1048576</definedName>
  </definedNames>
  <calcPr calcId="191029"/>
  <pivotCaches>
    <pivotCache cacheId="0" r:id="rId1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5" i="13" l="1"/>
  <c r="C25" i="13"/>
  <c r="L23" i="13"/>
  <c r="K23" i="13"/>
  <c r="N22" i="13"/>
  <c r="I22" i="13"/>
  <c r="E22" i="13"/>
  <c r="K22" i="13" s="1"/>
  <c r="N21" i="13"/>
  <c r="L21" i="13"/>
  <c r="K21" i="13"/>
  <c r="O21" i="13" s="1"/>
  <c r="N20" i="13"/>
  <c r="I20" i="13"/>
  <c r="L20" i="13" s="1"/>
  <c r="E20" i="13"/>
  <c r="K20" i="13" s="1"/>
  <c r="N19" i="13"/>
  <c r="I19" i="13"/>
  <c r="L19" i="13" s="1"/>
  <c r="E19" i="13"/>
  <c r="K19" i="13" s="1"/>
  <c r="N18" i="13"/>
  <c r="L18" i="13"/>
  <c r="K18" i="13"/>
  <c r="N17" i="13"/>
  <c r="K17" i="13"/>
  <c r="E17" i="13"/>
  <c r="L17" i="13" s="1"/>
  <c r="N16" i="13"/>
  <c r="L16" i="13"/>
  <c r="K16" i="13"/>
  <c r="N15" i="13"/>
  <c r="L15" i="13"/>
  <c r="E15" i="13"/>
  <c r="K15" i="13" s="1"/>
  <c r="N14" i="13"/>
  <c r="I14" i="13"/>
  <c r="L14" i="13" s="1"/>
  <c r="E14" i="13"/>
  <c r="K14" i="13" s="1"/>
  <c r="N13" i="13"/>
  <c r="L13" i="13"/>
  <c r="K13" i="13"/>
  <c r="N12" i="13"/>
  <c r="L12" i="13"/>
  <c r="K12" i="13"/>
  <c r="O12" i="13" s="1"/>
  <c r="N11" i="13"/>
  <c r="I11" i="13"/>
  <c r="L11" i="13" s="1"/>
  <c r="E11" i="13"/>
  <c r="K11" i="13" s="1"/>
  <c r="O11" i="13" s="1"/>
  <c r="N10" i="13"/>
  <c r="I10" i="13"/>
  <c r="E10" i="13"/>
  <c r="K10" i="13" s="1"/>
  <c r="N9" i="13"/>
  <c r="H9" i="13"/>
  <c r="I9" i="13" s="1"/>
  <c r="E9" i="13"/>
  <c r="N8" i="13"/>
  <c r="I8" i="13"/>
  <c r="E8" i="13"/>
  <c r="K8" i="13" s="1"/>
  <c r="H7" i="13"/>
  <c r="H25" i="13" s="1"/>
  <c r="G7" i="13"/>
  <c r="N7" i="13" s="1"/>
  <c r="E7" i="13"/>
  <c r="N6" i="13"/>
  <c r="I6" i="13"/>
  <c r="E6" i="13"/>
  <c r="F29" i="12"/>
  <c r="F20" i="12"/>
  <c r="F6" i="12"/>
  <c r="D6" i="12" s="1"/>
  <c r="B6" i="12"/>
  <c r="A3" i="12"/>
  <c r="G1" i="12"/>
  <c r="G25" i="12" s="1"/>
  <c r="F1" i="12"/>
  <c r="F32" i="12" s="1"/>
  <c r="B1" i="12"/>
  <c r="B20" i="12" s="1"/>
  <c r="U38" i="11"/>
  <c r="V38" i="11" s="1"/>
  <c r="T38" i="11"/>
  <c r="AF34" i="11"/>
  <c r="AE34" i="11"/>
  <c r="O11" i="11" s="1"/>
  <c r="AD34" i="11"/>
  <c r="AC34" i="11"/>
  <c r="AB34" i="11"/>
  <c r="AA34" i="11"/>
  <c r="K11" i="11" s="1"/>
  <c r="Z34" i="11"/>
  <c r="J11" i="11" s="1"/>
  <c r="Y34" i="11"/>
  <c r="I11" i="11" s="1"/>
  <c r="X34" i="11"/>
  <c r="W34" i="11"/>
  <c r="G11" i="11" s="1"/>
  <c r="V34" i="11"/>
  <c r="U34" i="11"/>
  <c r="T34" i="11"/>
  <c r="AF33" i="11"/>
  <c r="P10" i="11" s="1"/>
  <c r="AE33" i="11"/>
  <c r="O10" i="11" s="1"/>
  <c r="AD33" i="11"/>
  <c r="N10" i="11" s="1"/>
  <c r="AC33" i="11"/>
  <c r="M10" i="11" s="1"/>
  <c r="AB33" i="11"/>
  <c r="L10" i="11" s="1"/>
  <c r="AA33" i="11"/>
  <c r="Z33" i="11"/>
  <c r="J10" i="11" s="1"/>
  <c r="Y33" i="11"/>
  <c r="I10" i="11" s="1"/>
  <c r="X33" i="11"/>
  <c r="H10" i="11" s="1"/>
  <c r="W33" i="11"/>
  <c r="G10" i="11" s="1"/>
  <c r="V33" i="11"/>
  <c r="F10" i="11" s="1"/>
  <c r="U33" i="11"/>
  <c r="T33" i="11"/>
  <c r="AF32" i="11"/>
  <c r="AE32" i="11"/>
  <c r="AD32" i="11"/>
  <c r="N9" i="11" s="1"/>
  <c r="AC32" i="11"/>
  <c r="AC35" i="11" s="1"/>
  <c r="AB32" i="11"/>
  <c r="L9" i="11" s="1"/>
  <c r="AA32" i="11"/>
  <c r="K9" i="11" s="1"/>
  <c r="Z32" i="11"/>
  <c r="Z35" i="11" s="1"/>
  <c r="Y32" i="11"/>
  <c r="Y35" i="11" s="1"/>
  <c r="X32" i="11"/>
  <c r="W32" i="11"/>
  <c r="V32" i="11"/>
  <c r="F9" i="11" s="1"/>
  <c r="F16" i="11" s="1"/>
  <c r="U32" i="11"/>
  <c r="U35" i="11" s="1"/>
  <c r="U36" i="11" s="1"/>
  <c r="T32" i="11"/>
  <c r="D9" i="11" s="1"/>
  <c r="E12" i="11"/>
  <c r="D12" i="11"/>
  <c r="P11" i="11"/>
  <c r="N11" i="11"/>
  <c r="M11" i="11"/>
  <c r="L11" i="11"/>
  <c r="H11" i="11"/>
  <c r="F11" i="11"/>
  <c r="E11" i="11"/>
  <c r="D11" i="11"/>
  <c r="K10" i="11"/>
  <c r="E10" i="11"/>
  <c r="D10" i="11"/>
  <c r="P9" i="11"/>
  <c r="O9" i="11"/>
  <c r="J9" i="11"/>
  <c r="H9" i="11"/>
  <c r="G9" i="11"/>
  <c r="E9" i="11"/>
  <c r="E16" i="11" s="1"/>
  <c r="E17" i="11" s="1"/>
  <c r="B14" i="10"/>
  <c r="B13" i="10"/>
  <c r="B12" i="10"/>
  <c r="G8" i="10"/>
  <c r="A8" i="10"/>
  <c r="H1" i="10"/>
  <c r="H15" i="10" s="1"/>
  <c r="B1" i="10"/>
  <c r="C1" i="10" s="1"/>
  <c r="H37" i="9"/>
  <c r="F37" i="9"/>
  <c r="H35" i="9"/>
  <c r="F35" i="9"/>
  <c r="H34" i="9"/>
  <c r="F34" i="9"/>
  <c r="H31" i="9"/>
  <c r="F31" i="9"/>
  <c r="H30" i="9"/>
  <c r="F30" i="9"/>
  <c r="H27" i="9"/>
  <c r="F27" i="9"/>
  <c r="H26" i="9"/>
  <c r="F26" i="9"/>
  <c r="H23" i="9"/>
  <c r="D23" i="9"/>
  <c r="F23" i="9" s="1"/>
  <c r="H22" i="9"/>
  <c r="D22" i="9"/>
  <c r="F22" i="9" s="1"/>
  <c r="D16" i="9"/>
  <c r="D15" i="9"/>
  <c r="D14" i="9"/>
  <c r="D13" i="9"/>
  <c r="D12" i="9"/>
  <c r="B6" i="9"/>
  <c r="AA92" i="8"/>
  <c r="Y92" i="8"/>
  <c r="W92" i="8"/>
  <c r="U92" i="8"/>
  <c r="S92" i="8"/>
  <c r="Q92" i="8"/>
  <c r="O92" i="8"/>
  <c r="M92" i="8"/>
  <c r="K92" i="8"/>
  <c r="I92" i="8"/>
  <c r="G92" i="8"/>
  <c r="E92" i="8"/>
  <c r="AA91" i="8"/>
  <c r="Y91" i="8"/>
  <c r="W91" i="8"/>
  <c r="U91" i="8"/>
  <c r="S91" i="8"/>
  <c r="Q91" i="8"/>
  <c r="O91" i="8"/>
  <c r="M91" i="8"/>
  <c r="K91" i="8"/>
  <c r="I91" i="8"/>
  <c r="G91" i="8"/>
  <c r="E91" i="8"/>
  <c r="AA90" i="8"/>
  <c r="Y90" i="8"/>
  <c r="W90" i="8"/>
  <c r="U90" i="8"/>
  <c r="S90" i="8"/>
  <c r="Q90" i="8"/>
  <c r="O90" i="8"/>
  <c r="M90" i="8"/>
  <c r="K90" i="8"/>
  <c r="I90" i="8"/>
  <c r="G90" i="8"/>
  <c r="E90" i="8"/>
  <c r="AA89" i="8"/>
  <c r="Y89" i="8"/>
  <c r="W89" i="8"/>
  <c r="U89" i="8"/>
  <c r="S89" i="8"/>
  <c r="Q89" i="8"/>
  <c r="O89" i="8"/>
  <c r="M89" i="8"/>
  <c r="K89" i="8"/>
  <c r="I89" i="8"/>
  <c r="G89" i="8"/>
  <c r="E89" i="8"/>
  <c r="AA88" i="8"/>
  <c r="Y88" i="8"/>
  <c r="W88" i="8"/>
  <c r="U88" i="8"/>
  <c r="S88" i="8"/>
  <c r="Q88" i="8"/>
  <c r="O88" i="8"/>
  <c r="M88" i="8"/>
  <c r="K88" i="8"/>
  <c r="I88" i="8"/>
  <c r="G88" i="8"/>
  <c r="E88" i="8"/>
  <c r="AA87" i="8"/>
  <c r="Y87" i="8"/>
  <c r="W87" i="8"/>
  <c r="U87" i="8"/>
  <c r="S87" i="8"/>
  <c r="Q87" i="8"/>
  <c r="O87" i="8"/>
  <c r="M87" i="8"/>
  <c r="K87" i="8"/>
  <c r="I87" i="8"/>
  <c r="G87" i="8"/>
  <c r="E87" i="8"/>
  <c r="AA86" i="8"/>
  <c r="Y86" i="8"/>
  <c r="W86" i="8"/>
  <c r="U86" i="8"/>
  <c r="S86" i="8"/>
  <c r="Q86" i="8"/>
  <c r="O86" i="8"/>
  <c r="M86" i="8"/>
  <c r="K86" i="8"/>
  <c r="I86" i="8"/>
  <c r="G86" i="8"/>
  <c r="E86" i="8"/>
  <c r="AA85" i="8"/>
  <c r="Y85" i="8"/>
  <c r="W85" i="8"/>
  <c r="U85" i="8"/>
  <c r="S85" i="8"/>
  <c r="Q85" i="8"/>
  <c r="O85" i="8"/>
  <c r="M85" i="8"/>
  <c r="K85" i="8"/>
  <c r="I85" i="8"/>
  <c r="G85" i="8"/>
  <c r="E85" i="8"/>
  <c r="AA84" i="8"/>
  <c r="Y84" i="8"/>
  <c r="W84" i="8"/>
  <c r="U84" i="8"/>
  <c r="S84" i="8"/>
  <c r="Q84" i="8"/>
  <c r="O84" i="8"/>
  <c r="M84" i="8"/>
  <c r="K84" i="8"/>
  <c r="I84" i="8"/>
  <c r="G84" i="8"/>
  <c r="E84" i="8"/>
  <c r="AA83" i="8"/>
  <c r="Y83" i="8"/>
  <c r="W83" i="8"/>
  <c r="U83" i="8"/>
  <c r="S83" i="8"/>
  <c r="Q83" i="8"/>
  <c r="O83" i="8"/>
  <c r="M83" i="8"/>
  <c r="K83" i="8"/>
  <c r="I83" i="8"/>
  <c r="G83" i="8"/>
  <c r="E83" i="8"/>
  <c r="AA82" i="8"/>
  <c r="Y82" i="8"/>
  <c r="W82" i="8"/>
  <c r="U82" i="8"/>
  <c r="S82" i="8"/>
  <c r="Q82" i="8"/>
  <c r="O82" i="8"/>
  <c r="M82" i="8"/>
  <c r="K82" i="8"/>
  <c r="I82" i="8"/>
  <c r="G82" i="8"/>
  <c r="E82" i="8"/>
  <c r="AA81" i="8"/>
  <c r="Y81" i="8"/>
  <c r="W81" i="8"/>
  <c r="U81" i="8"/>
  <c r="S81" i="8"/>
  <c r="Q81" i="8"/>
  <c r="O81" i="8"/>
  <c r="M81" i="8"/>
  <c r="K81" i="8"/>
  <c r="I81" i="8"/>
  <c r="G81" i="8"/>
  <c r="E81" i="8"/>
  <c r="AA80" i="8"/>
  <c r="Y80" i="8"/>
  <c r="W80" i="8"/>
  <c r="U80" i="8"/>
  <c r="S80" i="8"/>
  <c r="Q80" i="8"/>
  <c r="O80" i="8"/>
  <c r="M80" i="8"/>
  <c r="K80" i="8"/>
  <c r="I80" i="8"/>
  <c r="G80" i="8"/>
  <c r="E80" i="8"/>
  <c r="AA79" i="8"/>
  <c r="Y79" i="8"/>
  <c r="W79" i="8"/>
  <c r="U79" i="8"/>
  <c r="S79" i="8"/>
  <c r="Q79" i="8"/>
  <c r="O79" i="8"/>
  <c r="M79" i="8"/>
  <c r="K79" i="8"/>
  <c r="I79" i="8"/>
  <c r="G79" i="8"/>
  <c r="E79" i="8"/>
  <c r="AA78" i="8"/>
  <c r="Y78" i="8"/>
  <c r="W78" i="8"/>
  <c r="U78" i="8"/>
  <c r="S78" i="8"/>
  <c r="Q78" i="8"/>
  <c r="O78" i="8"/>
  <c r="M78" i="8"/>
  <c r="K78" i="8"/>
  <c r="I78" i="8"/>
  <c r="G78" i="8"/>
  <c r="E78" i="8"/>
  <c r="AA77" i="8"/>
  <c r="Y77" i="8"/>
  <c r="W77" i="8"/>
  <c r="U77" i="8"/>
  <c r="S77" i="8"/>
  <c r="Q77" i="8"/>
  <c r="O77" i="8"/>
  <c r="M77" i="8"/>
  <c r="K77" i="8"/>
  <c r="I77" i="8"/>
  <c r="G77" i="8"/>
  <c r="E77" i="8"/>
  <c r="AA76" i="8"/>
  <c r="Y76" i="8"/>
  <c r="W76" i="8"/>
  <c r="U76" i="8"/>
  <c r="S76" i="8"/>
  <c r="Q76" i="8"/>
  <c r="O76" i="8"/>
  <c r="M76" i="8"/>
  <c r="K76" i="8"/>
  <c r="I76" i="8"/>
  <c r="G76" i="8"/>
  <c r="E76" i="8"/>
  <c r="AA75" i="8"/>
  <c r="Y75" i="8"/>
  <c r="W75" i="8"/>
  <c r="U75" i="8"/>
  <c r="S75" i="8"/>
  <c r="Q75" i="8"/>
  <c r="O75" i="8"/>
  <c r="M75" i="8"/>
  <c r="K75" i="8"/>
  <c r="I75" i="8"/>
  <c r="G75" i="8"/>
  <c r="E75" i="8"/>
  <c r="AA74" i="8"/>
  <c r="Y74" i="8"/>
  <c r="W74" i="8"/>
  <c r="U74" i="8"/>
  <c r="S74" i="8"/>
  <c r="Q74" i="8"/>
  <c r="O74" i="8"/>
  <c r="M74" i="8"/>
  <c r="K74" i="8"/>
  <c r="I74" i="8"/>
  <c r="G74" i="8"/>
  <c r="E74" i="8"/>
  <c r="AA73" i="8"/>
  <c r="Y73" i="8"/>
  <c r="W73" i="8"/>
  <c r="U73" i="8"/>
  <c r="S73" i="8"/>
  <c r="Q73" i="8"/>
  <c r="O73" i="8"/>
  <c r="M73" i="8"/>
  <c r="K73" i="8"/>
  <c r="I73" i="8"/>
  <c r="G73" i="8"/>
  <c r="E73" i="8"/>
  <c r="AA72" i="8"/>
  <c r="Y72" i="8"/>
  <c r="W72" i="8"/>
  <c r="U72" i="8"/>
  <c r="S72" i="8"/>
  <c r="Q72" i="8"/>
  <c r="O72" i="8"/>
  <c r="M72" i="8"/>
  <c r="K72" i="8"/>
  <c r="I72" i="8"/>
  <c r="G72" i="8"/>
  <c r="E72" i="8"/>
  <c r="AA71" i="8"/>
  <c r="Y71" i="8"/>
  <c r="W71" i="8"/>
  <c r="U71" i="8"/>
  <c r="S71" i="8"/>
  <c r="Q71" i="8"/>
  <c r="O71" i="8"/>
  <c r="M71" i="8"/>
  <c r="K71" i="8"/>
  <c r="I71" i="8"/>
  <c r="G71" i="8"/>
  <c r="E71" i="8"/>
  <c r="AA70" i="8"/>
  <c r="Y70" i="8"/>
  <c r="W70" i="8"/>
  <c r="U70" i="8"/>
  <c r="S70" i="8"/>
  <c r="Q70" i="8"/>
  <c r="O70" i="8"/>
  <c r="M70" i="8"/>
  <c r="K70" i="8"/>
  <c r="I70" i="8"/>
  <c r="G70" i="8"/>
  <c r="E70" i="8"/>
  <c r="AA69" i="8"/>
  <c r="Y69" i="8"/>
  <c r="W69" i="8"/>
  <c r="U69" i="8"/>
  <c r="S69" i="8"/>
  <c r="Q69" i="8"/>
  <c r="O69" i="8"/>
  <c r="M69" i="8"/>
  <c r="K69" i="8"/>
  <c r="I69" i="8"/>
  <c r="G69" i="8"/>
  <c r="E69" i="8"/>
  <c r="AA68" i="8"/>
  <c r="Y68" i="8"/>
  <c r="W68" i="8"/>
  <c r="U68" i="8"/>
  <c r="S68" i="8"/>
  <c r="Q68" i="8"/>
  <c r="O68" i="8"/>
  <c r="M68" i="8"/>
  <c r="K68" i="8"/>
  <c r="I68" i="8"/>
  <c r="G68" i="8"/>
  <c r="E68" i="8"/>
  <c r="AA67" i="8"/>
  <c r="Y67" i="8"/>
  <c r="W67" i="8"/>
  <c r="U67" i="8"/>
  <c r="S67" i="8"/>
  <c r="Q67" i="8"/>
  <c r="O67" i="8"/>
  <c r="M67" i="8"/>
  <c r="K67" i="8"/>
  <c r="I67" i="8"/>
  <c r="G67" i="8"/>
  <c r="E67" i="8"/>
  <c r="AA66" i="8"/>
  <c r="Y66" i="8"/>
  <c r="W66" i="8"/>
  <c r="U66" i="8"/>
  <c r="S66" i="8"/>
  <c r="Q66" i="8"/>
  <c r="O66" i="8"/>
  <c r="M66" i="8"/>
  <c r="K66" i="8"/>
  <c r="I66" i="8"/>
  <c r="G66" i="8"/>
  <c r="E66" i="8"/>
  <c r="AA65" i="8"/>
  <c r="Y65" i="8"/>
  <c r="W65" i="8"/>
  <c r="U65" i="8"/>
  <c r="S65" i="8"/>
  <c r="Q65" i="8"/>
  <c r="O65" i="8"/>
  <c r="M65" i="8"/>
  <c r="K65" i="8"/>
  <c r="I65" i="8"/>
  <c r="G65" i="8"/>
  <c r="E65" i="8"/>
  <c r="AA64" i="8"/>
  <c r="Y64" i="8"/>
  <c r="W64" i="8"/>
  <c r="U64" i="8"/>
  <c r="S64" i="8"/>
  <c r="Q64" i="8"/>
  <c r="O64" i="8"/>
  <c r="M64" i="8"/>
  <c r="K64" i="8"/>
  <c r="I64" i="8"/>
  <c r="G64" i="8"/>
  <c r="E64" i="8"/>
  <c r="AA63" i="8"/>
  <c r="Y63" i="8"/>
  <c r="W63" i="8"/>
  <c r="U63" i="8"/>
  <c r="S63" i="8"/>
  <c r="Q63" i="8"/>
  <c r="O63" i="8"/>
  <c r="M63" i="8"/>
  <c r="K63" i="8"/>
  <c r="I63" i="8"/>
  <c r="G63" i="8"/>
  <c r="E63" i="8"/>
  <c r="AA62" i="8"/>
  <c r="Y62" i="8"/>
  <c r="W62" i="8"/>
  <c r="U62" i="8"/>
  <c r="S62" i="8"/>
  <c r="Q62" i="8"/>
  <c r="O62" i="8"/>
  <c r="M62" i="8"/>
  <c r="K62" i="8"/>
  <c r="I62" i="8"/>
  <c r="G62" i="8"/>
  <c r="E62" i="8"/>
  <c r="AA61" i="8"/>
  <c r="Y61" i="8"/>
  <c r="W61" i="8"/>
  <c r="U61" i="8"/>
  <c r="S61" i="8"/>
  <c r="Q61" i="8"/>
  <c r="O61" i="8"/>
  <c r="M61" i="8"/>
  <c r="K61" i="8"/>
  <c r="I61" i="8"/>
  <c r="G61" i="8"/>
  <c r="E61" i="8"/>
  <c r="AA60" i="8"/>
  <c r="Y60" i="8"/>
  <c r="W60" i="8"/>
  <c r="U60" i="8"/>
  <c r="S60" i="8"/>
  <c r="Q60" i="8"/>
  <c r="O60" i="8"/>
  <c r="M60" i="8"/>
  <c r="K60" i="8"/>
  <c r="I60" i="8"/>
  <c r="G60" i="8"/>
  <c r="E60" i="8"/>
  <c r="AA59" i="8"/>
  <c r="Y59" i="8"/>
  <c r="W59" i="8"/>
  <c r="U59" i="8"/>
  <c r="S59" i="8"/>
  <c r="Q59" i="8"/>
  <c r="O59" i="8"/>
  <c r="M59" i="8"/>
  <c r="K59" i="8"/>
  <c r="I59" i="8"/>
  <c r="G59" i="8"/>
  <c r="E59" i="8"/>
  <c r="AA58" i="8"/>
  <c r="Y58" i="8"/>
  <c r="W58" i="8"/>
  <c r="U58" i="8"/>
  <c r="S58" i="8"/>
  <c r="Q58" i="8"/>
  <c r="O58" i="8"/>
  <c r="M58" i="8"/>
  <c r="K58" i="8"/>
  <c r="I58" i="8"/>
  <c r="G58" i="8"/>
  <c r="E58" i="8"/>
  <c r="AA57" i="8"/>
  <c r="Y57" i="8"/>
  <c r="W57" i="8"/>
  <c r="U57" i="8"/>
  <c r="S57" i="8"/>
  <c r="Q57" i="8"/>
  <c r="O57" i="8"/>
  <c r="M57" i="8"/>
  <c r="K57" i="8"/>
  <c r="I57" i="8"/>
  <c r="G57" i="8"/>
  <c r="E57" i="8"/>
  <c r="AA56" i="8"/>
  <c r="Y56" i="8"/>
  <c r="W56" i="8"/>
  <c r="U56" i="8"/>
  <c r="S56" i="8"/>
  <c r="Q56" i="8"/>
  <c r="O56" i="8"/>
  <c r="M56" i="8"/>
  <c r="K56" i="8"/>
  <c r="I56" i="8"/>
  <c r="G56" i="8"/>
  <c r="E56" i="8"/>
  <c r="AA55" i="8"/>
  <c r="Y55" i="8"/>
  <c r="W55" i="8"/>
  <c r="U55" i="8"/>
  <c r="S55" i="8"/>
  <c r="Q55" i="8"/>
  <c r="O55" i="8"/>
  <c r="M55" i="8"/>
  <c r="K55" i="8"/>
  <c r="I55" i="8"/>
  <c r="G55" i="8"/>
  <c r="E55" i="8"/>
  <c r="AA54" i="8"/>
  <c r="Y54" i="8"/>
  <c r="W54" i="8"/>
  <c r="U54" i="8"/>
  <c r="S54" i="8"/>
  <c r="Q54" i="8"/>
  <c r="O54" i="8"/>
  <c r="M54" i="8"/>
  <c r="K54" i="8"/>
  <c r="I54" i="8"/>
  <c r="G54" i="8"/>
  <c r="E54" i="8"/>
  <c r="AA53" i="8"/>
  <c r="Y53" i="8"/>
  <c r="W53" i="8"/>
  <c r="U53" i="8"/>
  <c r="S53" i="8"/>
  <c r="Q53" i="8"/>
  <c r="O53" i="8"/>
  <c r="M53" i="8"/>
  <c r="K53" i="8"/>
  <c r="I53" i="8"/>
  <c r="G53" i="8"/>
  <c r="E53" i="8"/>
  <c r="S37" i="7"/>
  <c r="Q31" i="7"/>
  <c r="Q29" i="7"/>
  <c r="Q26" i="7"/>
  <c r="Q18" i="7"/>
  <c r="Q22" i="7" s="1"/>
  <c r="Q16" i="7"/>
  <c r="I15" i="7"/>
  <c r="G15" i="7"/>
  <c r="L15" i="7" s="1"/>
  <c r="E15" i="7"/>
  <c r="I14" i="7"/>
  <c r="G14" i="7"/>
  <c r="E14" i="7"/>
  <c r="L14" i="7" s="1"/>
  <c r="Q12" i="7"/>
  <c r="Q10" i="7"/>
  <c r="B6" i="7"/>
  <c r="L15" i="6"/>
  <c r="J15" i="6"/>
  <c r="H15" i="6"/>
  <c r="O14" i="6"/>
  <c r="L14" i="6"/>
  <c r="J14" i="6"/>
  <c r="H14" i="6"/>
  <c r="E6" i="6"/>
  <c r="J1" i="6"/>
  <c r="L1" i="6" s="1"/>
  <c r="AB74" i="5"/>
  <c r="AD67" i="5"/>
  <c r="AB67" i="5"/>
  <c r="Z67" i="5"/>
  <c r="X67" i="5"/>
  <c r="V67" i="5"/>
  <c r="T67" i="5"/>
  <c r="R67" i="5"/>
  <c r="P67" i="5"/>
  <c r="N67" i="5"/>
  <c r="L67" i="5"/>
  <c r="J67" i="5"/>
  <c r="H67" i="5"/>
  <c r="AD65" i="5"/>
  <c r="AB65" i="5"/>
  <c r="Z65" i="5"/>
  <c r="X65" i="5"/>
  <c r="V65" i="5"/>
  <c r="T65" i="5"/>
  <c r="R65" i="5"/>
  <c r="P65" i="5"/>
  <c r="N65" i="5"/>
  <c r="L65" i="5"/>
  <c r="J65" i="5"/>
  <c r="H65" i="5"/>
  <c r="AD63" i="5"/>
  <c r="AB63" i="5"/>
  <c r="Z63" i="5"/>
  <c r="X63" i="5"/>
  <c r="V63" i="5"/>
  <c r="T63" i="5"/>
  <c r="R63" i="5"/>
  <c r="P63" i="5"/>
  <c r="N63" i="5"/>
  <c r="L63" i="5"/>
  <c r="J63" i="5"/>
  <c r="H63" i="5"/>
  <c r="AD60" i="5"/>
  <c r="AB60" i="5"/>
  <c r="Z60" i="5"/>
  <c r="X60" i="5"/>
  <c r="V60" i="5"/>
  <c r="T60" i="5"/>
  <c r="R60" i="5"/>
  <c r="P60" i="5"/>
  <c r="N60" i="5"/>
  <c r="L60" i="5"/>
  <c r="J60" i="5"/>
  <c r="H60" i="5"/>
  <c r="AD58" i="5"/>
  <c r="AB58" i="5"/>
  <c r="Z58" i="5"/>
  <c r="X58" i="5"/>
  <c r="V58" i="5"/>
  <c r="T58" i="5"/>
  <c r="R58" i="5"/>
  <c r="P58" i="5"/>
  <c r="N58" i="5"/>
  <c r="L58" i="5"/>
  <c r="J58" i="5"/>
  <c r="H58" i="5"/>
  <c r="AD54" i="5"/>
  <c r="AD84" i="5" s="1"/>
  <c r="AB54" i="5"/>
  <c r="AB84" i="5" s="1"/>
  <c r="Z54" i="5"/>
  <c r="Z84" i="5" s="1"/>
  <c r="X54" i="5"/>
  <c r="X84" i="5" s="1"/>
  <c r="V54" i="5"/>
  <c r="V84" i="5" s="1"/>
  <c r="T54" i="5"/>
  <c r="T84" i="5" s="1"/>
  <c r="R54" i="5"/>
  <c r="R84" i="5" s="1"/>
  <c r="P54" i="5"/>
  <c r="P84" i="5" s="1"/>
  <c r="N54" i="5"/>
  <c r="N84" i="5" s="1"/>
  <c r="L54" i="5"/>
  <c r="L84" i="5" s="1"/>
  <c r="J54" i="5"/>
  <c r="J84" i="5" s="1"/>
  <c r="H54" i="5"/>
  <c r="H84" i="5" s="1"/>
  <c r="AD52" i="5"/>
  <c r="AD82" i="5" s="1"/>
  <c r="AB52" i="5"/>
  <c r="AB82" i="5" s="1"/>
  <c r="Z52" i="5"/>
  <c r="Z82" i="5" s="1"/>
  <c r="X52" i="5"/>
  <c r="X82" i="5" s="1"/>
  <c r="V52" i="5"/>
  <c r="V82" i="5" s="1"/>
  <c r="T52" i="5"/>
  <c r="T82" i="5" s="1"/>
  <c r="R52" i="5"/>
  <c r="R82" i="5" s="1"/>
  <c r="P52" i="5"/>
  <c r="P82" i="5" s="1"/>
  <c r="N52" i="5"/>
  <c r="N82" i="5" s="1"/>
  <c r="L52" i="5"/>
  <c r="L82" i="5" s="1"/>
  <c r="J52" i="5"/>
  <c r="J82" i="5" s="1"/>
  <c r="H52" i="5"/>
  <c r="H82" i="5" s="1"/>
  <c r="AD46" i="5"/>
  <c r="AD76" i="5" s="1"/>
  <c r="AB46" i="5"/>
  <c r="AB76" i="5" s="1"/>
  <c r="Z46" i="5"/>
  <c r="Z76" i="5" s="1"/>
  <c r="X46" i="5"/>
  <c r="X76" i="5" s="1"/>
  <c r="V46" i="5"/>
  <c r="V76" i="5" s="1"/>
  <c r="T46" i="5"/>
  <c r="T76" i="5" s="1"/>
  <c r="R46" i="5"/>
  <c r="R76" i="5" s="1"/>
  <c r="P46" i="5"/>
  <c r="P76" i="5" s="1"/>
  <c r="N46" i="5"/>
  <c r="N76" i="5" s="1"/>
  <c r="L46" i="5"/>
  <c r="L76" i="5" s="1"/>
  <c r="J46" i="5"/>
  <c r="J76" i="5" s="1"/>
  <c r="H46" i="5"/>
  <c r="H76" i="5" s="1"/>
  <c r="AD44" i="5"/>
  <c r="AD74" i="5" s="1"/>
  <c r="AB44" i="5"/>
  <c r="Z44" i="5"/>
  <c r="Z74" i="5" s="1"/>
  <c r="X44" i="5"/>
  <c r="X74" i="5" s="1"/>
  <c r="V44" i="5"/>
  <c r="V74" i="5" s="1"/>
  <c r="T44" i="5"/>
  <c r="T74" i="5" s="1"/>
  <c r="R44" i="5"/>
  <c r="R74" i="5" s="1"/>
  <c r="P44" i="5"/>
  <c r="P74" i="5" s="1"/>
  <c r="N44" i="5"/>
  <c r="N74" i="5" s="1"/>
  <c r="L44" i="5"/>
  <c r="L74" i="5" s="1"/>
  <c r="J44" i="5"/>
  <c r="J74" i="5" s="1"/>
  <c r="H44" i="5"/>
  <c r="H74" i="5" s="1"/>
  <c r="AD41" i="5"/>
  <c r="AD71" i="5" s="1"/>
  <c r="AB41" i="5"/>
  <c r="AB71" i="5" s="1"/>
  <c r="Z41" i="5"/>
  <c r="Z71" i="5" s="1"/>
  <c r="X41" i="5"/>
  <c r="X71" i="5" s="1"/>
  <c r="V41" i="5"/>
  <c r="V71" i="5" s="1"/>
  <c r="T41" i="5"/>
  <c r="T71" i="5" s="1"/>
  <c r="R41" i="5"/>
  <c r="R71" i="5" s="1"/>
  <c r="P41" i="5"/>
  <c r="P71" i="5" s="1"/>
  <c r="N41" i="5"/>
  <c r="N71" i="5" s="1"/>
  <c r="L41" i="5"/>
  <c r="L71" i="5" s="1"/>
  <c r="J41" i="5"/>
  <c r="J71" i="5" s="1"/>
  <c r="H41" i="5"/>
  <c r="H71" i="5" s="1"/>
  <c r="AD27" i="5"/>
  <c r="AB27" i="5"/>
  <c r="Z27" i="5"/>
  <c r="Z57" i="5" s="1"/>
  <c r="Z87" i="5" s="1"/>
  <c r="X27" i="5"/>
  <c r="X57" i="5" s="1"/>
  <c r="X87" i="5" s="1"/>
  <c r="V27" i="5"/>
  <c r="T27" i="5"/>
  <c r="R27" i="5"/>
  <c r="P27" i="5"/>
  <c r="P57" i="5" s="1"/>
  <c r="P87" i="5" s="1"/>
  <c r="N27" i="5"/>
  <c r="N26" i="5" s="1"/>
  <c r="N56" i="5" s="1"/>
  <c r="N86" i="5" s="1"/>
  <c r="L27" i="5"/>
  <c r="J27" i="5"/>
  <c r="J57" i="5" s="1"/>
  <c r="J87" i="5" s="1"/>
  <c r="H27" i="5"/>
  <c r="Z26" i="5"/>
  <c r="X26" i="5"/>
  <c r="T26" i="5"/>
  <c r="T56" i="5" s="1"/>
  <c r="T86" i="5" s="1"/>
  <c r="P26" i="5"/>
  <c r="J26" i="5"/>
  <c r="H26" i="5"/>
  <c r="AD25" i="5"/>
  <c r="AB25" i="5"/>
  <c r="Z25" i="5"/>
  <c r="Z55" i="5" s="1"/>
  <c r="Z85" i="5" s="1"/>
  <c r="X25" i="5"/>
  <c r="X55" i="5" s="1"/>
  <c r="X85" i="5" s="1"/>
  <c r="V25" i="5"/>
  <c r="T25" i="5"/>
  <c r="R25" i="5"/>
  <c r="R55" i="5" s="1"/>
  <c r="R85" i="5" s="1"/>
  <c r="P25" i="5"/>
  <c r="P55" i="5" s="1"/>
  <c r="P85" i="5" s="1"/>
  <c r="N25" i="5"/>
  <c r="L25" i="5"/>
  <c r="J25" i="5"/>
  <c r="J55" i="5" s="1"/>
  <c r="J85" i="5" s="1"/>
  <c r="H25" i="5"/>
  <c r="H55" i="5" s="1"/>
  <c r="H85" i="5" s="1"/>
  <c r="AD20" i="5"/>
  <c r="AD50" i="5" s="1"/>
  <c r="AD80" i="5" s="1"/>
  <c r="AB20" i="5"/>
  <c r="Z20" i="5"/>
  <c r="X20" i="5"/>
  <c r="V20" i="5"/>
  <c r="V50" i="5" s="1"/>
  <c r="V80" i="5" s="1"/>
  <c r="T20" i="5"/>
  <c r="R20" i="5"/>
  <c r="P20" i="5"/>
  <c r="N20" i="5"/>
  <c r="N50" i="5" s="1"/>
  <c r="N80" i="5" s="1"/>
  <c r="L20" i="5"/>
  <c r="L12" i="5" s="1"/>
  <c r="J20" i="5"/>
  <c r="H20" i="5"/>
  <c r="AI20" i="5" s="1"/>
  <c r="AD19" i="5"/>
  <c r="AB19" i="5"/>
  <c r="AB17" i="5" s="1"/>
  <c r="Z19" i="5"/>
  <c r="X19" i="5"/>
  <c r="V19" i="5"/>
  <c r="V17" i="5" s="1"/>
  <c r="T19" i="5"/>
  <c r="T17" i="5" s="1"/>
  <c r="R19" i="5"/>
  <c r="R49" i="5" s="1"/>
  <c r="R79" i="5" s="1"/>
  <c r="P19" i="5"/>
  <c r="P17" i="5" s="1"/>
  <c r="N19" i="5"/>
  <c r="L19" i="5"/>
  <c r="J19" i="5"/>
  <c r="J49" i="5" s="1"/>
  <c r="J79" i="5" s="1"/>
  <c r="H19" i="5"/>
  <c r="AD18" i="5"/>
  <c r="AD48" i="5" s="1"/>
  <c r="AD78" i="5" s="1"/>
  <c r="AB18" i="5"/>
  <c r="Z18" i="5"/>
  <c r="X18" i="5"/>
  <c r="V18" i="5"/>
  <c r="V48" i="5" s="1"/>
  <c r="V78" i="5" s="1"/>
  <c r="T18" i="5"/>
  <c r="R18" i="5"/>
  <c r="P18" i="5"/>
  <c r="N18" i="5"/>
  <c r="N48" i="5" s="1"/>
  <c r="N78" i="5" s="1"/>
  <c r="L18" i="5"/>
  <c r="J18" i="5"/>
  <c r="J48" i="5" s="1"/>
  <c r="J78" i="5" s="1"/>
  <c r="H18" i="5"/>
  <c r="AD17" i="5"/>
  <c r="R17" i="5"/>
  <c r="J17" i="5"/>
  <c r="H17" i="5"/>
  <c r="H21" i="5" s="1"/>
  <c r="AD13" i="5"/>
  <c r="AB13" i="5"/>
  <c r="Z13" i="5"/>
  <c r="Z43" i="5" s="1"/>
  <c r="Z73" i="5" s="1"/>
  <c r="X13" i="5"/>
  <c r="X12" i="5" s="1"/>
  <c r="V13" i="5"/>
  <c r="T13" i="5"/>
  <c r="R13" i="5"/>
  <c r="R43" i="5" s="1"/>
  <c r="R73" i="5" s="1"/>
  <c r="P13" i="5"/>
  <c r="N13" i="5"/>
  <c r="L13" i="5"/>
  <c r="J13" i="5"/>
  <c r="H13" i="5"/>
  <c r="AD12" i="5"/>
  <c r="AD42" i="5" s="1"/>
  <c r="AD72" i="5" s="1"/>
  <c r="P12" i="5"/>
  <c r="N12" i="5"/>
  <c r="N42" i="5" s="1"/>
  <c r="N72" i="5" s="1"/>
  <c r="J12" i="5"/>
  <c r="N10" i="5"/>
  <c r="AD9" i="5"/>
  <c r="AB9" i="5"/>
  <c r="Z9" i="5"/>
  <c r="X9" i="5"/>
  <c r="V9" i="5"/>
  <c r="V39" i="5" s="1"/>
  <c r="V69" i="5" s="1"/>
  <c r="T9" i="5"/>
  <c r="R9" i="5"/>
  <c r="P9" i="5"/>
  <c r="N9" i="5"/>
  <c r="N39" i="5" s="1"/>
  <c r="N69" i="5" s="1"/>
  <c r="L9" i="5"/>
  <c r="J9" i="5"/>
  <c r="H9" i="5"/>
  <c r="AD8" i="5"/>
  <c r="AB8" i="5"/>
  <c r="Z8" i="5"/>
  <c r="Z38" i="5" s="1"/>
  <c r="Z68" i="5" s="1"/>
  <c r="X8" i="5"/>
  <c r="V8" i="5"/>
  <c r="T8" i="5"/>
  <c r="R8" i="5"/>
  <c r="P8" i="5"/>
  <c r="N8" i="5"/>
  <c r="L8" i="5"/>
  <c r="L10" i="5" s="1"/>
  <c r="J8" i="5"/>
  <c r="J10" i="5" s="1"/>
  <c r="H8" i="5"/>
  <c r="AI7" i="5"/>
  <c r="AG7" i="5"/>
  <c r="AD7" i="5"/>
  <c r="AB7" i="5"/>
  <c r="Z7" i="5"/>
  <c r="X7" i="5"/>
  <c r="V7" i="5"/>
  <c r="T7" i="5"/>
  <c r="R7" i="5"/>
  <c r="P7" i="5"/>
  <c r="N7" i="5"/>
  <c r="L7" i="5"/>
  <c r="J7" i="5"/>
  <c r="H7" i="5"/>
  <c r="AI6" i="5"/>
  <c r="AG6" i="5"/>
  <c r="AD6" i="5"/>
  <c r="AB6" i="5"/>
  <c r="Z6" i="5"/>
  <c r="X6" i="5"/>
  <c r="V6" i="5"/>
  <c r="T6" i="5"/>
  <c r="R6" i="5"/>
  <c r="P6" i="5"/>
  <c r="N6" i="5"/>
  <c r="L6" i="5"/>
  <c r="J6" i="5"/>
  <c r="H6" i="5"/>
  <c r="AD71" i="4"/>
  <c r="AB71" i="4"/>
  <c r="Z71" i="4"/>
  <c r="X71" i="4"/>
  <c r="V71" i="4"/>
  <c r="T71" i="4"/>
  <c r="R71" i="4"/>
  <c r="P71" i="4"/>
  <c r="N71" i="4"/>
  <c r="L71" i="4"/>
  <c r="J71" i="4"/>
  <c r="H71" i="4"/>
  <c r="AD69" i="4"/>
  <c r="AB69" i="4"/>
  <c r="Z69" i="4"/>
  <c r="X69" i="4"/>
  <c r="V69" i="4"/>
  <c r="T69" i="4"/>
  <c r="R69" i="4"/>
  <c r="P69" i="4"/>
  <c r="N69" i="4"/>
  <c r="L69" i="4"/>
  <c r="J69" i="4"/>
  <c r="H69" i="4"/>
  <c r="AD67" i="4"/>
  <c r="AB67" i="4"/>
  <c r="Z67" i="4"/>
  <c r="X67" i="4"/>
  <c r="V67" i="4"/>
  <c r="T67" i="4"/>
  <c r="R67" i="4"/>
  <c r="P67" i="4"/>
  <c r="N67" i="4"/>
  <c r="L67" i="4"/>
  <c r="J67" i="4"/>
  <c r="H67" i="4"/>
  <c r="AD64" i="4"/>
  <c r="AB64" i="4"/>
  <c r="Z64" i="4"/>
  <c r="X64" i="4"/>
  <c r="V64" i="4"/>
  <c r="T64" i="4"/>
  <c r="R64" i="4"/>
  <c r="P64" i="4"/>
  <c r="N64" i="4"/>
  <c r="L64" i="4"/>
  <c r="J64" i="4"/>
  <c r="H64" i="4"/>
  <c r="AD62" i="4"/>
  <c r="AB62" i="4"/>
  <c r="Z62" i="4"/>
  <c r="X62" i="4"/>
  <c r="V62" i="4"/>
  <c r="T62" i="4"/>
  <c r="R62" i="4"/>
  <c r="P62" i="4"/>
  <c r="N62" i="4"/>
  <c r="L62" i="4"/>
  <c r="J62" i="4"/>
  <c r="H62" i="4"/>
  <c r="AD58" i="4"/>
  <c r="AD88" i="4" s="1"/>
  <c r="AB58" i="4"/>
  <c r="AB88" i="4" s="1"/>
  <c r="Z58" i="4"/>
  <c r="Z88" i="4" s="1"/>
  <c r="X58" i="4"/>
  <c r="X88" i="4" s="1"/>
  <c r="V58" i="4"/>
  <c r="V88" i="4" s="1"/>
  <c r="T58" i="4"/>
  <c r="T88" i="4" s="1"/>
  <c r="R58" i="4"/>
  <c r="R88" i="4" s="1"/>
  <c r="P58" i="4"/>
  <c r="P88" i="4" s="1"/>
  <c r="N58" i="4"/>
  <c r="N88" i="4" s="1"/>
  <c r="L58" i="4"/>
  <c r="L88" i="4" s="1"/>
  <c r="J58" i="4"/>
  <c r="J88" i="4" s="1"/>
  <c r="H58" i="4"/>
  <c r="H88" i="4" s="1"/>
  <c r="AD56" i="4"/>
  <c r="AD86" i="4" s="1"/>
  <c r="AB56" i="4"/>
  <c r="AB86" i="4" s="1"/>
  <c r="Z56" i="4"/>
  <c r="Z86" i="4" s="1"/>
  <c r="X56" i="4"/>
  <c r="X86" i="4" s="1"/>
  <c r="V56" i="4"/>
  <c r="V86" i="4" s="1"/>
  <c r="T56" i="4"/>
  <c r="T86" i="4" s="1"/>
  <c r="R56" i="4"/>
  <c r="R86" i="4" s="1"/>
  <c r="P56" i="4"/>
  <c r="P86" i="4" s="1"/>
  <c r="N56" i="4"/>
  <c r="N86" i="4" s="1"/>
  <c r="L56" i="4"/>
  <c r="L86" i="4" s="1"/>
  <c r="J56" i="4"/>
  <c r="J86" i="4" s="1"/>
  <c r="H56" i="4"/>
  <c r="H86" i="4" s="1"/>
  <c r="AD50" i="4"/>
  <c r="AD80" i="4" s="1"/>
  <c r="AB50" i="4"/>
  <c r="AB80" i="4" s="1"/>
  <c r="Z50" i="4"/>
  <c r="Z80" i="4" s="1"/>
  <c r="X50" i="4"/>
  <c r="X80" i="4" s="1"/>
  <c r="V50" i="4"/>
  <c r="V80" i="4" s="1"/>
  <c r="T50" i="4"/>
  <c r="T80" i="4" s="1"/>
  <c r="R50" i="4"/>
  <c r="R80" i="4" s="1"/>
  <c r="P50" i="4"/>
  <c r="P80" i="4" s="1"/>
  <c r="N50" i="4"/>
  <c r="N80" i="4" s="1"/>
  <c r="L50" i="4"/>
  <c r="L80" i="4" s="1"/>
  <c r="J50" i="4"/>
  <c r="J80" i="4" s="1"/>
  <c r="H50" i="4"/>
  <c r="H80" i="4" s="1"/>
  <c r="AD48" i="4"/>
  <c r="AD78" i="4" s="1"/>
  <c r="AB48" i="4"/>
  <c r="AB78" i="4" s="1"/>
  <c r="Z48" i="4"/>
  <c r="Z78" i="4" s="1"/>
  <c r="X48" i="4"/>
  <c r="X78" i="4" s="1"/>
  <c r="V48" i="4"/>
  <c r="V78" i="4" s="1"/>
  <c r="T48" i="4"/>
  <c r="T78" i="4" s="1"/>
  <c r="R48" i="4"/>
  <c r="R78" i="4" s="1"/>
  <c r="P48" i="4"/>
  <c r="P78" i="4" s="1"/>
  <c r="N48" i="4"/>
  <c r="N78" i="4" s="1"/>
  <c r="L48" i="4"/>
  <c r="L78" i="4" s="1"/>
  <c r="J48" i="4"/>
  <c r="J78" i="4" s="1"/>
  <c r="H48" i="4"/>
  <c r="H78" i="4" s="1"/>
  <c r="AD45" i="4"/>
  <c r="AD75" i="4" s="1"/>
  <c r="AB45" i="4"/>
  <c r="AB75" i="4" s="1"/>
  <c r="Z45" i="4"/>
  <c r="Z75" i="4" s="1"/>
  <c r="X45" i="4"/>
  <c r="X75" i="4" s="1"/>
  <c r="V45" i="4"/>
  <c r="V75" i="4" s="1"/>
  <c r="T45" i="4"/>
  <c r="T75" i="4" s="1"/>
  <c r="R45" i="4"/>
  <c r="R75" i="4" s="1"/>
  <c r="P45" i="4"/>
  <c r="P75" i="4" s="1"/>
  <c r="N45" i="4"/>
  <c r="N75" i="4" s="1"/>
  <c r="L45" i="4"/>
  <c r="L75" i="4" s="1"/>
  <c r="J45" i="4"/>
  <c r="J75" i="4" s="1"/>
  <c r="H45" i="4"/>
  <c r="H75" i="4" s="1"/>
  <c r="AM33" i="4"/>
  <c r="AL30" i="4"/>
  <c r="AL24" i="4"/>
  <c r="AM22" i="4"/>
  <c r="AD22" i="4"/>
  <c r="AD52" i="4" s="1"/>
  <c r="AD82" i="4" s="1"/>
  <c r="AO19" i="4"/>
  <c r="AO17" i="4"/>
  <c r="AI11" i="4"/>
  <c r="AG11" i="4"/>
  <c r="AD11" i="4"/>
  <c r="AB11" i="4"/>
  <c r="Z11" i="4"/>
  <c r="X11" i="4"/>
  <c r="V11" i="4"/>
  <c r="T11" i="4"/>
  <c r="R11" i="4"/>
  <c r="P11" i="4"/>
  <c r="N11" i="4"/>
  <c r="L11" i="4"/>
  <c r="J11" i="4"/>
  <c r="H11" i="4"/>
  <c r="AI10" i="4"/>
  <c r="AG10" i="4"/>
  <c r="AD10" i="4"/>
  <c r="AB10" i="4"/>
  <c r="Z10" i="4"/>
  <c r="X10" i="4"/>
  <c r="V10" i="4"/>
  <c r="T10" i="4"/>
  <c r="R10" i="4"/>
  <c r="P10" i="4"/>
  <c r="N10" i="4"/>
  <c r="L10" i="4"/>
  <c r="J10" i="4"/>
  <c r="H10" i="4"/>
  <c r="AD5" i="4"/>
  <c r="AD23" i="4" s="1"/>
  <c r="D34" i="3"/>
  <c r="D33" i="3"/>
  <c r="P33" i="3" s="1"/>
  <c r="L30" i="3"/>
  <c r="L38" i="3" s="1"/>
  <c r="N28" i="3"/>
  <c r="D28" i="3"/>
  <c r="N27" i="3" s="1"/>
  <c r="L19" i="3"/>
  <c r="D16" i="3"/>
  <c r="N16" i="3" s="1"/>
  <c r="L14" i="3"/>
  <c r="D12" i="3"/>
  <c r="P12" i="3" s="1"/>
  <c r="F8" i="3"/>
  <c r="R8" i="3" s="1"/>
  <c r="P7" i="3"/>
  <c r="N7" i="3"/>
  <c r="F7" i="3"/>
  <c r="B3" i="3"/>
  <c r="F1" i="3"/>
  <c r="D40" i="3" s="1"/>
  <c r="AG47" i="8"/>
  <c r="AG22" i="8"/>
  <c r="AG20" i="8"/>
  <c r="AG31" i="8"/>
  <c r="AG24" i="8"/>
  <c r="AG23" i="8"/>
  <c r="AG39" i="8"/>
  <c r="AG9" i="8"/>
  <c r="AG13" i="8"/>
  <c r="AG8" i="8"/>
  <c r="AG21" i="8"/>
  <c r="AG32" i="8"/>
  <c r="AG30" i="8"/>
  <c r="AG43" i="8"/>
  <c r="AG37" i="8"/>
  <c r="AG14" i="8"/>
  <c r="AG12" i="8"/>
  <c r="O20" i="13" l="1"/>
  <c r="F9" i="3"/>
  <c r="R9" i="3" s="1"/>
  <c r="F12" i="3"/>
  <c r="R12" i="3" s="1"/>
  <c r="F16" i="3"/>
  <c r="R16" i="3" s="1"/>
  <c r="F22" i="3"/>
  <c r="D25" i="3"/>
  <c r="F28" i="3"/>
  <c r="R28" i="3" s="1"/>
  <c r="F33" i="3"/>
  <c r="R33" i="3" s="1"/>
  <c r="F34" i="3"/>
  <c r="R34" i="3" s="1"/>
  <c r="Z10" i="5"/>
  <c r="AI13" i="5"/>
  <c r="D11" i="3"/>
  <c r="P11" i="3" s="1"/>
  <c r="D17" i="3"/>
  <c r="D24" i="3"/>
  <c r="F25" i="3"/>
  <c r="R25" i="3" s="1"/>
  <c r="D26" i="3"/>
  <c r="D27" i="3"/>
  <c r="P27" i="3" s="1"/>
  <c r="F40" i="3"/>
  <c r="J40" i="3" s="1"/>
  <c r="D7" i="3"/>
  <c r="R7" i="3" s="1"/>
  <c r="D8" i="3"/>
  <c r="P8" i="3" s="1"/>
  <c r="F17" i="3"/>
  <c r="F26" i="3"/>
  <c r="R26" i="3" s="1"/>
  <c r="F27" i="3"/>
  <c r="R27" i="3" s="1"/>
  <c r="Z12" i="5"/>
  <c r="AA12" i="5" s="1"/>
  <c r="K19" i="5"/>
  <c r="P14" i="6"/>
  <c r="P15" i="6"/>
  <c r="M14" i="7"/>
  <c r="P16" i="11"/>
  <c r="W35" i="11"/>
  <c r="K16" i="11"/>
  <c r="AE35" i="11"/>
  <c r="T35" i="11"/>
  <c r="T36" i="11" s="1"/>
  <c r="O17" i="13"/>
  <c r="M15" i="7"/>
  <c r="B11" i="10"/>
  <c r="B15" i="10"/>
  <c r="I9" i="11"/>
  <c r="I16" i="11" s="1"/>
  <c r="D16" i="11"/>
  <c r="D17" i="11" s="1"/>
  <c r="X35" i="11"/>
  <c r="L16" i="11"/>
  <c r="AF35" i="11"/>
  <c r="F11" i="12"/>
  <c r="G21" i="12"/>
  <c r="F31" i="12"/>
  <c r="L8" i="13"/>
  <c r="O8" i="13" s="1"/>
  <c r="L9" i="13"/>
  <c r="L10" i="13"/>
  <c r="O15" i="13"/>
  <c r="O16" i="13"/>
  <c r="O22" i="13"/>
  <c r="H16" i="11"/>
  <c r="AB35" i="11"/>
  <c r="F15" i="12"/>
  <c r="F23" i="12"/>
  <c r="L6" i="13"/>
  <c r="K9" i="13"/>
  <c r="O9" i="13" s="1"/>
  <c r="O14" i="13"/>
  <c r="O19" i="13"/>
  <c r="L22" i="13"/>
  <c r="M9" i="11"/>
  <c r="M16" i="11" s="1"/>
  <c r="F19" i="12"/>
  <c r="F27" i="12"/>
  <c r="O13" i="13"/>
  <c r="O18" i="13"/>
  <c r="O10" i="13"/>
  <c r="I7" i="13"/>
  <c r="L7" i="13" s="1"/>
  <c r="L25" i="13" s="1"/>
  <c r="E49" i="13" s="1"/>
  <c r="E25" i="13"/>
  <c r="C48" i="13"/>
  <c r="D48" i="13" s="1"/>
  <c r="E48" i="13" s="1"/>
  <c r="K6" i="13"/>
  <c r="K7" i="13"/>
  <c r="G25" i="13"/>
  <c r="N25" i="13" s="1"/>
  <c r="I20" i="12"/>
  <c r="G16" i="12"/>
  <c r="B19" i="12"/>
  <c r="I19" i="12" s="1"/>
  <c r="B11" i="12"/>
  <c r="I11" i="12" s="1"/>
  <c r="G15" i="12"/>
  <c r="B18" i="12"/>
  <c r="F22" i="12"/>
  <c r="G23" i="12"/>
  <c r="B27" i="12"/>
  <c r="B29" i="12"/>
  <c r="I29" i="12" s="1"/>
  <c r="B31" i="12"/>
  <c r="I31" i="12" s="1"/>
  <c r="B16" i="12"/>
  <c r="G24" i="12"/>
  <c r="G13" i="12"/>
  <c r="B17" i="12"/>
  <c r="F21" i="12"/>
  <c r="G22" i="12"/>
  <c r="B25" i="12"/>
  <c r="D1" i="12"/>
  <c r="B10" i="12"/>
  <c r="F18" i="12"/>
  <c r="G19" i="12"/>
  <c r="B22" i="12"/>
  <c r="B28" i="12"/>
  <c r="B30" i="12"/>
  <c r="B32" i="12"/>
  <c r="I32" i="12" s="1"/>
  <c r="G20" i="12"/>
  <c r="B23" i="12"/>
  <c r="I23" i="12" s="1"/>
  <c r="E1" i="12"/>
  <c r="F17" i="12"/>
  <c r="G18" i="12"/>
  <c r="B21" i="12"/>
  <c r="F25" i="12"/>
  <c r="G34" i="12"/>
  <c r="B24" i="12"/>
  <c r="C1" i="12"/>
  <c r="B15" i="12"/>
  <c r="F10" i="12"/>
  <c r="F16" i="12"/>
  <c r="I16" i="12" s="1"/>
  <c r="G17" i="12"/>
  <c r="F24" i="12"/>
  <c r="F28" i="12"/>
  <c r="F30" i="12"/>
  <c r="J16" i="11"/>
  <c r="W38" i="11"/>
  <c r="F12" i="11"/>
  <c r="F17" i="11" s="1"/>
  <c r="O16" i="11"/>
  <c r="G16" i="11"/>
  <c r="N16" i="11"/>
  <c r="W36" i="11"/>
  <c r="AA35" i="11"/>
  <c r="V35" i="11"/>
  <c r="V36" i="11" s="1"/>
  <c r="AD35" i="11"/>
  <c r="D1" i="10"/>
  <c r="C17" i="10"/>
  <c r="C15" i="10"/>
  <c r="C14" i="10"/>
  <c r="C13" i="10"/>
  <c r="C12" i="10"/>
  <c r="C11" i="10"/>
  <c r="I1" i="10"/>
  <c r="H11" i="10"/>
  <c r="H12" i="10"/>
  <c r="H13" i="10"/>
  <c r="H14" i="10"/>
  <c r="L44" i="6"/>
  <c r="L40" i="6"/>
  <c r="L39" i="6"/>
  <c r="L35" i="6"/>
  <c r="L34" i="6"/>
  <c r="L33" i="6"/>
  <c r="L28" i="6"/>
  <c r="L27" i="6"/>
  <c r="L26" i="6"/>
  <c r="L25" i="6"/>
  <c r="L21" i="6"/>
  <c r="L20" i="6"/>
  <c r="L17" i="6"/>
  <c r="L16" i="6"/>
  <c r="H1" i="6"/>
  <c r="J16" i="6"/>
  <c r="J17" i="6"/>
  <c r="J20" i="6"/>
  <c r="J21" i="6"/>
  <c r="J25" i="6"/>
  <c r="J26" i="6"/>
  <c r="J27" i="6"/>
  <c r="J28" i="6"/>
  <c r="J33" i="6"/>
  <c r="J34" i="6"/>
  <c r="J35" i="6"/>
  <c r="J39" i="6"/>
  <c r="J40" i="6"/>
  <c r="J44" i="6"/>
  <c r="O15" i="6"/>
  <c r="M12" i="5"/>
  <c r="L42" i="5"/>
  <c r="L72" i="5" s="1"/>
  <c r="Z49" i="5"/>
  <c r="Z79" i="5" s="1"/>
  <c r="Z17" i="5"/>
  <c r="AA19" i="5"/>
  <c r="K27" i="5"/>
  <c r="J40" i="5"/>
  <c r="J70" i="5" s="1"/>
  <c r="K10" i="5"/>
  <c r="J15" i="5"/>
  <c r="K25" i="5"/>
  <c r="AI18" i="5"/>
  <c r="AD39" i="5"/>
  <c r="AD69" i="5" s="1"/>
  <c r="V21" i="5"/>
  <c r="P39" i="5"/>
  <c r="P69" i="5" s="1"/>
  <c r="Q9" i="5"/>
  <c r="P10" i="5"/>
  <c r="Q17" i="5" s="1"/>
  <c r="M10" i="5"/>
  <c r="L40" i="5"/>
  <c r="L70" i="5" s="1"/>
  <c r="L15" i="5"/>
  <c r="P47" i="5"/>
  <c r="P77" i="5" s="1"/>
  <c r="P21" i="5"/>
  <c r="AA18" i="5"/>
  <c r="Z48" i="5"/>
  <c r="Z78" i="5" s="1"/>
  <c r="H50" i="5"/>
  <c r="I20" i="5"/>
  <c r="AD38" i="5"/>
  <c r="AD68" i="5" s="1"/>
  <c r="AE8" i="5"/>
  <c r="AD10" i="5"/>
  <c r="AE25" i="5" s="1"/>
  <c r="N40" i="5"/>
  <c r="N70" i="5" s="1"/>
  <c r="O10" i="5"/>
  <c r="N15" i="5"/>
  <c r="O20" i="5"/>
  <c r="R47" i="5"/>
  <c r="R77" i="5" s="1"/>
  <c r="R21" i="5"/>
  <c r="X42" i="5"/>
  <c r="X72" i="5" s="1"/>
  <c r="Y12" i="5"/>
  <c r="AB48" i="5"/>
  <c r="AB78" i="5" s="1"/>
  <c r="K20" i="5"/>
  <c r="J50" i="5"/>
  <c r="J80" i="5" s="1"/>
  <c r="R38" i="5"/>
  <c r="R68" i="5" s="1"/>
  <c r="R10" i="5"/>
  <c r="S27" i="5" s="1"/>
  <c r="Z40" i="5"/>
  <c r="Z70" i="5" s="1"/>
  <c r="AA25" i="5"/>
  <c r="Z15" i="5"/>
  <c r="T43" i="5"/>
  <c r="T73" i="5" s="1"/>
  <c r="U13" i="5"/>
  <c r="T12" i="5"/>
  <c r="O18" i="5"/>
  <c r="S8" i="5"/>
  <c r="AA10" i="5"/>
  <c r="V43" i="5"/>
  <c r="V73" i="5" s="1"/>
  <c r="W13" i="5"/>
  <c r="V12" i="5"/>
  <c r="H43" i="5"/>
  <c r="I13" i="5"/>
  <c r="H12" i="5"/>
  <c r="AB47" i="5"/>
  <c r="AB77" i="5" s="1"/>
  <c r="AB21" i="5"/>
  <c r="X49" i="5"/>
  <c r="X79" i="5" s="1"/>
  <c r="X17" i="5"/>
  <c r="R57" i="5"/>
  <c r="R87" i="5" s="1"/>
  <c r="R26" i="5"/>
  <c r="AD47" i="5"/>
  <c r="AD77" i="5" s="1"/>
  <c r="AE17" i="5"/>
  <c r="AD21" i="5"/>
  <c r="AB39" i="5"/>
  <c r="AB69" i="5" s="1"/>
  <c r="AB10" i="5"/>
  <c r="AC19" i="5" s="1"/>
  <c r="L49" i="5"/>
  <c r="L79" i="5" s="1"/>
  <c r="M19" i="5"/>
  <c r="L17" i="5"/>
  <c r="H51" i="5"/>
  <c r="H81" i="5" s="1"/>
  <c r="K12" i="5"/>
  <c r="J42" i="5"/>
  <c r="J72" i="5" s="1"/>
  <c r="J43" i="5"/>
  <c r="J73" i="5" s="1"/>
  <c r="K13" i="5"/>
  <c r="X56" i="5"/>
  <c r="X86" i="5" s="1"/>
  <c r="O9" i="5"/>
  <c r="AB55" i="5"/>
  <c r="AB85" i="5" s="1"/>
  <c r="AC25" i="5"/>
  <c r="N49" i="5"/>
  <c r="N79" i="5" s="1"/>
  <c r="O19" i="5"/>
  <c r="M20" i="5"/>
  <c r="X50" i="5"/>
  <c r="X80" i="5" s="1"/>
  <c r="AD55" i="5"/>
  <c r="AD85" i="5" s="1"/>
  <c r="AA26" i="5"/>
  <c r="Z56" i="5"/>
  <c r="Z86" i="5" s="1"/>
  <c r="L50" i="5"/>
  <c r="L80" i="5" s="1"/>
  <c r="AB49" i="5"/>
  <c r="AB79" i="5" s="1"/>
  <c r="AA20" i="5"/>
  <c r="H57" i="5"/>
  <c r="AI27" i="5"/>
  <c r="Z50" i="5"/>
  <c r="Z80" i="5" s="1"/>
  <c r="AB50" i="5"/>
  <c r="AB80" i="5" s="1"/>
  <c r="U25" i="5"/>
  <c r="H56" i="5"/>
  <c r="I26" i="5"/>
  <c r="P50" i="5"/>
  <c r="P80" i="5" s="1"/>
  <c r="Q20" i="5"/>
  <c r="V55" i="5"/>
  <c r="V85" i="5" s="1"/>
  <c r="K26" i="5"/>
  <c r="T55" i="5"/>
  <c r="T85" i="5" s="1"/>
  <c r="R50" i="5"/>
  <c r="R80" i="5" s="1"/>
  <c r="O26" i="5"/>
  <c r="J38" i="5"/>
  <c r="J68" i="5" s="1"/>
  <c r="Z42" i="5"/>
  <c r="Z72" i="5" s="1"/>
  <c r="H38" i="5"/>
  <c r="T38" i="5"/>
  <c r="T68" i="5" s="1"/>
  <c r="U8" i="5"/>
  <c r="AI8" i="5"/>
  <c r="R39" i="5"/>
  <c r="R69" i="5" s="1"/>
  <c r="S9" i="5"/>
  <c r="X43" i="5"/>
  <c r="X73" i="5" s="1"/>
  <c r="Y13" i="5"/>
  <c r="P48" i="5"/>
  <c r="P78" i="5" s="1"/>
  <c r="V38" i="5"/>
  <c r="V68" i="5" s="1"/>
  <c r="T39" i="5"/>
  <c r="T69" i="5" s="1"/>
  <c r="O12" i="5"/>
  <c r="AB12" i="5"/>
  <c r="L43" i="5"/>
  <c r="L73" i="5" s="1"/>
  <c r="M13" i="5"/>
  <c r="H47" i="5"/>
  <c r="R48" i="5"/>
  <c r="R78" i="5" s="1"/>
  <c r="S18" i="5"/>
  <c r="AE18" i="5"/>
  <c r="P49" i="5"/>
  <c r="P79" i="5" s="1"/>
  <c r="Q19" i="5"/>
  <c r="K8" i="5"/>
  <c r="X38" i="5"/>
  <c r="X68" i="5" s="1"/>
  <c r="H39" i="5"/>
  <c r="I9" i="5"/>
  <c r="AI9" i="5"/>
  <c r="P42" i="5"/>
  <c r="P72" i="5" s="1"/>
  <c r="Q12" i="5"/>
  <c r="N43" i="5"/>
  <c r="N73" i="5" s="1"/>
  <c r="O13" i="5"/>
  <c r="AA13" i="5"/>
  <c r="J47" i="5"/>
  <c r="J77" i="5" s="1"/>
  <c r="J21" i="5"/>
  <c r="V47" i="5"/>
  <c r="V77" i="5" s="1"/>
  <c r="T48" i="5"/>
  <c r="T78" i="5" s="1"/>
  <c r="AD49" i="5"/>
  <c r="AD79" i="5" s="1"/>
  <c r="AE19" i="5"/>
  <c r="L38" i="5"/>
  <c r="L68" i="5" s="1"/>
  <c r="M8" i="5"/>
  <c r="J39" i="5"/>
  <c r="J69" i="5" s="1"/>
  <c r="K9" i="5"/>
  <c r="H10" i="5"/>
  <c r="I8" i="5" s="1"/>
  <c r="T10" i="5"/>
  <c r="U9" i="5" s="1"/>
  <c r="R12" i="5"/>
  <c r="AE12" i="5"/>
  <c r="P43" i="5"/>
  <c r="P73" i="5" s="1"/>
  <c r="Q13" i="5"/>
  <c r="AB43" i="5"/>
  <c r="AB73" i="5" s="1"/>
  <c r="AC13" i="5"/>
  <c r="K17" i="5"/>
  <c r="H48" i="5"/>
  <c r="I18" i="5"/>
  <c r="N38" i="5"/>
  <c r="N68" i="5" s="1"/>
  <c r="O8" i="5"/>
  <c r="AA8" i="5"/>
  <c r="L39" i="5"/>
  <c r="L69" i="5" s="1"/>
  <c r="M9" i="5"/>
  <c r="X39" i="5"/>
  <c r="X69" i="5" s="1"/>
  <c r="V10" i="5"/>
  <c r="W8" i="5" s="1"/>
  <c r="AD43" i="5"/>
  <c r="AD73" i="5" s="1"/>
  <c r="AE13" i="5"/>
  <c r="K18" i="5"/>
  <c r="W18" i="5"/>
  <c r="H49" i="5"/>
  <c r="I19" i="5"/>
  <c r="T49" i="5"/>
  <c r="T79" i="5" s="1"/>
  <c r="U19" i="5"/>
  <c r="AI19" i="5"/>
  <c r="P38" i="5"/>
  <c r="P68" i="5" s="1"/>
  <c r="AB38" i="5"/>
  <c r="AB68" i="5" s="1"/>
  <c r="AC8" i="5"/>
  <c r="Z39" i="5"/>
  <c r="Z69" i="5" s="1"/>
  <c r="AA9" i="5"/>
  <c r="X10" i="5"/>
  <c r="Y18" i="5" s="1"/>
  <c r="S13" i="5"/>
  <c r="N17" i="5"/>
  <c r="AI17" i="5" s="1"/>
  <c r="M18" i="5"/>
  <c r="L48" i="5"/>
  <c r="L78" i="5" s="1"/>
  <c r="X48" i="5"/>
  <c r="X78" i="5" s="1"/>
  <c r="V49" i="5"/>
  <c r="V79" i="5" s="1"/>
  <c r="T50" i="5"/>
  <c r="T80" i="5" s="1"/>
  <c r="U20" i="5"/>
  <c r="T21" i="5"/>
  <c r="L55" i="5"/>
  <c r="M25" i="5"/>
  <c r="P56" i="5"/>
  <c r="P86" i="5" s="1"/>
  <c r="Q26" i="5"/>
  <c r="AB57" i="5"/>
  <c r="AB87" i="5" s="1"/>
  <c r="AB26" i="5"/>
  <c r="N55" i="5"/>
  <c r="N85" i="5" s="1"/>
  <c r="O25" i="5"/>
  <c r="AD57" i="5"/>
  <c r="AD87" i="5" s="1"/>
  <c r="AD26" i="5"/>
  <c r="T47" i="5"/>
  <c r="T77" i="5" s="1"/>
  <c r="AI25" i="5"/>
  <c r="AA27" i="5"/>
  <c r="J56" i="5"/>
  <c r="J86" i="5" s="1"/>
  <c r="V57" i="5"/>
  <c r="V87" i="5" s="1"/>
  <c r="L57" i="5"/>
  <c r="L87" i="5" s="1"/>
  <c r="M27" i="5"/>
  <c r="L26" i="5"/>
  <c r="U26" i="5"/>
  <c r="N57" i="5"/>
  <c r="N87" i="5" s="1"/>
  <c r="O27" i="5"/>
  <c r="I25" i="5"/>
  <c r="V26" i="5"/>
  <c r="T57" i="5"/>
  <c r="T87" i="5" s="1"/>
  <c r="AD53" i="4"/>
  <c r="AD83" i="4" s="1"/>
  <c r="AD12" i="4"/>
  <c r="AD24" i="4"/>
  <c r="AD16" i="4" s="1"/>
  <c r="AD17" i="4"/>
  <c r="AD21" i="4"/>
  <c r="AB5" i="4"/>
  <c r="AD31" i="4"/>
  <c r="AD30" i="4" s="1"/>
  <c r="AD13" i="4"/>
  <c r="AD29" i="4"/>
  <c r="L40" i="3"/>
  <c r="L42" i="3" s="1"/>
  <c r="P40" i="3"/>
  <c r="J8" i="3"/>
  <c r="J17" i="3"/>
  <c r="J7" i="3"/>
  <c r="N8" i="3"/>
  <c r="D10" i="3"/>
  <c r="F11" i="3"/>
  <c r="J12" i="3"/>
  <c r="P16" i="3"/>
  <c r="R17" i="3"/>
  <c r="D23" i="3"/>
  <c r="F24" i="3"/>
  <c r="D32" i="3"/>
  <c r="P34" i="3"/>
  <c r="J16" i="3"/>
  <c r="N17" i="3"/>
  <c r="P28" i="3"/>
  <c r="P17" i="3"/>
  <c r="R22" i="3"/>
  <c r="J34" i="3"/>
  <c r="D9" i="3"/>
  <c r="F10" i="3"/>
  <c r="R10" i="3" s="1"/>
  <c r="D22" i="3"/>
  <c r="F23" i="3"/>
  <c r="R23" i="3" s="1"/>
  <c r="F32" i="3"/>
  <c r="AG27" i="5"/>
  <c r="AG13" i="5"/>
  <c r="AG19" i="5"/>
  <c r="AG9" i="5"/>
  <c r="AG18" i="5"/>
  <c r="AG25" i="5"/>
  <c r="AG20" i="5"/>
  <c r="AG8" i="5"/>
  <c r="P24" i="3" l="1"/>
  <c r="N24" i="3"/>
  <c r="J25" i="3"/>
  <c r="P25" i="3"/>
  <c r="N25" i="3"/>
  <c r="AC17" i="5"/>
  <c r="J33" i="3"/>
  <c r="Q27" i="5"/>
  <c r="AC27" i="5"/>
  <c r="Q18" i="5"/>
  <c r="AC20" i="5"/>
  <c r="AC9" i="5"/>
  <c r="M20" i="6"/>
  <c r="I28" i="12"/>
  <c r="I17" i="12"/>
  <c r="R40" i="3"/>
  <c r="J26" i="3"/>
  <c r="U27" i="5"/>
  <c r="W19" i="5"/>
  <c r="Q8" i="5"/>
  <c r="W17" i="5"/>
  <c r="K21" i="6"/>
  <c r="I24" i="12"/>
  <c r="I27" i="12"/>
  <c r="B17" i="10"/>
  <c r="N26" i="3"/>
  <c r="P26" i="3"/>
  <c r="F48" i="13"/>
  <c r="I25" i="13"/>
  <c r="O7" i="13"/>
  <c r="K25" i="13"/>
  <c r="O6" i="13"/>
  <c r="I22" i="12"/>
  <c r="B13" i="12"/>
  <c r="E23" i="12"/>
  <c r="E15" i="12"/>
  <c r="E18" i="12"/>
  <c r="E24" i="12"/>
  <c r="E16" i="12"/>
  <c r="E34" i="12"/>
  <c r="E25" i="12"/>
  <c r="E17" i="12"/>
  <c r="E20" i="12"/>
  <c r="E19" i="12"/>
  <c r="E21" i="12"/>
  <c r="E22" i="12"/>
  <c r="E13" i="12"/>
  <c r="I18" i="12"/>
  <c r="C21" i="12"/>
  <c r="C16" i="12"/>
  <c r="C22" i="12"/>
  <c r="C13" i="12"/>
  <c r="C24" i="12"/>
  <c r="C25" i="12"/>
  <c r="C17" i="12"/>
  <c r="C23" i="12"/>
  <c r="C15" i="12"/>
  <c r="C34" i="12"/>
  <c r="C18" i="12"/>
  <c r="C19" i="12"/>
  <c r="C20" i="12"/>
  <c r="B34" i="12"/>
  <c r="F13" i="12"/>
  <c r="I13" i="12" s="1"/>
  <c r="F34" i="12"/>
  <c r="I34" i="12" s="1"/>
  <c r="I10" i="12"/>
  <c r="I30" i="12"/>
  <c r="D22" i="12"/>
  <c r="D32" i="12"/>
  <c r="D30" i="12"/>
  <c r="D28" i="12"/>
  <c r="D23" i="12"/>
  <c r="D15" i="12"/>
  <c r="D10" i="12"/>
  <c r="D25" i="12"/>
  <c r="D18" i="12"/>
  <c r="D24" i="12"/>
  <c r="D16" i="12"/>
  <c r="D17" i="12"/>
  <c r="D31" i="12"/>
  <c r="D29" i="12"/>
  <c r="D27" i="12"/>
  <c r="D19" i="12"/>
  <c r="D11" i="12"/>
  <c r="D20" i="12"/>
  <c r="D21" i="12"/>
  <c r="I25" i="12"/>
  <c r="I21" i="12"/>
  <c r="I15" i="12"/>
  <c r="X38" i="11"/>
  <c r="G12" i="11"/>
  <c r="G17" i="11" s="1"/>
  <c r="I17" i="10"/>
  <c r="I15" i="10"/>
  <c r="I14" i="10"/>
  <c r="I13" i="10"/>
  <c r="I12" i="10"/>
  <c r="I11" i="10"/>
  <c r="J1" i="10"/>
  <c r="H17" i="10"/>
  <c r="D15" i="10"/>
  <c r="D14" i="10"/>
  <c r="D13" i="10"/>
  <c r="D12" i="10"/>
  <c r="D11" i="10"/>
  <c r="E1" i="10"/>
  <c r="H44" i="6"/>
  <c r="O44" i="6" s="1"/>
  <c r="H40" i="6"/>
  <c r="H39" i="6"/>
  <c r="H35" i="6"/>
  <c r="H34" i="6"/>
  <c r="H33" i="6"/>
  <c r="H28" i="6"/>
  <c r="H27" i="6"/>
  <c r="H26" i="6"/>
  <c r="H25" i="6"/>
  <c r="H21" i="6"/>
  <c r="H20" i="6"/>
  <c r="H17" i="6"/>
  <c r="H16" i="6"/>
  <c r="P16" i="6"/>
  <c r="L18" i="6"/>
  <c r="M34" i="6" s="1"/>
  <c r="J29" i="6"/>
  <c r="M21" i="6"/>
  <c r="J18" i="6"/>
  <c r="K40" i="6" s="1"/>
  <c r="K20" i="6"/>
  <c r="L29" i="6"/>
  <c r="K26" i="6"/>
  <c r="AG10" i="5"/>
  <c r="AH9" i="5" s="1"/>
  <c r="AH13" i="5"/>
  <c r="AI21" i="5"/>
  <c r="L85" i="5"/>
  <c r="Y20" i="5"/>
  <c r="T51" i="5"/>
  <c r="T81" i="5" s="1"/>
  <c r="U21" i="5"/>
  <c r="H86" i="5"/>
  <c r="Y26" i="5"/>
  <c r="R40" i="5"/>
  <c r="R70" i="5" s="1"/>
  <c r="S10" i="5"/>
  <c r="S25" i="5"/>
  <c r="R15" i="5"/>
  <c r="S17" i="5"/>
  <c r="V51" i="5"/>
  <c r="V81" i="5" s="1"/>
  <c r="W21" i="5"/>
  <c r="AC12" i="5"/>
  <c r="AB42" i="5"/>
  <c r="AB72" i="5" s="1"/>
  <c r="H68" i="5"/>
  <c r="W25" i="5"/>
  <c r="S26" i="5"/>
  <c r="R56" i="5"/>
  <c r="R86" i="5" s="1"/>
  <c r="H42" i="5"/>
  <c r="I12" i="5"/>
  <c r="AI12" i="5"/>
  <c r="AJ12" i="5" s="1"/>
  <c r="R51" i="5"/>
  <c r="R81" i="5" s="1"/>
  <c r="S21" i="5"/>
  <c r="AE9" i="5"/>
  <c r="H69" i="5"/>
  <c r="AB40" i="5"/>
  <c r="AB70" i="5" s="1"/>
  <c r="AC10" i="5"/>
  <c r="AB15" i="5"/>
  <c r="T42" i="5"/>
  <c r="T72" i="5" s="1"/>
  <c r="U12" i="5"/>
  <c r="W20" i="5"/>
  <c r="L45" i="5"/>
  <c r="L75" i="5" s="1"/>
  <c r="M15" i="5"/>
  <c r="L23" i="5"/>
  <c r="V56" i="5"/>
  <c r="V86" i="5" s="1"/>
  <c r="W26" i="5"/>
  <c r="Z47" i="5"/>
  <c r="Z77" i="5" s="1"/>
  <c r="Z21" i="5"/>
  <c r="AA17" i="5"/>
  <c r="R42" i="5"/>
  <c r="R72" i="5" s="1"/>
  <c r="S12" i="5"/>
  <c r="Y8" i="5"/>
  <c r="H73" i="5"/>
  <c r="Y9" i="5"/>
  <c r="Y19" i="5"/>
  <c r="M26" i="5"/>
  <c r="L56" i="5"/>
  <c r="X47" i="5"/>
  <c r="X77" i="5" s="1"/>
  <c r="Y17" i="5"/>
  <c r="X21" i="5"/>
  <c r="AD56" i="5"/>
  <c r="AD86" i="5" s="1"/>
  <c r="AE26" i="5"/>
  <c r="H78" i="5"/>
  <c r="T40" i="5"/>
  <c r="T70" i="5" s="1"/>
  <c r="U10" i="5"/>
  <c r="T15" i="5"/>
  <c r="U17" i="5"/>
  <c r="V42" i="5"/>
  <c r="V72" i="5" s="1"/>
  <c r="W12" i="5"/>
  <c r="N45" i="5"/>
  <c r="N75" i="5" s="1"/>
  <c r="O15" i="5"/>
  <c r="H80" i="5"/>
  <c r="Y27" i="5"/>
  <c r="W27" i="5"/>
  <c r="AE27" i="5"/>
  <c r="H40" i="5"/>
  <c r="H70" i="5" s="1"/>
  <c r="I10" i="5"/>
  <c r="H15" i="5"/>
  <c r="I27" i="5"/>
  <c r="U18" i="5"/>
  <c r="I17" i="5"/>
  <c r="AI10" i="5"/>
  <c r="AJ27" i="5" s="1"/>
  <c r="AJ8" i="5"/>
  <c r="S20" i="5"/>
  <c r="S19" i="5"/>
  <c r="I21" i="5"/>
  <c r="AD51" i="5"/>
  <c r="AD81" i="5" s="1"/>
  <c r="AE21" i="5"/>
  <c r="Z45" i="5"/>
  <c r="Z75" i="5" s="1"/>
  <c r="AA15" i="5"/>
  <c r="AC18" i="5"/>
  <c r="P40" i="5"/>
  <c r="P70" i="5" s="1"/>
  <c r="Q25" i="5"/>
  <c r="Q10" i="5"/>
  <c r="P15" i="5"/>
  <c r="J45" i="5"/>
  <c r="J75" i="5" s="1"/>
  <c r="K15" i="5"/>
  <c r="J23" i="5"/>
  <c r="AB56" i="5"/>
  <c r="AB86" i="5" s="1"/>
  <c r="AC26" i="5"/>
  <c r="J51" i="5"/>
  <c r="J81" i="5" s="1"/>
  <c r="K21" i="5"/>
  <c r="X40" i="5"/>
  <c r="X70" i="5" s="1"/>
  <c r="Y25" i="5"/>
  <c r="Y10" i="5"/>
  <c r="X15" i="5"/>
  <c r="V40" i="5"/>
  <c r="V70" i="5" s="1"/>
  <c r="W10" i="5"/>
  <c r="V15" i="5"/>
  <c r="H79" i="5"/>
  <c r="W9" i="5"/>
  <c r="H77" i="5"/>
  <c r="AI26" i="5"/>
  <c r="AJ26" i="5" s="1"/>
  <c r="H87" i="5"/>
  <c r="AB51" i="5"/>
  <c r="AB81" i="5" s="1"/>
  <c r="AC21" i="5"/>
  <c r="N47" i="5"/>
  <c r="N77" i="5" s="1"/>
  <c r="O17" i="5"/>
  <c r="N21" i="5"/>
  <c r="L47" i="5"/>
  <c r="M17" i="5"/>
  <c r="L21" i="5"/>
  <c r="AD40" i="5"/>
  <c r="AD70" i="5" s="1"/>
  <c r="AE10" i="5"/>
  <c r="AD15" i="5"/>
  <c r="AE20" i="5"/>
  <c r="P51" i="5"/>
  <c r="P81" i="5" s="1"/>
  <c r="Q21" i="5"/>
  <c r="AJ13" i="5"/>
  <c r="AD46" i="4"/>
  <c r="AD76" i="4" s="1"/>
  <c r="AE16" i="4"/>
  <c r="AD51" i="4"/>
  <c r="AD81" i="4" s="1"/>
  <c r="AD25" i="4"/>
  <c r="AD60" i="4"/>
  <c r="AD90" i="4" s="1"/>
  <c r="AD47" i="4"/>
  <c r="AD77" i="4" s="1"/>
  <c r="AE17" i="4"/>
  <c r="AD43" i="4"/>
  <c r="AD73" i="4" s="1"/>
  <c r="AD54" i="4"/>
  <c r="AD84" i="4" s="1"/>
  <c r="AD59" i="4"/>
  <c r="AD89" i="4" s="1"/>
  <c r="AB30" i="4"/>
  <c r="AB22" i="4"/>
  <c r="AB17" i="4"/>
  <c r="AB29" i="4"/>
  <c r="AB13" i="4"/>
  <c r="Z5" i="4"/>
  <c r="AB31" i="4"/>
  <c r="AB23" i="4"/>
  <c r="AB21" i="4" s="1"/>
  <c r="AB24" i="4"/>
  <c r="AB12" i="4"/>
  <c r="AD42" i="4"/>
  <c r="AD72" i="4" s="1"/>
  <c r="AD14" i="4"/>
  <c r="AE31" i="4" s="1"/>
  <c r="AE12" i="4"/>
  <c r="AD61" i="4"/>
  <c r="AD91" i="4" s="1"/>
  <c r="J24" i="3"/>
  <c r="R24" i="3"/>
  <c r="P23" i="3"/>
  <c r="N23" i="3"/>
  <c r="J23" i="3"/>
  <c r="N40" i="3"/>
  <c r="P9" i="3"/>
  <c r="J9" i="3"/>
  <c r="N9" i="3"/>
  <c r="D14" i="3"/>
  <c r="D36" i="3"/>
  <c r="P32" i="3"/>
  <c r="R11" i="3"/>
  <c r="J11" i="3"/>
  <c r="F30" i="3"/>
  <c r="R30" i="3" s="1"/>
  <c r="F14" i="3"/>
  <c r="F36" i="3"/>
  <c r="J32" i="3"/>
  <c r="R32" i="3"/>
  <c r="P22" i="3"/>
  <c r="D30" i="3"/>
  <c r="N22" i="3"/>
  <c r="J22" i="3"/>
  <c r="N10" i="3"/>
  <c r="P10" i="3"/>
  <c r="J10" i="3"/>
  <c r="AG12" i="5"/>
  <c r="AG26" i="5"/>
  <c r="AG17" i="5"/>
  <c r="K16" i="6" l="1"/>
  <c r="K33" i="6"/>
  <c r="K17" i="6"/>
  <c r="K29" i="6"/>
  <c r="AB16" i="4"/>
  <c r="AC16" i="4" s="1"/>
  <c r="K44" i="6"/>
  <c r="D13" i="12"/>
  <c r="D34" i="12" s="1"/>
  <c r="AJ21" i="5"/>
  <c r="K34" i="6"/>
  <c r="K35" i="6"/>
  <c r="K39" i="6"/>
  <c r="D49" i="13"/>
  <c r="O25" i="13"/>
  <c r="H12" i="11"/>
  <c r="H17" i="11" s="1"/>
  <c r="Y38" i="11"/>
  <c r="X36" i="11"/>
  <c r="J15" i="10"/>
  <c r="J14" i="10"/>
  <c r="J13" i="10"/>
  <c r="J12" i="10"/>
  <c r="J11" i="10"/>
  <c r="K1" i="10"/>
  <c r="E17" i="10"/>
  <c r="E15" i="10"/>
  <c r="E14" i="10"/>
  <c r="E13" i="10"/>
  <c r="E12" i="10"/>
  <c r="E11" i="10"/>
  <c r="D17" i="10"/>
  <c r="AH8" i="5"/>
  <c r="AH25" i="5"/>
  <c r="AH27" i="5"/>
  <c r="AH19" i="5"/>
  <c r="AH20" i="5"/>
  <c r="AH18" i="5"/>
  <c r="M28" i="6"/>
  <c r="M25" i="6"/>
  <c r="O16" i="6"/>
  <c r="H18" i="6"/>
  <c r="I25" i="6" s="1"/>
  <c r="P33" i="6"/>
  <c r="O33" i="6"/>
  <c r="M18" i="6"/>
  <c r="L23" i="6"/>
  <c r="P28" i="6"/>
  <c r="O28" i="6"/>
  <c r="I28" i="6"/>
  <c r="M44" i="6"/>
  <c r="M27" i="6"/>
  <c r="P17" i="6"/>
  <c r="O17" i="6"/>
  <c r="P34" i="6"/>
  <c r="O34" i="6"/>
  <c r="M29" i="6"/>
  <c r="M26" i="6"/>
  <c r="M33" i="6"/>
  <c r="P20" i="6"/>
  <c r="O20" i="6"/>
  <c r="I20" i="6"/>
  <c r="P35" i="6"/>
  <c r="O35" i="6"/>
  <c r="I35" i="6"/>
  <c r="P21" i="6"/>
  <c r="I21" i="6"/>
  <c r="O21" i="6"/>
  <c r="P39" i="6"/>
  <c r="O39" i="6"/>
  <c r="K18" i="6"/>
  <c r="J23" i="6"/>
  <c r="M35" i="6"/>
  <c r="M16" i="6"/>
  <c r="P25" i="6"/>
  <c r="O25" i="6"/>
  <c r="H29" i="6"/>
  <c r="P40" i="6"/>
  <c r="O40" i="6"/>
  <c r="M17" i="6"/>
  <c r="P26" i="6"/>
  <c r="O26" i="6"/>
  <c r="P44" i="6"/>
  <c r="M40" i="6"/>
  <c r="M39" i="6"/>
  <c r="K25" i="6"/>
  <c r="K27" i="6"/>
  <c r="P27" i="6"/>
  <c r="O27" i="6"/>
  <c r="K28" i="6"/>
  <c r="AH17" i="5"/>
  <c r="AG21" i="5"/>
  <c r="AH21" i="5" s="1"/>
  <c r="AH26" i="5"/>
  <c r="AH12" i="5"/>
  <c r="P45" i="5"/>
  <c r="P75" i="5" s="1"/>
  <c r="Q15" i="5"/>
  <c r="P23" i="5"/>
  <c r="AJ19" i="5"/>
  <c r="AD45" i="5"/>
  <c r="AD75" i="5" s="1"/>
  <c r="AD23" i="5"/>
  <c r="AE15" i="5"/>
  <c r="V45" i="5"/>
  <c r="V75" i="5" s="1"/>
  <c r="V23" i="5"/>
  <c r="W15" i="5"/>
  <c r="AJ25" i="5"/>
  <c r="S15" i="5"/>
  <c r="R23" i="5"/>
  <c r="R45" i="5"/>
  <c r="R75" i="5" s="1"/>
  <c r="X51" i="5"/>
  <c r="X81" i="5" s="1"/>
  <c r="Y21" i="5"/>
  <c r="L77" i="5"/>
  <c r="N51" i="5"/>
  <c r="N81" i="5" s="1"/>
  <c r="O21" i="5"/>
  <c r="U15" i="5"/>
  <c r="T45" i="5"/>
  <c r="T75" i="5" s="1"/>
  <c r="T23" i="5"/>
  <c r="L86" i="5"/>
  <c r="H45" i="5"/>
  <c r="H75" i="5" s="1"/>
  <c r="I15" i="5"/>
  <c r="H23" i="5"/>
  <c r="N23" i="5"/>
  <c r="Z51" i="5"/>
  <c r="Z81" i="5" s="1"/>
  <c r="AA21" i="5"/>
  <c r="H72" i="5"/>
  <c r="AJ10" i="5"/>
  <c r="AI15" i="5"/>
  <c r="AJ20" i="5"/>
  <c r="L53" i="5"/>
  <c r="L83" i="5" s="1"/>
  <c r="M23" i="5"/>
  <c r="L29" i="5"/>
  <c r="AJ9" i="5"/>
  <c r="L51" i="5"/>
  <c r="L81" i="5" s="1"/>
  <c r="M21" i="5"/>
  <c r="X45" i="5"/>
  <c r="X75" i="5" s="1"/>
  <c r="Y15" i="5"/>
  <c r="X23" i="5"/>
  <c r="J53" i="5"/>
  <c r="J83" i="5" s="1"/>
  <c r="K23" i="5"/>
  <c r="J29" i="5"/>
  <c r="Z23" i="5"/>
  <c r="AJ18" i="5"/>
  <c r="AB45" i="5"/>
  <c r="AB75" i="5" s="1"/>
  <c r="AC15" i="5"/>
  <c r="AB23" i="5"/>
  <c r="AJ17" i="5"/>
  <c r="AH10" i="5"/>
  <c r="AG15" i="5"/>
  <c r="AB51" i="4"/>
  <c r="AB81" i="4" s="1"/>
  <c r="AB25" i="4"/>
  <c r="AB46" i="4"/>
  <c r="AB76" i="4" s="1"/>
  <c r="AB61" i="4"/>
  <c r="AB91" i="4" s="1"/>
  <c r="AD44" i="4"/>
  <c r="AD74" i="4" s="1"/>
  <c r="AE14" i="4"/>
  <c r="AD19" i="4"/>
  <c r="AE23" i="4"/>
  <c r="AE22" i="4"/>
  <c r="Z17" i="4"/>
  <c r="Z24" i="4"/>
  <c r="Z12" i="4"/>
  <c r="Z22" i="4"/>
  <c r="X5" i="4"/>
  <c r="Z29" i="4"/>
  <c r="Z13" i="4"/>
  <c r="Z31" i="4"/>
  <c r="Z23" i="4"/>
  <c r="Z21" i="4" s="1"/>
  <c r="AE29" i="4"/>
  <c r="AE30" i="4"/>
  <c r="AB42" i="4"/>
  <c r="AB72" i="4" s="1"/>
  <c r="AB14" i="4"/>
  <c r="AC13" i="4" s="1"/>
  <c r="AC12" i="4"/>
  <c r="AB43" i="4"/>
  <c r="AB73" i="4" s="1"/>
  <c r="AE24" i="4"/>
  <c r="AE21" i="4"/>
  <c r="AB54" i="4"/>
  <c r="AB84" i="4" s="1"/>
  <c r="AB59" i="4"/>
  <c r="AB89" i="4" s="1"/>
  <c r="AC29" i="4"/>
  <c r="AD55" i="4"/>
  <c r="AD85" i="4" s="1"/>
  <c r="AE25" i="4"/>
  <c r="AB47" i="4"/>
  <c r="AB77" i="4" s="1"/>
  <c r="AC17" i="4"/>
  <c r="AE13" i="4"/>
  <c r="AB53" i="4"/>
  <c r="AB83" i="4" s="1"/>
  <c r="AB52" i="4"/>
  <c r="AB82" i="4" s="1"/>
  <c r="AC22" i="4"/>
  <c r="AB60" i="4"/>
  <c r="AB90" i="4" s="1"/>
  <c r="P30" i="3"/>
  <c r="J30" i="3"/>
  <c r="N30" i="3"/>
  <c r="D38" i="3"/>
  <c r="P36" i="3"/>
  <c r="N36" i="3"/>
  <c r="J36" i="3"/>
  <c r="F38" i="3"/>
  <c r="R36" i="3"/>
  <c r="R14" i="3"/>
  <c r="F19" i="3"/>
  <c r="R19" i="3" s="1"/>
  <c r="P14" i="3"/>
  <c r="N14" i="3"/>
  <c r="J14" i="3"/>
  <c r="D19" i="3"/>
  <c r="AC21" i="4" l="1"/>
  <c r="I44" i="6"/>
  <c r="I34" i="6"/>
  <c r="I33" i="6"/>
  <c r="I16" i="6"/>
  <c r="AC30" i="4"/>
  <c r="AC23" i="4"/>
  <c r="I27" i="6"/>
  <c r="I39" i="6"/>
  <c r="Z16" i="4"/>
  <c r="I26" i="6"/>
  <c r="I40" i="6"/>
  <c r="Z38" i="11"/>
  <c r="I12" i="11"/>
  <c r="I17" i="11" s="1"/>
  <c r="Y36" i="11"/>
  <c r="K17" i="10"/>
  <c r="K15" i="10"/>
  <c r="K14" i="10"/>
  <c r="K13" i="10"/>
  <c r="K12" i="10"/>
  <c r="K11" i="10"/>
  <c r="J17" i="10"/>
  <c r="K23" i="6"/>
  <c r="J31" i="6"/>
  <c r="P18" i="6"/>
  <c r="O18" i="6"/>
  <c r="I18" i="6"/>
  <c r="H23" i="6"/>
  <c r="P29" i="6"/>
  <c r="I29" i="6"/>
  <c r="O29" i="6"/>
  <c r="I17" i="6"/>
  <c r="M23" i="6"/>
  <c r="L31" i="6"/>
  <c r="Z53" i="5"/>
  <c r="Z83" i="5" s="1"/>
  <c r="AA23" i="5"/>
  <c r="Z29" i="5"/>
  <c r="U23" i="5"/>
  <c r="T29" i="5"/>
  <c r="T53" i="5"/>
  <c r="T83" i="5" s="1"/>
  <c r="AD53" i="5"/>
  <c r="AD83" i="5" s="1"/>
  <c r="AD29" i="5"/>
  <c r="AE23" i="5"/>
  <c r="AH15" i="5"/>
  <c r="AG23" i="5"/>
  <c r="N53" i="5"/>
  <c r="N83" i="5" s="1"/>
  <c r="N29" i="5"/>
  <c r="O23" i="5"/>
  <c r="P53" i="5"/>
  <c r="P83" i="5" s="1"/>
  <c r="P29" i="5"/>
  <c r="Q23" i="5"/>
  <c r="AB53" i="5"/>
  <c r="AB83" i="5" s="1"/>
  <c r="AC23" i="5"/>
  <c r="AB29" i="5"/>
  <c r="X53" i="5"/>
  <c r="X83" i="5" s="1"/>
  <c r="Y23" i="5"/>
  <c r="X29" i="5"/>
  <c r="H53" i="5"/>
  <c r="H83" i="5" s="1"/>
  <c r="H29" i="5"/>
  <c r="I23" i="5"/>
  <c r="K29" i="5"/>
  <c r="J59" i="5"/>
  <c r="J31" i="5"/>
  <c r="J32" i="5" s="1"/>
  <c r="R29" i="5"/>
  <c r="S23" i="5"/>
  <c r="R53" i="5"/>
  <c r="R83" i="5" s="1"/>
  <c r="L59" i="5"/>
  <c r="L32" i="5"/>
  <c r="L31" i="5"/>
  <c r="M29" i="5"/>
  <c r="V53" i="5"/>
  <c r="V83" i="5" s="1"/>
  <c r="V29" i="5"/>
  <c r="W23" i="5"/>
  <c r="AJ15" i="5"/>
  <c r="AI23" i="5"/>
  <c r="Z46" i="4"/>
  <c r="Z76" i="4" s="1"/>
  <c r="AA16" i="4"/>
  <c r="Z51" i="4"/>
  <c r="Z81" i="4" s="1"/>
  <c r="Z25" i="4"/>
  <c r="Z47" i="4"/>
  <c r="Z77" i="4" s="1"/>
  <c r="AA17" i="4"/>
  <c r="Z61" i="4"/>
  <c r="Z91" i="4" s="1"/>
  <c r="AD49" i="4"/>
  <c r="AD79" i="4" s="1"/>
  <c r="AD27" i="4"/>
  <c r="AE19" i="4"/>
  <c r="AB44" i="4"/>
  <c r="AB74" i="4" s="1"/>
  <c r="AB19" i="4"/>
  <c r="AC14" i="4"/>
  <c r="Z30" i="4"/>
  <c r="AC31" i="4"/>
  <c r="Z43" i="4"/>
  <c r="Z73" i="4" s="1"/>
  <c r="Z59" i="4"/>
  <c r="Z89" i="4" s="1"/>
  <c r="AC24" i="4"/>
  <c r="X31" i="4"/>
  <c r="X17" i="4"/>
  <c r="V5" i="4"/>
  <c r="X24" i="4"/>
  <c r="X12" i="4"/>
  <c r="X29" i="4"/>
  <c r="X16" i="4"/>
  <c r="X13" i="4"/>
  <c r="X22" i="4"/>
  <c r="X23" i="4"/>
  <c r="X21" i="4" s="1"/>
  <c r="Z54" i="4"/>
  <c r="Z84" i="4" s="1"/>
  <c r="Z52" i="4"/>
  <c r="Z82" i="4" s="1"/>
  <c r="Z14" i="4"/>
  <c r="AA24" i="4" s="1"/>
  <c r="Z42" i="4"/>
  <c r="Z72" i="4" s="1"/>
  <c r="Z53" i="4"/>
  <c r="Z83" i="4" s="1"/>
  <c r="AB55" i="4"/>
  <c r="AB85" i="4" s="1"/>
  <c r="AC25" i="4"/>
  <c r="P19" i="3"/>
  <c r="N19" i="3"/>
  <c r="J19" i="3"/>
  <c r="H19" i="3"/>
  <c r="H33" i="3"/>
  <c r="H7" i="3"/>
  <c r="H34" i="3"/>
  <c r="H25" i="3"/>
  <c r="H12" i="3"/>
  <c r="H11" i="3"/>
  <c r="H27" i="3"/>
  <c r="H17" i="3"/>
  <c r="H8" i="3"/>
  <c r="H16" i="3"/>
  <c r="H24" i="3"/>
  <c r="H26" i="3"/>
  <c r="H28" i="3"/>
  <c r="H40" i="3"/>
  <c r="H22" i="3"/>
  <c r="H10" i="3"/>
  <c r="H23" i="3"/>
  <c r="H9" i="3"/>
  <c r="H32" i="3"/>
  <c r="R38" i="3"/>
  <c r="F42" i="3"/>
  <c r="P38" i="3"/>
  <c r="N38" i="3"/>
  <c r="H38" i="3"/>
  <c r="J38" i="3"/>
  <c r="D42" i="3"/>
  <c r="H14" i="3"/>
  <c r="H36" i="3"/>
  <c r="H30" i="3"/>
  <c r="AA38" i="11" l="1"/>
  <c r="J12" i="11"/>
  <c r="J17" i="11" s="1"/>
  <c r="Z36" i="11"/>
  <c r="P23" i="6"/>
  <c r="O23" i="6"/>
  <c r="H31" i="6"/>
  <c r="I23" i="6"/>
  <c r="M31" i="6"/>
  <c r="L37" i="6"/>
  <c r="K31" i="6"/>
  <c r="J37" i="6"/>
  <c r="K32" i="5"/>
  <c r="J62" i="5"/>
  <c r="AD59" i="5"/>
  <c r="AE29" i="5"/>
  <c r="AD31" i="5"/>
  <c r="AD32" i="5" s="1"/>
  <c r="Y29" i="5"/>
  <c r="X59" i="5"/>
  <c r="X31" i="5"/>
  <c r="L61" i="5"/>
  <c r="M31" i="5"/>
  <c r="U29" i="5"/>
  <c r="T59" i="5"/>
  <c r="T31" i="5"/>
  <c r="T32" i="5" s="1"/>
  <c r="AI29" i="5"/>
  <c r="AJ23" i="5"/>
  <c r="L34" i="5"/>
  <c r="AB59" i="5"/>
  <c r="AB31" i="5"/>
  <c r="AC29" i="5"/>
  <c r="J61" i="5"/>
  <c r="K31" i="5"/>
  <c r="N59" i="5"/>
  <c r="O29" i="5"/>
  <c r="N31" i="5"/>
  <c r="AG29" i="5"/>
  <c r="AH23" i="5"/>
  <c r="AA29" i="5"/>
  <c r="Z59" i="5"/>
  <c r="Z31" i="5"/>
  <c r="Z32" i="5" s="1"/>
  <c r="S29" i="5"/>
  <c r="R31" i="5"/>
  <c r="R59" i="5"/>
  <c r="L62" i="5"/>
  <c r="M32" i="5"/>
  <c r="Q29" i="5"/>
  <c r="P59" i="5"/>
  <c r="P31" i="5"/>
  <c r="J34" i="5"/>
  <c r="V59" i="5"/>
  <c r="W29" i="5"/>
  <c r="V32" i="5"/>
  <c r="V31" i="5"/>
  <c r="V34" i="5" s="1"/>
  <c r="I29" i="5"/>
  <c r="H59" i="5"/>
  <c r="H31" i="5"/>
  <c r="H32" i="5" s="1"/>
  <c r="X46" i="4"/>
  <c r="X76" i="4" s="1"/>
  <c r="Y16" i="4"/>
  <c r="Z60" i="4"/>
  <c r="Z90" i="4" s="1"/>
  <c r="AA30" i="4"/>
  <c r="X61" i="4"/>
  <c r="X91" i="4" s="1"/>
  <c r="X59" i="4"/>
  <c r="X89" i="4" s="1"/>
  <c r="Z44" i="4"/>
  <c r="Z74" i="4" s="1"/>
  <c r="Z19" i="4"/>
  <c r="AA14" i="4"/>
  <c r="X51" i="4"/>
  <c r="X81" i="4" s="1"/>
  <c r="X25" i="4"/>
  <c r="AA23" i="4"/>
  <c r="X42" i="4"/>
  <c r="X72" i="4" s="1"/>
  <c r="X14" i="4"/>
  <c r="Y31" i="4" s="1"/>
  <c r="AB49" i="4"/>
  <c r="AB79" i="4" s="1"/>
  <c r="AC19" i="4"/>
  <c r="AB27" i="4"/>
  <c r="X43" i="4"/>
  <c r="X73" i="4" s="1"/>
  <c r="AA31" i="4"/>
  <c r="X53" i="4"/>
  <c r="X83" i="4" s="1"/>
  <c r="Y23" i="4"/>
  <c r="X54" i="4"/>
  <c r="X84" i="4" s="1"/>
  <c r="AA29" i="4"/>
  <c r="AA21" i="4"/>
  <c r="X30" i="4"/>
  <c r="Z55" i="4"/>
  <c r="Z85" i="4" s="1"/>
  <c r="AA25" i="4"/>
  <c r="X47" i="4"/>
  <c r="X77" i="4" s="1"/>
  <c r="Y17" i="4"/>
  <c r="AA22" i="4"/>
  <c r="AA12" i="4"/>
  <c r="X52" i="4"/>
  <c r="X82" i="4" s="1"/>
  <c r="V31" i="4"/>
  <c r="V30" i="4" s="1"/>
  <c r="V29" i="4"/>
  <c r="V13" i="4"/>
  <c r="V23" i="4"/>
  <c r="V21" i="4"/>
  <c r="V17" i="4"/>
  <c r="V24" i="4"/>
  <c r="V16" i="4" s="1"/>
  <c r="V12" i="4"/>
  <c r="T5" i="4"/>
  <c r="V22" i="4"/>
  <c r="AA13" i="4"/>
  <c r="AD57" i="4"/>
  <c r="AD87" i="4" s="1"/>
  <c r="AE27" i="4"/>
  <c r="AD33" i="4"/>
  <c r="D43" i="3"/>
  <c r="P42" i="3"/>
  <c r="N42" i="3"/>
  <c r="H42" i="3"/>
  <c r="J42" i="3"/>
  <c r="F43" i="3"/>
  <c r="R42" i="3"/>
  <c r="Y24" i="4" l="1"/>
  <c r="Y12" i="4"/>
  <c r="Y21" i="4"/>
  <c r="R32" i="5"/>
  <c r="R34" i="5" s="1"/>
  <c r="AB32" i="5"/>
  <c r="AB34" i="5" s="1"/>
  <c r="K12" i="11"/>
  <c r="K17" i="11" s="1"/>
  <c r="AB38" i="11"/>
  <c r="AA36" i="11"/>
  <c r="M37" i="6"/>
  <c r="L42" i="6"/>
  <c r="M42" i="6" s="1"/>
  <c r="P31" i="6"/>
  <c r="O31" i="6"/>
  <c r="H37" i="6"/>
  <c r="I31" i="6"/>
  <c r="K37" i="6"/>
  <c r="J42" i="6"/>
  <c r="K42" i="6" s="1"/>
  <c r="AD62" i="5"/>
  <c r="AE32" i="5"/>
  <c r="T62" i="5"/>
  <c r="U32" i="5"/>
  <c r="AA32" i="5"/>
  <c r="Z62" i="5"/>
  <c r="H61" i="5"/>
  <c r="I31" i="5"/>
  <c r="AI31" i="5"/>
  <c r="AJ31" i="5" s="1"/>
  <c r="Z34" i="5"/>
  <c r="AD34" i="5"/>
  <c r="H34" i="5"/>
  <c r="K34" i="5"/>
  <c r="J36" i="5"/>
  <c r="J64" i="5"/>
  <c r="M34" i="5"/>
  <c r="L36" i="5"/>
  <c r="L64" i="5"/>
  <c r="AD61" i="5"/>
  <c r="AE31" i="5"/>
  <c r="P61" i="5"/>
  <c r="Q31" i="5"/>
  <c r="AJ29" i="5"/>
  <c r="X61" i="5"/>
  <c r="Y31" i="5"/>
  <c r="S32" i="5"/>
  <c r="R62" i="5"/>
  <c r="W31" i="5"/>
  <c r="V61" i="5"/>
  <c r="P32" i="5"/>
  <c r="S31" i="5"/>
  <c r="R61" i="5"/>
  <c r="AH29" i="5"/>
  <c r="X32" i="5"/>
  <c r="X34" i="5" s="1"/>
  <c r="I32" i="5"/>
  <c r="H62" i="5"/>
  <c r="V62" i="5"/>
  <c r="W32" i="5"/>
  <c r="N61" i="5"/>
  <c r="O31" i="5"/>
  <c r="U31" i="5"/>
  <c r="T61" i="5"/>
  <c r="AB62" i="5"/>
  <c r="AC32" i="5"/>
  <c r="V64" i="5"/>
  <c r="W34" i="5"/>
  <c r="V36" i="5"/>
  <c r="Z61" i="5"/>
  <c r="AA31" i="5"/>
  <c r="N32" i="5"/>
  <c r="AB61" i="5"/>
  <c r="AC31" i="5"/>
  <c r="T34" i="5"/>
  <c r="V46" i="4"/>
  <c r="V76" i="4" s="1"/>
  <c r="W16" i="4"/>
  <c r="V60" i="4"/>
  <c r="V90" i="4" s="1"/>
  <c r="V42" i="4"/>
  <c r="V72" i="4" s="1"/>
  <c r="V14" i="4"/>
  <c r="W12" i="4" s="1"/>
  <c r="AD63" i="4"/>
  <c r="AE33" i="4"/>
  <c r="AD35" i="4"/>
  <c r="AD38" i="4" s="1"/>
  <c r="AD36" i="4"/>
  <c r="V51" i="4"/>
  <c r="V81" i="4" s="1"/>
  <c r="V25" i="4"/>
  <c r="Y14" i="4"/>
  <c r="X44" i="4"/>
  <c r="X74" i="4" s="1"/>
  <c r="X19" i="4"/>
  <c r="V53" i="4"/>
  <c r="V83" i="4" s="1"/>
  <c r="W23" i="4"/>
  <c r="Y29" i="4"/>
  <c r="V47" i="4"/>
  <c r="V77" i="4" s="1"/>
  <c r="W17" i="4"/>
  <c r="Z49" i="4"/>
  <c r="Z79" i="4" s="1"/>
  <c r="Z27" i="4"/>
  <c r="AA19" i="4"/>
  <c r="V43" i="4"/>
  <c r="V73" i="4" s="1"/>
  <c r="W13" i="4"/>
  <c r="Y22" i="4"/>
  <c r="Y30" i="4"/>
  <c r="X60" i="4"/>
  <c r="X90" i="4" s="1"/>
  <c r="Y13" i="4"/>
  <c r="V59" i="4"/>
  <c r="V89" i="4" s="1"/>
  <c r="W29" i="4"/>
  <c r="AB57" i="4"/>
  <c r="AB87" i="4" s="1"/>
  <c r="AB33" i="4"/>
  <c r="AC27" i="4"/>
  <c r="X55" i="4"/>
  <c r="X85" i="4" s="1"/>
  <c r="Y25" i="4"/>
  <c r="V52" i="4"/>
  <c r="V82" i="4" s="1"/>
  <c r="W22" i="4"/>
  <c r="V54" i="4"/>
  <c r="V84" i="4" s="1"/>
  <c r="W24" i="4"/>
  <c r="V61" i="4"/>
  <c r="V91" i="4" s="1"/>
  <c r="W31" i="4"/>
  <c r="T31" i="4"/>
  <c r="T22" i="4"/>
  <c r="T29" i="4"/>
  <c r="T13" i="4"/>
  <c r="T30" i="4"/>
  <c r="T23" i="4"/>
  <c r="R5" i="4"/>
  <c r="T21" i="4"/>
  <c r="T17" i="4"/>
  <c r="T24" i="4"/>
  <c r="T12" i="4"/>
  <c r="AG31" i="5"/>
  <c r="R64" i="5" l="1"/>
  <c r="S34" i="5"/>
  <c r="R36" i="5"/>
  <c r="AB64" i="5"/>
  <c r="AC34" i="5"/>
  <c r="AB36" i="5"/>
  <c r="AC36" i="5" s="1"/>
  <c r="W21" i="4"/>
  <c r="AI32" i="5"/>
  <c r="AJ32" i="5" s="1"/>
  <c r="AC38" i="11"/>
  <c r="L12" i="11"/>
  <c r="L17" i="11" s="1"/>
  <c r="AB36" i="11"/>
  <c r="P37" i="6"/>
  <c r="I37" i="6"/>
  <c r="O37" i="6"/>
  <c r="H42" i="6"/>
  <c r="AH31" i="5"/>
  <c r="X64" i="5"/>
  <c r="X36" i="5"/>
  <c r="Y34" i="5"/>
  <c r="AB66" i="5"/>
  <c r="AE34" i="5"/>
  <c r="AD64" i="5"/>
  <c r="AD36" i="5"/>
  <c r="Z36" i="5"/>
  <c r="AA34" i="5"/>
  <c r="Z64" i="5"/>
  <c r="L66" i="5"/>
  <c r="M36" i="5"/>
  <c r="S36" i="5"/>
  <c r="R66" i="5"/>
  <c r="N62" i="5"/>
  <c r="O32" i="5"/>
  <c r="N34" i="5"/>
  <c r="K36" i="5"/>
  <c r="J66" i="5"/>
  <c r="Y32" i="5"/>
  <c r="X62" i="5"/>
  <c r="H64" i="5"/>
  <c r="H36" i="5"/>
  <c r="I34" i="5"/>
  <c r="V66" i="5"/>
  <c r="W36" i="5"/>
  <c r="T64" i="5"/>
  <c r="U34" i="5"/>
  <c r="T36" i="5"/>
  <c r="Q32" i="5"/>
  <c r="P62" i="5"/>
  <c r="P34" i="5"/>
  <c r="R17" i="4"/>
  <c r="R24" i="4"/>
  <c r="R12" i="4"/>
  <c r="R31" i="4"/>
  <c r="R22" i="4"/>
  <c r="R29" i="4"/>
  <c r="R13" i="4"/>
  <c r="R23" i="4"/>
  <c r="R21" i="4" s="1"/>
  <c r="P5" i="4"/>
  <c r="T53" i="4"/>
  <c r="T83" i="4" s="1"/>
  <c r="U23" i="4"/>
  <c r="V55" i="4"/>
  <c r="V85" i="4" s="1"/>
  <c r="W25" i="4"/>
  <c r="V44" i="4"/>
  <c r="V74" i="4" s="1"/>
  <c r="W14" i="4"/>
  <c r="V19" i="4"/>
  <c r="T60" i="4"/>
  <c r="T90" i="4" s="1"/>
  <c r="U30" i="4"/>
  <c r="T52" i="4"/>
  <c r="T82" i="4" s="1"/>
  <c r="T42" i="4"/>
  <c r="T72" i="4" s="1"/>
  <c r="T14" i="4"/>
  <c r="U13" i="4" s="1"/>
  <c r="U12" i="4"/>
  <c r="T43" i="4"/>
  <c r="T73" i="4" s="1"/>
  <c r="AB63" i="4"/>
  <c r="AC33" i="4"/>
  <c r="AB35" i="4"/>
  <c r="AB36" i="4" s="1"/>
  <c r="AD66" i="4"/>
  <c r="AE36" i="4"/>
  <c r="W30" i="4"/>
  <c r="T51" i="4"/>
  <c r="T81" i="4" s="1"/>
  <c r="T25" i="4"/>
  <c r="T61" i="4"/>
  <c r="T91" i="4" s="1"/>
  <c r="U31" i="4"/>
  <c r="T54" i="4"/>
  <c r="T84" i="4" s="1"/>
  <c r="U24" i="4"/>
  <c r="T16" i="4"/>
  <c r="AD65" i="4"/>
  <c r="AE35" i="4"/>
  <c r="T47" i="4"/>
  <c r="T77" i="4" s="1"/>
  <c r="U17" i="4"/>
  <c r="T59" i="4"/>
  <c r="T89" i="4" s="1"/>
  <c r="U29" i="4"/>
  <c r="X49" i="4"/>
  <c r="X79" i="4" s="1"/>
  <c r="X27" i="4"/>
  <c r="Y19" i="4"/>
  <c r="Z57" i="4"/>
  <c r="Z87" i="4" s="1"/>
  <c r="Z33" i="4"/>
  <c r="AA27" i="4"/>
  <c r="AE38" i="4"/>
  <c r="AD68" i="4"/>
  <c r="AD40" i="4"/>
  <c r="AG32" i="5"/>
  <c r="AI34" i="5" l="1"/>
  <c r="AJ34" i="5" s="1"/>
  <c r="AD38" i="11"/>
  <c r="M12" i="11"/>
  <c r="M17" i="11" s="1"/>
  <c r="AC36" i="11"/>
  <c r="P42" i="6"/>
  <c r="O42" i="6"/>
  <c r="I42" i="6"/>
  <c r="AH32" i="5"/>
  <c r="AG34" i="5"/>
  <c r="AH34" i="5" s="1"/>
  <c r="P64" i="5"/>
  <c r="Q34" i="5"/>
  <c r="P36" i="5"/>
  <c r="Y36" i="5"/>
  <c r="X66" i="5"/>
  <c r="I36" i="5"/>
  <c r="H66" i="5"/>
  <c r="AA36" i="5"/>
  <c r="Z66" i="5"/>
  <c r="AD66" i="5"/>
  <c r="AE36" i="5"/>
  <c r="O34" i="5"/>
  <c r="N64" i="5"/>
  <c r="N36" i="5"/>
  <c r="AI36" i="5" s="1"/>
  <c r="AJ36" i="5" s="1"/>
  <c r="T66" i="5"/>
  <c r="U36" i="5"/>
  <c r="R25" i="4"/>
  <c r="R51" i="4"/>
  <c r="R81" i="4" s="1"/>
  <c r="T55" i="4"/>
  <c r="T85" i="4" s="1"/>
  <c r="U25" i="4"/>
  <c r="T46" i="4"/>
  <c r="T76" i="4" s="1"/>
  <c r="U16" i="4"/>
  <c r="P30" i="4"/>
  <c r="P17" i="4"/>
  <c r="P31" i="4"/>
  <c r="P24" i="4"/>
  <c r="P12" i="4"/>
  <c r="P22" i="4"/>
  <c r="P29" i="4"/>
  <c r="P13" i="4"/>
  <c r="P23" i="4"/>
  <c r="P21" i="4" s="1"/>
  <c r="N5" i="4"/>
  <c r="R61" i="4"/>
  <c r="R91" i="4" s="1"/>
  <c r="X57" i="4"/>
  <c r="X87" i="4" s="1"/>
  <c r="Y27" i="4"/>
  <c r="X33" i="4"/>
  <c r="AD70" i="4"/>
  <c r="AE40" i="4"/>
  <c r="V49" i="4"/>
  <c r="V79" i="4" s="1"/>
  <c r="W19" i="4"/>
  <c r="V27" i="4"/>
  <c r="R53" i="4"/>
  <c r="R83" i="4" s="1"/>
  <c r="R42" i="4"/>
  <c r="R72" i="4" s="1"/>
  <c r="R14" i="4"/>
  <c r="S22" i="4" s="1"/>
  <c r="R47" i="4"/>
  <c r="R77" i="4" s="1"/>
  <c r="S17" i="4"/>
  <c r="R54" i="4"/>
  <c r="R84" i="4" s="1"/>
  <c r="AB66" i="4"/>
  <c r="AC36" i="4"/>
  <c r="T44" i="4"/>
  <c r="T74" i="4" s="1"/>
  <c r="T19" i="4"/>
  <c r="U14" i="4"/>
  <c r="AB65" i="4"/>
  <c r="AC35" i="4"/>
  <c r="R59" i="4"/>
  <c r="R89" i="4" s="1"/>
  <c r="R30" i="4"/>
  <c r="S13" i="4"/>
  <c r="R43" i="4"/>
  <c r="R73" i="4" s="1"/>
  <c r="R16" i="4"/>
  <c r="Z63" i="4"/>
  <c r="AA33" i="4"/>
  <c r="Z35" i="4"/>
  <c r="Z36" i="4" s="1"/>
  <c r="U21" i="4"/>
  <c r="AB38" i="4"/>
  <c r="U22" i="4"/>
  <c r="R52" i="4"/>
  <c r="R82" i="4" s="1"/>
  <c r="S12" i="4" l="1"/>
  <c r="AE38" i="11"/>
  <c r="N12" i="11"/>
  <c r="N17" i="11" s="1"/>
  <c r="AD36" i="11"/>
  <c r="Q36" i="5"/>
  <c r="P66" i="5"/>
  <c r="N66" i="5"/>
  <c r="O36" i="5"/>
  <c r="P51" i="4"/>
  <c r="P81" i="4" s="1"/>
  <c r="P25" i="4"/>
  <c r="P43" i="4"/>
  <c r="P73" i="4" s="1"/>
  <c r="Z65" i="4"/>
  <c r="AA35" i="4"/>
  <c r="S29" i="4"/>
  <c r="S23" i="4"/>
  <c r="Z38" i="4"/>
  <c r="V57" i="4"/>
  <c r="V87" i="4" s="1"/>
  <c r="V33" i="4"/>
  <c r="W27" i="4"/>
  <c r="S31" i="4"/>
  <c r="P52" i="4"/>
  <c r="P82" i="4" s="1"/>
  <c r="T49" i="4"/>
  <c r="T79" i="4" s="1"/>
  <c r="U19" i="4"/>
  <c r="T27" i="4"/>
  <c r="P59" i="4"/>
  <c r="P89" i="4" s="1"/>
  <c r="S24" i="4"/>
  <c r="P42" i="4"/>
  <c r="P72" i="4" s="1"/>
  <c r="P14" i="4"/>
  <c r="Q21" i="4" s="1"/>
  <c r="P53" i="4"/>
  <c r="P83" i="4" s="1"/>
  <c r="P54" i="4"/>
  <c r="P84" i="4" s="1"/>
  <c r="N29" i="4"/>
  <c r="N13" i="4"/>
  <c r="N23" i="4"/>
  <c r="N21" i="4" s="1"/>
  <c r="L5" i="4"/>
  <c r="N17" i="4"/>
  <c r="N31" i="4"/>
  <c r="N30" i="4" s="1"/>
  <c r="N24" i="4"/>
  <c r="N12" i="4"/>
  <c r="N22" i="4"/>
  <c r="R44" i="4"/>
  <c r="R74" i="4" s="1"/>
  <c r="R19" i="4"/>
  <c r="S14" i="4"/>
  <c r="Q31" i="4"/>
  <c r="P61" i="4"/>
  <c r="P91" i="4" s="1"/>
  <c r="R46" i="4"/>
  <c r="R76" i="4" s="1"/>
  <c r="S16" i="4"/>
  <c r="AC38" i="4"/>
  <c r="AB68" i="4"/>
  <c r="AB40" i="4"/>
  <c r="AA36" i="4"/>
  <c r="Z66" i="4"/>
  <c r="Q17" i="4"/>
  <c r="P47" i="4"/>
  <c r="P77" i="4" s="1"/>
  <c r="S21" i="4"/>
  <c r="P60" i="4"/>
  <c r="P90" i="4" s="1"/>
  <c r="Q30" i="4"/>
  <c r="R60" i="4"/>
  <c r="R90" i="4" s="1"/>
  <c r="S30" i="4"/>
  <c r="X63" i="4"/>
  <c r="Y33" i="4"/>
  <c r="X35" i="4"/>
  <c r="P16" i="4"/>
  <c r="R55" i="4"/>
  <c r="R85" i="4" s="1"/>
  <c r="S25" i="4"/>
  <c r="AG36" i="5"/>
  <c r="AF38" i="11" l="1"/>
  <c r="O12" i="11"/>
  <c r="O17" i="11" s="1"/>
  <c r="AE36" i="11"/>
  <c r="AH36" i="5"/>
  <c r="N60" i="4"/>
  <c r="N90" i="4" s="1"/>
  <c r="N51" i="4"/>
  <c r="N81" i="4" s="1"/>
  <c r="N25" i="4"/>
  <c r="X65" i="4"/>
  <c r="Y35" i="4"/>
  <c r="X36" i="4"/>
  <c r="N47" i="4"/>
  <c r="N77" i="4" s="1"/>
  <c r="O17" i="4"/>
  <c r="P44" i="4"/>
  <c r="P74" i="4" s="1"/>
  <c r="Q14" i="4"/>
  <c r="P19" i="4"/>
  <c r="Q22" i="4"/>
  <c r="N52" i="4"/>
  <c r="N82" i="4" s="1"/>
  <c r="AB70" i="4"/>
  <c r="AC40" i="4"/>
  <c r="R27" i="4"/>
  <c r="S19" i="4"/>
  <c r="R49" i="4"/>
  <c r="R79" i="4" s="1"/>
  <c r="P46" i="4"/>
  <c r="P76" i="4" s="1"/>
  <c r="Q16" i="4"/>
  <c r="L22" i="4"/>
  <c r="L17" i="4"/>
  <c r="L29" i="4"/>
  <c r="L13" i="4"/>
  <c r="J5" i="4"/>
  <c r="L23" i="4"/>
  <c r="L21" i="4" s="1"/>
  <c r="L31" i="4"/>
  <c r="L30" i="4" s="1"/>
  <c r="L24" i="4"/>
  <c r="L16" i="4" s="1"/>
  <c r="L12" i="4"/>
  <c r="Q24" i="4"/>
  <c r="Q29" i="4"/>
  <c r="Q13" i="4"/>
  <c r="N53" i="4"/>
  <c r="N83" i="4" s="1"/>
  <c r="V63" i="4"/>
  <c r="W33" i="4"/>
  <c r="V35" i="4"/>
  <c r="N43" i="4"/>
  <c r="N73" i="4" s="1"/>
  <c r="T33" i="4"/>
  <c r="T57" i="4"/>
  <c r="T87" i="4" s="1"/>
  <c r="U27" i="4"/>
  <c r="N42" i="4"/>
  <c r="N72" i="4" s="1"/>
  <c r="N14" i="4"/>
  <c r="O22" i="4" s="1"/>
  <c r="X38" i="4"/>
  <c r="N54" i="4"/>
  <c r="N84" i="4" s="1"/>
  <c r="O24" i="4"/>
  <c r="N16" i="4"/>
  <c r="Q23" i="4"/>
  <c r="AA38" i="4"/>
  <c r="Z68" i="4"/>
  <c r="Z40" i="4"/>
  <c r="Q25" i="4"/>
  <c r="P55" i="4"/>
  <c r="P85" i="4" s="1"/>
  <c r="N61" i="4"/>
  <c r="N91" i="4" s="1"/>
  <c r="O31" i="4"/>
  <c r="N59" i="4"/>
  <c r="N89" i="4" s="1"/>
  <c r="Q12" i="4"/>
  <c r="O29" i="4" l="1"/>
  <c r="O13" i="4"/>
  <c r="O23" i="4"/>
  <c r="O12" i="4"/>
  <c r="P12" i="11"/>
  <c r="P17" i="11" s="1"/>
  <c r="AF36" i="11"/>
  <c r="L46" i="4"/>
  <c r="L76" i="4" s="1"/>
  <c r="M16" i="4"/>
  <c r="L60" i="4"/>
  <c r="L90" i="4" s="1"/>
  <c r="U33" i="4"/>
  <c r="T63" i="4"/>
  <c r="T36" i="4"/>
  <c r="T35" i="4"/>
  <c r="AA40" i="4"/>
  <c r="Z70" i="4"/>
  <c r="W35" i="4"/>
  <c r="V65" i="4"/>
  <c r="L53" i="4"/>
  <c r="L83" i="4" s="1"/>
  <c r="Y36" i="4"/>
  <c r="X66" i="4"/>
  <c r="X68" i="4"/>
  <c r="Y38" i="4"/>
  <c r="X40" i="4"/>
  <c r="N44" i="4"/>
  <c r="N74" i="4" s="1"/>
  <c r="O14" i="4"/>
  <c r="N19" i="4"/>
  <c r="V36" i="4"/>
  <c r="J31" i="4"/>
  <c r="J30" i="4"/>
  <c r="J17" i="4"/>
  <c r="J16" i="4" s="1"/>
  <c r="J24" i="4"/>
  <c r="J12" i="4"/>
  <c r="J22" i="4"/>
  <c r="H5" i="4"/>
  <c r="J29" i="4"/>
  <c r="J13" i="4"/>
  <c r="J23" i="4"/>
  <c r="L43" i="4"/>
  <c r="L73" i="4" s="1"/>
  <c r="L42" i="4"/>
  <c r="L72" i="4" s="1"/>
  <c r="L14" i="4"/>
  <c r="M29" i="4" s="1"/>
  <c r="P27" i="4"/>
  <c r="P49" i="4"/>
  <c r="P79" i="4" s="1"/>
  <c r="Q19" i="4"/>
  <c r="O21" i="4"/>
  <c r="L59" i="4"/>
  <c r="L89" i="4" s="1"/>
  <c r="N55" i="4"/>
  <c r="N85" i="4" s="1"/>
  <c r="O25" i="4"/>
  <c r="L61" i="4"/>
  <c r="L91" i="4" s="1"/>
  <c r="R33" i="4"/>
  <c r="R57" i="4"/>
  <c r="R87" i="4" s="1"/>
  <c r="S27" i="4"/>
  <c r="L54" i="4"/>
  <c r="L84" i="4" s="1"/>
  <c r="L51" i="4"/>
  <c r="L81" i="4" s="1"/>
  <c r="L25" i="4"/>
  <c r="L47" i="4"/>
  <c r="L77" i="4" s="1"/>
  <c r="M17" i="4"/>
  <c r="O30" i="4"/>
  <c r="N46" i="4"/>
  <c r="N76" i="4" s="1"/>
  <c r="O16" i="4"/>
  <c r="L52" i="4"/>
  <c r="L82" i="4" s="1"/>
  <c r="M22" i="4"/>
  <c r="K16" i="4" l="1"/>
  <c r="J46" i="4"/>
  <c r="J76" i="4" s="1"/>
  <c r="M24" i="4"/>
  <c r="J52" i="4"/>
  <c r="J82" i="4" s="1"/>
  <c r="V66" i="4"/>
  <c r="W36" i="4"/>
  <c r="V38" i="4"/>
  <c r="T66" i="4"/>
  <c r="U36" i="4"/>
  <c r="Q27" i="4"/>
  <c r="P57" i="4"/>
  <c r="P87" i="4" s="1"/>
  <c r="P33" i="4"/>
  <c r="R63" i="4"/>
  <c r="S33" i="4"/>
  <c r="R35" i="4"/>
  <c r="J14" i="4"/>
  <c r="K22" i="4" s="1"/>
  <c r="J42" i="4"/>
  <c r="J72" i="4" s="1"/>
  <c r="N49" i="4"/>
  <c r="N79" i="4" s="1"/>
  <c r="N27" i="4"/>
  <c r="O19" i="4"/>
  <c r="M23" i="4"/>
  <c r="T38" i="4"/>
  <c r="M21" i="4"/>
  <c r="M31" i="4"/>
  <c r="J53" i="4"/>
  <c r="J83" i="4" s="1"/>
  <c r="J54" i="4"/>
  <c r="J84" i="4" s="1"/>
  <c r="J47" i="4"/>
  <c r="J77" i="4" s="1"/>
  <c r="K17" i="4"/>
  <c r="J60" i="4"/>
  <c r="J90" i="4" s="1"/>
  <c r="Y40" i="4"/>
  <c r="X70" i="4"/>
  <c r="M30" i="4"/>
  <c r="J61" i="4"/>
  <c r="J91" i="4" s="1"/>
  <c r="L55" i="4"/>
  <c r="L85" i="4" s="1"/>
  <c r="M25" i="4"/>
  <c r="J59" i="4"/>
  <c r="J89" i="4" s="1"/>
  <c r="J21" i="4"/>
  <c r="J43" i="4"/>
  <c r="J73" i="4" s="1"/>
  <c r="L44" i="4"/>
  <c r="L74" i="4" s="1"/>
  <c r="L19" i="4"/>
  <c r="M14" i="4"/>
  <c r="M12" i="4"/>
  <c r="M13" i="4"/>
  <c r="H31" i="4"/>
  <c r="H13" i="4"/>
  <c r="H30" i="4"/>
  <c r="H17" i="4"/>
  <c r="H24" i="4"/>
  <c r="H12" i="4"/>
  <c r="H22" i="4"/>
  <c r="H29" i="4"/>
  <c r="H23" i="4"/>
  <c r="H21" i="4" s="1"/>
  <c r="T65" i="4"/>
  <c r="U35" i="4"/>
  <c r="K30" i="4" l="1"/>
  <c r="K12" i="4"/>
  <c r="H51" i="4"/>
  <c r="AI21" i="4"/>
  <c r="H25" i="4"/>
  <c r="AI22" i="4"/>
  <c r="H52" i="4"/>
  <c r="H61" i="4"/>
  <c r="AI31" i="4"/>
  <c r="K13" i="4"/>
  <c r="K24" i="4"/>
  <c r="V68" i="4"/>
  <c r="W38" i="4"/>
  <c r="V40" i="4"/>
  <c r="AI12" i="4"/>
  <c r="H14" i="4"/>
  <c r="I21" i="4" s="1"/>
  <c r="H42" i="4"/>
  <c r="N57" i="4"/>
  <c r="N87" i="4" s="1"/>
  <c r="O27" i="4"/>
  <c r="N33" i="4"/>
  <c r="H54" i="4"/>
  <c r="AI24" i="4"/>
  <c r="I24" i="4"/>
  <c r="J51" i="4"/>
  <c r="J81" i="4" s="1"/>
  <c r="J25" i="4"/>
  <c r="K21" i="4"/>
  <c r="K23" i="4"/>
  <c r="H47" i="4"/>
  <c r="AI17" i="4"/>
  <c r="I17" i="4"/>
  <c r="K29" i="4"/>
  <c r="Q33" i="4"/>
  <c r="P63" i="4"/>
  <c r="P35" i="4"/>
  <c r="P36" i="4" s="1"/>
  <c r="AI30" i="4"/>
  <c r="H60" i="4"/>
  <c r="H53" i="4"/>
  <c r="I23" i="4"/>
  <c r="AI23" i="4"/>
  <c r="J19" i="4"/>
  <c r="J44" i="4"/>
  <c r="J74" i="4" s="1"/>
  <c r="K14" i="4"/>
  <c r="H43" i="4"/>
  <c r="AI13" i="4"/>
  <c r="L49" i="4"/>
  <c r="L79" i="4" s="1"/>
  <c r="M19" i="4"/>
  <c r="L27" i="4"/>
  <c r="T68" i="4"/>
  <c r="U38" i="4"/>
  <c r="T40" i="4"/>
  <c r="S35" i="4"/>
  <c r="R65" i="4"/>
  <c r="H59" i="4"/>
  <c r="AI29" i="4"/>
  <c r="H16" i="4"/>
  <c r="K31" i="4"/>
  <c r="R36" i="4"/>
  <c r="AG21" i="4"/>
  <c r="AG22" i="4"/>
  <c r="AG30" i="4"/>
  <c r="AG23" i="4"/>
  <c r="AG29" i="4"/>
  <c r="AG13" i="4"/>
  <c r="AG31" i="4"/>
  <c r="AG24" i="4"/>
  <c r="AG12" i="4"/>
  <c r="AG17" i="4"/>
  <c r="I13" i="4" l="1"/>
  <c r="I29" i="4"/>
  <c r="I12" i="4"/>
  <c r="AH17" i="4"/>
  <c r="AG14" i="4"/>
  <c r="AH12" i="4" s="1"/>
  <c r="AG25" i="4"/>
  <c r="AH25" i="4" s="1"/>
  <c r="H83" i="4"/>
  <c r="AJ30" i="4"/>
  <c r="AJ17" i="4"/>
  <c r="H84" i="4"/>
  <c r="V70" i="4"/>
  <c r="W40" i="4"/>
  <c r="H82" i="4"/>
  <c r="H46" i="4"/>
  <c r="AI16" i="4"/>
  <c r="AJ16" i="4" s="1"/>
  <c r="I16" i="4"/>
  <c r="P65" i="4"/>
  <c r="Q35" i="4"/>
  <c r="H77" i="4"/>
  <c r="N63" i="4"/>
  <c r="O33" i="4"/>
  <c r="N35" i="4"/>
  <c r="N36" i="4" s="1"/>
  <c r="I22" i="4"/>
  <c r="Q36" i="4"/>
  <c r="P66" i="4"/>
  <c r="L57" i="4"/>
  <c r="L87" i="4" s="1"/>
  <c r="L33" i="4"/>
  <c r="M27" i="4"/>
  <c r="J49" i="4"/>
  <c r="J79" i="4" s="1"/>
  <c r="J27" i="4"/>
  <c r="K19" i="4"/>
  <c r="P38" i="4"/>
  <c r="H55" i="4"/>
  <c r="H85" i="4" s="1"/>
  <c r="I25" i="4"/>
  <c r="J55" i="4"/>
  <c r="J85" i="4" s="1"/>
  <c r="K25" i="4"/>
  <c r="H72" i="4"/>
  <c r="AI25" i="4"/>
  <c r="I14" i="4"/>
  <c r="H44" i="4"/>
  <c r="H74" i="4" s="1"/>
  <c r="H19" i="4"/>
  <c r="H91" i="4"/>
  <c r="H81" i="4"/>
  <c r="H89" i="4"/>
  <c r="H90" i="4"/>
  <c r="S36" i="4"/>
  <c r="R66" i="4"/>
  <c r="T70" i="4"/>
  <c r="U40" i="4"/>
  <c r="H73" i="4"/>
  <c r="I30" i="4"/>
  <c r="AI14" i="4"/>
  <c r="AJ12" i="4"/>
  <c r="I31" i="4"/>
  <c r="R38" i="4"/>
  <c r="AG16" i="4"/>
  <c r="AH31" i="4" l="1"/>
  <c r="AH13" i="4"/>
  <c r="AH16" i="4"/>
  <c r="AL12" i="4"/>
  <c r="J57" i="4"/>
  <c r="J87" i="4" s="1"/>
  <c r="J33" i="4"/>
  <c r="K27" i="4"/>
  <c r="N66" i="4"/>
  <c r="O36" i="4"/>
  <c r="R68" i="4"/>
  <c r="S38" i="4"/>
  <c r="R40" i="4"/>
  <c r="N65" i="4"/>
  <c r="O35" i="4"/>
  <c r="AH14" i="4"/>
  <c r="AG19" i="4"/>
  <c r="L63" i="4"/>
  <c r="M33" i="4"/>
  <c r="L35" i="4"/>
  <c r="L36" i="4" s="1"/>
  <c r="AI19" i="4"/>
  <c r="AJ14" i="4"/>
  <c r="AJ21" i="4"/>
  <c r="P68" i="4"/>
  <c r="Q38" i="4"/>
  <c r="P40" i="4"/>
  <c r="N38" i="4"/>
  <c r="AH30" i="4"/>
  <c r="AH22" i="4"/>
  <c r="H49" i="4"/>
  <c r="H79" i="4" s="1"/>
  <c r="H27" i="4"/>
  <c r="I19" i="4"/>
  <c r="H76" i="4"/>
  <c r="AJ24" i="4"/>
  <c r="AJ25" i="4"/>
  <c r="AJ23" i="4"/>
  <c r="AJ22" i="4"/>
  <c r="AH29" i="4"/>
  <c r="AH24" i="4"/>
  <c r="AJ13" i="4"/>
  <c r="AJ31" i="4"/>
  <c r="AJ29" i="4"/>
  <c r="AH21" i="4"/>
  <c r="AH23" i="4"/>
  <c r="S40" i="4" l="1"/>
  <c r="R70" i="4"/>
  <c r="Q40" i="4"/>
  <c r="P70" i="4"/>
  <c r="L66" i="4"/>
  <c r="M36" i="4"/>
  <c r="L38" i="4"/>
  <c r="H57" i="4"/>
  <c r="H87" i="4" s="1"/>
  <c r="I27" i="4"/>
  <c r="H33" i="4"/>
  <c r="AG27" i="4"/>
  <c r="AH19" i="4"/>
  <c r="O38" i="4"/>
  <c r="N68" i="4"/>
  <c r="N40" i="4"/>
  <c r="AI27" i="4"/>
  <c r="AJ19" i="4"/>
  <c r="J63" i="4"/>
  <c r="K33" i="4"/>
  <c r="J35" i="4"/>
  <c r="J36" i="4" s="1"/>
  <c r="L65" i="4"/>
  <c r="M35" i="4"/>
  <c r="K36" i="4" l="1"/>
  <c r="J66" i="4"/>
  <c r="AI33" i="4"/>
  <c r="AJ27" i="4"/>
  <c r="H63" i="4"/>
  <c r="I33" i="4"/>
  <c r="H35" i="4"/>
  <c r="H36" i="4" s="1"/>
  <c r="N70" i="4"/>
  <c r="O40" i="4"/>
  <c r="M38" i="4"/>
  <c r="L68" i="4"/>
  <c r="L40" i="4"/>
  <c r="J65" i="4"/>
  <c r="K35" i="4"/>
  <c r="J38" i="4"/>
  <c r="AH27" i="4"/>
  <c r="AG33" i="4"/>
  <c r="AI36" i="4" l="1"/>
  <c r="AJ36" i="4" s="1"/>
  <c r="I36" i="4"/>
  <c r="H66" i="4"/>
  <c r="H38" i="4"/>
  <c r="L70" i="4"/>
  <c r="M40" i="4"/>
  <c r="AH33" i="4"/>
  <c r="AN33" i="4"/>
  <c r="AN35" i="4" s="1"/>
  <c r="AJ33" i="4"/>
  <c r="K38" i="4"/>
  <c r="J68" i="4"/>
  <c r="J40" i="4"/>
  <c r="H65" i="4"/>
  <c r="AI35" i="4"/>
  <c r="AJ35" i="4" s="1"/>
  <c r="I35" i="4"/>
  <c r="AG35" i="4"/>
  <c r="AG36" i="4"/>
  <c r="AH35" i="4" l="1"/>
  <c r="AG38" i="4"/>
  <c r="AH38" i="4" s="1"/>
  <c r="AH36" i="4"/>
  <c r="K40" i="4"/>
  <c r="J70" i="4"/>
  <c r="H68" i="4"/>
  <c r="I38" i="4"/>
  <c r="H40" i="4"/>
  <c r="AI38" i="4"/>
  <c r="AJ38" i="4" s="1"/>
  <c r="AI40" i="4" l="1"/>
  <c r="AJ40" i="4" s="1"/>
  <c r="I40" i="4"/>
  <c r="H70" i="4"/>
  <c r="AG40" i="4"/>
  <c r="AH40" i="4" l="1"/>
  <c r="I17" i="7" l="1"/>
  <c r="I21" i="7"/>
  <c r="J21" i="7" s="1"/>
  <c r="I26" i="7"/>
  <c r="I35" i="7"/>
  <c r="G39" i="7" l="1"/>
  <c r="I20" i="7"/>
  <c r="G34" i="7"/>
  <c r="G25" i="7"/>
  <c r="G33" i="7"/>
  <c r="G27" i="7"/>
  <c r="I28" i="7"/>
  <c r="G35" i="7"/>
  <c r="G40" i="7"/>
  <c r="G44" i="7"/>
  <c r="G28" i="7"/>
  <c r="I25" i="7"/>
  <c r="I33" i="7"/>
  <c r="I27" i="7"/>
  <c r="I16" i="7"/>
  <c r="G17" i="7"/>
  <c r="I34" i="7"/>
  <c r="H28" i="9"/>
  <c r="H29" i="9" s="1"/>
  <c r="I18" i="7" l="1"/>
  <c r="J16" i="7" s="1"/>
  <c r="I29" i="7"/>
  <c r="J20" i="7"/>
  <c r="E1" i="14" l="1"/>
  <c r="J25" i="7"/>
  <c r="J29" i="7"/>
  <c r="J33" i="7"/>
  <c r="J27" i="7"/>
  <c r="J28" i="7"/>
  <c r="G16" i="7"/>
  <c r="G20" i="7"/>
  <c r="G21" i="7"/>
  <c r="H21" i="7" s="1"/>
  <c r="G26" i="7"/>
  <c r="J18" i="7"/>
  <c r="I23" i="7"/>
  <c r="J35" i="7"/>
  <c r="J26" i="7"/>
  <c r="J17" i="7"/>
  <c r="J34" i="7"/>
  <c r="F31" i="14" l="1"/>
  <c r="F27" i="14"/>
  <c r="F23" i="14"/>
  <c r="F19" i="14"/>
  <c r="F15" i="14"/>
  <c r="F12" i="14"/>
  <c r="F30" i="14"/>
  <c r="F26" i="14"/>
  <c r="F22" i="14"/>
  <c r="F18" i="14"/>
  <c r="F14" i="14"/>
  <c r="F16" i="14"/>
  <c r="F24" i="14"/>
  <c r="F29" i="14"/>
  <c r="F25" i="14"/>
  <c r="F21" i="14"/>
  <c r="F17" i="14"/>
  <c r="F13" i="14"/>
  <c r="F20" i="14"/>
  <c r="F28" i="14"/>
  <c r="H12" i="9"/>
  <c r="J23" i="7"/>
  <c r="I31" i="7"/>
  <c r="G29" i="7"/>
  <c r="G18" i="7"/>
  <c r="H16" i="7" s="1"/>
  <c r="H29" i="7" l="1"/>
  <c r="H13" i="9"/>
  <c r="G23" i="7"/>
  <c r="H18" i="7"/>
  <c r="H33" i="7"/>
  <c r="H44" i="7"/>
  <c r="H25" i="7"/>
  <c r="H17" i="7"/>
  <c r="H28" i="7"/>
  <c r="H35" i="7"/>
  <c r="H27" i="7"/>
  <c r="H40" i="7"/>
  <c r="H34" i="7"/>
  <c r="H39" i="7"/>
  <c r="H26" i="7"/>
  <c r="I37" i="7"/>
  <c r="J31" i="7"/>
  <c r="J37" i="7" l="1"/>
  <c r="H23" i="7"/>
  <c r="G31" i="7"/>
  <c r="G37" i="7" l="1"/>
  <c r="H31" i="7"/>
  <c r="G42" i="7" l="1"/>
  <c r="H42" i="7" s="1"/>
  <c r="H37" i="7"/>
  <c r="I39" i="7" l="1"/>
  <c r="I40" i="7" l="1"/>
  <c r="J40" i="7" s="1"/>
  <c r="E27" i="7"/>
  <c r="J39" i="7"/>
  <c r="I42" i="7" l="1"/>
  <c r="J42" i="7" s="1"/>
  <c r="E16" i="7"/>
  <c r="E33" i="7"/>
  <c r="E26" i="7"/>
  <c r="E17" i="7"/>
  <c r="E35" i="7"/>
  <c r="E28" i="7"/>
  <c r="E21" i="7"/>
  <c r="M27" i="7"/>
  <c r="L27" i="7"/>
  <c r="H15" i="9"/>
  <c r="E20" i="7" l="1"/>
  <c r="E25" i="7"/>
  <c r="I44" i="7"/>
  <c r="J44" i="7" s="1"/>
  <c r="E34" i="7"/>
  <c r="F21" i="7"/>
  <c r="M21" i="7"/>
  <c r="L21" i="7"/>
  <c r="L28" i="7"/>
  <c r="M28" i="7"/>
  <c r="M35" i="7"/>
  <c r="L35" i="7"/>
  <c r="M17" i="7"/>
  <c r="L17" i="7"/>
  <c r="M26" i="7"/>
  <c r="L26" i="7"/>
  <c r="M33" i="7"/>
  <c r="L33" i="7"/>
  <c r="L16" i="7"/>
  <c r="E18" i="7"/>
  <c r="F17" i="7" s="1"/>
  <c r="M16" i="7"/>
  <c r="H20" i="7"/>
  <c r="B1" i="14"/>
  <c r="F28" i="9"/>
  <c r="F29" i="9" s="1"/>
  <c r="C28" i="14" l="1"/>
  <c r="C31" i="14"/>
  <c r="C27" i="14"/>
  <c r="C23" i="14"/>
  <c r="C19" i="14"/>
  <c r="C15" i="14"/>
  <c r="C16" i="14"/>
  <c r="C12" i="14"/>
  <c r="C30" i="14"/>
  <c r="C26" i="14"/>
  <c r="C22" i="14"/>
  <c r="C18" i="14"/>
  <c r="C14" i="14"/>
  <c r="C24" i="14"/>
  <c r="C29" i="14"/>
  <c r="C25" i="14"/>
  <c r="C21" i="14"/>
  <c r="C17" i="14"/>
  <c r="C13" i="14"/>
  <c r="C20" i="14"/>
  <c r="H14" i="9"/>
  <c r="H16" i="9"/>
  <c r="E23" i="7"/>
  <c r="M18" i="7"/>
  <c r="L18" i="7"/>
  <c r="F18" i="7"/>
  <c r="F27" i="7"/>
  <c r="F28" i="7"/>
  <c r="F33" i="7"/>
  <c r="F35" i="7"/>
  <c r="M34" i="7"/>
  <c r="L34" i="7"/>
  <c r="F34" i="7"/>
  <c r="E29" i="7"/>
  <c r="F25" i="7"/>
  <c r="M25" i="7"/>
  <c r="L25" i="7"/>
  <c r="F16" i="7"/>
  <c r="F26" i="7"/>
  <c r="L20" i="7"/>
  <c r="F20" i="7"/>
  <c r="M20" i="7"/>
  <c r="F12" i="9" l="1"/>
  <c r="F29" i="7"/>
  <c r="M29" i="7"/>
  <c r="L29" i="7"/>
  <c r="E31" i="7"/>
  <c r="F23" i="7"/>
  <c r="M23" i="7"/>
  <c r="L23" i="7"/>
  <c r="F13" i="9" l="1"/>
  <c r="E39" i="7"/>
  <c r="E37" i="7"/>
  <c r="F31" i="7"/>
  <c r="M31" i="7"/>
  <c r="L31" i="7"/>
  <c r="M37" i="7" l="1"/>
  <c r="L37" i="7"/>
  <c r="F37" i="7"/>
  <c r="M39" i="7"/>
  <c r="L39" i="7"/>
  <c r="F39" i="7"/>
  <c r="E40" i="7" l="1"/>
  <c r="M40" i="7" l="1"/>
  <c r="L40" i="7"/>
  <c r="F40" i="7"/>
  <c r="E42" i="7"/>
  <c r="F15" i="9" l="1"/>
  <c r="E44" i="7"/>
  <c r="M42" i="7"/>
  <c r="L42" i="7"/>
  <c r="F42" i="7"/>
  <c r="F14" i="9" l="1"/>
  <c r="M44" i="7"/>
  <c r="F44" i="7"/>
  <c r="L44" i="7"/>
  <c r="F16" i="9" l="1"/>
</calcChain>
</file>

<file path=xl/sharedStrings.xml><?xml version="1.0" encoding="utf-8"?>
<sst xmlns="http://schemas.openxmlformats.org/spreadsheetml/2006/main" count="476" uniqueCount="246">
  <si>
    <t>Indicadores Macroeconómicos</t>
  </si>
  <si>
    <t>Tendencia Materia Prima (Toneladas y Precios)</t>
  </si>
  <si>
    <t>BALANCE GENERAL</t>
  </si>
  <si>
    <t xml:space="preserve">Expresado en $ Miles 000´ USD </t>
  </si>
  <si>
    <t>% de Total Activos</t>
  </si>
  <si>
    <t>Var. % Vs Año Pasado</t>
  </si>
  <si>
    <t>PPTO</t>
  </si>
  <si>
    <t>Var. % Vs PPTO</t>
  </si>
  <si>
    <t>Ingresos/Bce 2019</t>
  </si>
  <si>
    <t>Ingresos/Bce 2018</t>
  </si>
  <si>
    <t>ACTIVOS</t>
  </si>
  <si>
    <t>Disponibles y Otros Valores Negociables</t>
  </si>
  <si>
    <t>Cuentas por Cobrar Total</t>
  </si>
  <si>
    <t>Existencias</t>
  </si>
  <si>
    <t>Gastos Anticipados</t>
  </si>
  <si>
    <t>Credito tributario</t>
  </si>
  <si>
    <t>Otros Activos Corrientes</t>
  </si>
  <si>
    <t>TOTAL ACTIVO CIRCULANTE</t>
  </si>
  <si>
    <t>ACTIVO FIJO</t>
  </si>
  <si>
    <t>OTROS ACTIVOS LARGO PLAZO</t>
  </si>
  <si>
    <t>TOTAL ACTIVO</t>
  </si>
  <si>
    <t>PASIVOS</t>
  </si>
  <si>
    <t>Obligaciones Financieras</t>
  </si>
  <si>
    <t>Proveedores</t>
  </si>
  <si>
    <t>Intereses por Obligaciones Financieras</t>
  </si>
  <si>
    <t>Anticipos Clientes</t>
  </si>
  <si>
    <t>Pasivos Acumulados</t>
  </si>
  <si>
    <t>Otras Cuentas por Pagar</t>
  </si>
  <si>
    <t>Entidades Gubernamentales</t>
  </si>
  <si>
    <t>PASIVOS A CORTO PLAZO</t>
  </si>
  <si>
    <t>Cuentas por pagar relacionadas</t>
  </si>
  <si>
    <t>Provision beneficios empleados</t>
  </si>
  <si>
    <t>PASIVOS A LARGO PLAZO</t>
  </si>
  <si>
    <t>TOTAL PASIVOS</t>
  </si>
  <si>
    <t>TOTAL PATRIMONIO</t>
  </si>
  <si>
    <t>PASIVO + PATRIMONIO</t>
  </si>
  <si>
    <t>YTD</t>
  </si>
  <si>
    <t>TOTAL 2021</t>
  </si>
  <si>
    <t>Enero</t>
  </si>
  <si>
    <t>%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</si>
  <si>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</si>
  <si>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</si>
  <si>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</si>
  <si>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</si>
  <si>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</si>
  <si>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</si>
  <si>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</si>
  <si>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</si>
  <si>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</si>
  <si>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</si>
  <si>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</si>
  <si>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Venta Bruta</t>
  </si>
  <si>
    <t>Descuentos</t>
  </si>
  <si>
    <t>Venta Local</t>
  </si>
  <si>
    <t>Exportaciones</t>
  </si>
  <si>
    <t>Venta Neta</t>
  </si>
  <si>
    <t>Costo de Venta Local</t>
  </si>
  <si>
    <t>Costo de Venta Exportacion</t>
  </si>
  <si>
    <t>Utilidad Bruta</t>
  </si>
  <si>
    <t>Gastos de ventas</t>
  </si>
  <si>
    <t>Gastos Administrativos</t>
  </si>
  <si>
    <t>Marketing y Publicidad</t>
  </si>
  <si>
    <t>Distribucion</t>
  </si>
  <si>
    <t>Gastos Generales de Fábrica</t>
  </si>
  <si>
    <t>Utilidad Operacional</t>
  </si>
  <si>
    <t>Gastos Financieros</t>
  </si>
  <si>
    <t>Otros Ingresos</t>
  </si>
  <si>
    <t>Otros Egresos</t>
  </si>
  <si>
    <t>Resultado antes del 15% e Imp. Rta</t>
  </si>
  <si>
    <t>15% Participacion de Trabajadores</t>
  </si>
  <si>
    <t>25% Impuesto a la Renta Causado</t>
  </si>
  <si>
    <t>Resultado Neto</t>
  </si>
  <si>
    <t>EBITDA</t>
  </si>
  <si>
    <t>Real</t>
  </si>
  <si>
    <t>TOTAL 2020</t>
  </si>
  <si>
    <t>Comparativo de Resultados</t>
  </si>
  <si>
    <t>Mes</t>
  </si>
  <si>
    <t>Var %</t>
  </si>
  <si>
    <t>%. 2021</t>
  </si>
  <si>
    <t>% PPTO</t>
  </si>
  <si>
    <t>%. 2020</t>
  </si>
  <si>
    <t>Acumulado</t>
  </si>
  <si>
    <t>Gastos Generales</t>
  </si>
  <si>
    <t>Resultado antes del 15% e Imp. Renta</t>
  </si>
  <si>
    <t>Estado de Resultado Presupuesto 2021 Mensualizado</t>
  </si>
  <si>
    <t>Expresado  en  USD$1,000</t>
  </si>
  <si>
    <t>Sept.</t>
  </si>
  <si>
    <t>Oct.</t>
  </si>
  <si>
    <t>Nov.</t>
  </si>
  <si>
    <t>Dic.</t>
  </si>
  <si>
    <t>Total</t>
  </si>
  <si>
    <t>Acum</t>
  </si>
  <si>
    <t xml:space="preserve">  Ventas Netas Locales</t>
  </si>
  <si>
    <t xml:space="preserve">  Ventas Netas Exportación</t>
  </si>
  <si>
    <t xml:space="preserve">  Ventas Netas total</t>
  </si>
  <si>
    <t>Partidas Extraordinarias</t>
  </si>
  <si>
    <t xml:space="preserve">  Costo de Venta </t>
  </si>
  <si>
    <t xml:space="preserve">  Contribución Bruta</t>
  </si>
  <si>
    <t xml:space="preserve">  Total Gastos Generales </t>
  </si>
  <si>
    <t xml:space="preserve">  Contribución Operativa</t>
  </si>
  <si>
    <t xml:space="preserve">  Total Otros Ingresos y Gastos</t>
  </si>
  <si>
    <t xml:space="preserve">  Resultado antes del 15% e Imp. a la Renta</t>
  </si>
  <si>
    <t xml:space="preserve">  15% Participación de Trabajadores</t>
  </si>
  <si>
    <t xml:space="preserve">  25% Impuesto a la Renta Causado </t>
  </si>
  <si>
    <t xml:space="preserve">  Resultado Neto</t>
  </si>
  <si>
    <t xml:space="preserve">  Depreciaciones y Amortizaciones</t>
  </si>
  <si>
    <t xml:space="preserve">  Cash Flow Generado</t>
  </si>
  <si>
    <t xml:space="preserve">  EBITDA</t>
  </si>
  <si>
    <t>Ratios Financieros</t>
  </si>
  <si>
    <t>Actual Mes, 2018</t>
  </si>
  <si>
    <t>Acumulado 2021</t>
  </si>
  <si>
    <t>Acumulado 2020</t>
  </si>
  <si>
    <t>Rentabilidad</t>
  </si>
  <si>
    <t>Margen Bruto</t>
  </si>
  <si>
    <t>Utilidad Neta</t>
  </si>
  <si>
    <t>Rendimiento sobre Capital</t>
  </si>
  <si>
    <t>Depreciacion</t>
  </si>
  <si>
    <t>Interesses Deuda</t>
  </si>
  <si>
    <t>Liquidez</t>
  </si>
  <si>
    <t>Indice de Solvencia</t>
  </si>
  <si>
    <t>Prueba Acida</t>
  </si>
  <si>
    <t>Manejo de Activos</t>
  </si>
  <si>
    <t>Dias de Cartera</t>
  </si>
  <si>
    <t>Dias de Inventario</t>
  </si>
  <si>
    <t>Dias Cuentas por pagar</t>
  </si>
  <si>
    <t>Ciclo de Operacion</t>
  </si>
  <si>
    <t>Capital de Trabajo % Ventas</t>
  </si>
  <si>
    <t>NOF</t>
  </si>
  <si>
    <t>Solvencia</t>
  </si>
  <si>
    <t>Apalancamiento Externo</t>
  </si>
  <si>
    <t>Palanca Financiera</t>
  </si>
  <si>
    <t>Endeudamiento</t>
  </si>
  <si>
    <t>ANÁLISIS CARTERA POR LINEA DE NEGOCIO</t>
  </si>
  <si>
    <t>Linea</t>
  </si>
  <si>
    <t>Cartera</t>
  </si>
  <si>
    <t>Dias Cartera</t>
  </si>
  <si>
    <t>Morosidad USD</t>
  </si>
  <si>
    <t>Morosidad %</t>
  </si>
  <si>
    <t>CAJAS DE CAMARON</t>
  </si>
  <si>
    <t xml:space="preserve">CAJAS  </t>
  </si>
  <si>
    <t>EXPORTACION</t>
  </si>
  <si>
    <t>ETIQUETAS</t>
  </si>
  <si>
    <t>OTROS</t>
  </si>
  <si>
    <t>Total general</t>
  </si>
  <si>
    <t>Columna1</t>
  </si>
  <si>
    <t>2020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</si>
  <si>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</si>
  <si>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</si>
  <si>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</si>
  <si>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</si>
  <si>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</si>
  <si>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</si>
  <si>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</si>
  <si>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</si>
  <si>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Venta  Neta</t>
  </si>
  <si>
    <t>Working Capital</t>
  </si>
  <si>
    <t>Costo Capital%</t>
  </si>
  <si>
    <t>º</t>
  </si>
  <si>
    <t>000´s US$</t>
  </si>
  <si>
    <t>septiembre</t>
  </si>
  <si>
    <t>octubre</t>
  </si>
  <si>
    <t>noviembre</t>
  </si>
  <si>
    <t>diciembre</t>
  </si>
  <si>
    <t>Capital  de Trabajo/Ventas %</t>
  </si>
  <si>
    <t>Inventario Valorizado</t>
  </si>
  <si>
    <t>US$ 000</t>
  </si>
  <si>
    <t>Dias Inv.</t>
  </si>
  <si>
    <t>VAR % 21vs20</t>
  </si>
  <si>
    <t>M.P, Materiales y Repuestos</t>
  </si>
  <si>
    <t>Materia Prima (Bobinas)</t>
  </si>
  <si>
    <t>Materia Prima</t>
  </si>
  <si>
    <t>Productos Terminados</t>
  </si>
  <si>
    <t>CAJ CAMARON</t>
  </si>
  <si>
    <t>C CAMARON EXP</t>
  </si>
  <si>
    <t>CAJAS</t>
  </si>
  <si>
    <t>CORRUGADO</t>
  </si>
  <si>
    <t>MATERIAL POP</t>
  </si>
  <si>
    <t>FOLLETOS</t>
  </si>
  <si>
    <t>PAPELERIA</t>
  </si>
  <si>
    <t>LIBROS</t>
  </si>
  <si>
    <t>REVISTAS</t>
  </si>
  <si>
    <t>AGENDAS</t>
  </si>
  <si>
    <t>Productos en Proceso</t>
  </si>
  <si>
    <t>Empaques</t>
  </si>
  <si>
    <t>Suministros</t>
  </si>
  <si>
    <t>Repuestos</t>
  </si>
  <si>
    <t>Transito</t>
  </si>
  <si>
    <t>Provisiones</t>
  </si>
  <si>
    <t>Total M.P, Materiales y Repuestos</t>
  </si>
  <si>
    <t>ANALISIS DE CAMBIO EN VENTA</t>
  </si>
  <si>
    <t>CAMBIO EN VENTA</t>
  </si>
  <si>
    <t>LINEA DE VENTA</t>
  </si>
  <si>
    <t>INGRESOS</t>
  </si>
  <si>
    <t>CANTIDAD</t>
  </si>
  <si>
    <t>P.VENTA</t>
  </si>
  <si>
    <t>VOLUMEN</t>
  </si>
  <si>
    <t>PRECIO</t>
  </si>
  <si>
    <t xml:space="preserve">Cajas Camaron                                                   </t>
  </si>
  <si>
    <t xml:space="preserve">Cajas                                                           </t>
  </si>
  <si>
    <t xml:space="preserve">Caja de Camaron Exportacion                                     </t>
  </si>
  <si>
    <t xml:space="preserve">Etiquetas                                                       </t>
  </si>
  <si>
    <t xml:space="preserve">Corrugado                                                      </t>
  </si>
  <si>
    <t xml:space="preserve">Material POP                                                    </t>
  </si>
  <si>
    <t xml:space="preserve">Fletes y Otros Servicios de Exportacion                         </t>
  </si>
  <si>
    <t xml:space="preserve">Productos Reciclaje                                             </t>
  </si>
  <si>
    <t xml:space="preserve">Papeleria                                                       </t>
  </si>
  <si>
    <t xml:space="preserve">Revistas                                                        </t>
  </si>
  <si>
    <t xml:space="preserve">Fletes locales y otros servicios                                </t>
  </si>
  <si>
    <t xml:space="preserve">Libros                                                          </t>
  </si>
  <si>
    <t xml:space="preserve">Export de Productos Reciclaje                                   </t>
  </si>
  <si>
    <t xml:space="preserve">Folletos                                                        </t>
  </si>
  <si>
    <t xml:space="preserve">Agendas                                                         </t>
  </si>
  <si>
    <t xml:space="preserve">Mat. Prima, Empaq, Suministros                                  </t>
  </si>
  <si>
    <t>Congelados Canastillas</t>
  </si>
  <si>
    <t xml:space="preserve">Congelados Otros </t>
  </si>
  <si>
    <t>TOTAL</t>
  </si>
  <si>
    <t>Volumen</t>
  </si>
  <si>
    <t>Precio/Mix</t>
  </si>
  <si>
    <t>Venta 2016</t>
  </si>
  <si>
    <t>Venta Mensual</t>
  </si>
  <si>
    <t>COMPARATIVO DE GASTOS (ANALISIS ACUMULADO)</t>
  </si>
  <si>
    <t>Cod2</t>
  </si>
  <si>
    <t>PERIODO</t>
  </si>
  <si>
    <t>Etiquetas de fila</t>
  </si>
  <si>
    <t>Suma de Acum YTD</t>
  </si>
  <si>
    <t xml:space="preserve">GASTOS DE ADMINISTRATIVOS                                             </t>
  </si>
  <si>
    <t>GASTO ADMINISTRATIVO</t>
  </si>
  <si>
    <t xml:space="preserve">OTROS GASTOS                                                          </t>
  </si>
  <si>
    <t xml:space="preserve">HONORARIOS                                                            </t>
  </si>
  <si>
    <t xml:space="preserve">GASTOS DE NOMINA DE ADMINISTRACION                                    </t>
  </si>
  <si>
    <t xml:space="preserve">IMPUESTOS Y CONTRIBUCIONES                                            </t>
  </si>
  <si>
    <t xml:space="preserve">OTRAS GASTOS DE PERSONAL                                              </t>
  </si>
  <si>
    <t xml:space="preserve">PROPIEDADES, PLANTA Y EQUIPO                                          </t>
  </si>
  <si>
    <t xml:space="preserve">MANTENIMIENTO                                                         </t>
  </si>
  <si>
    <t xml:space="preserve">SEGUROS Y REASEGUROS                                                  </t>
  </si>
  <si>
    <t xml:space="preserve">GASTOS DE VENTA                                                       </t>
  </si>
  <si>
    <t>GASTO DE VENTA</t>
  </si>
  <si>
    <t xml:space="preserve">GASTOS DE NOMINA DE VENTAS                                            </t>
  </si>
  <si>
    <t xml:space="preserve">GASTOS  GENERALES  DE VENTA                                           </t>
  </si>
  <si>
    <t xml:space="preserve">OTROS INGRESOS                                                        </t>
  </si>
  <si>
    <t>OTROS INGRESOS Y EGRESOS</t>
  </si>
  <si>
    <t xml:space="preserve">OTROS EGRESOS                                                         </t>
  </si>
  <si>
    <t xml:space="preserve">GASTOS  FINANCIEROS                                                   </t>
  </si>
  <si>
    <t>GASTO FINANCIERO</t>
  </si>
  <si>
    <t xml:space="preserve">OTROS GASTOS FINANCIEROS                                              </t>
  </si>
  <si>
    <t xml:space="preserve">INTERESES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</si>
</sst>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0">
    <numFmt numFmtId="44" formatCode="_ &quot;$&quot;* #,##0.00_ ;_ &quot;$&quot;* \-#,##0.00_ ;_ &quot;$&quot;* &quot;-&quot;??_ ;_ @_ "/>
    <numFmt numFmtId="43" formatCode="_ * #,##0.00_ ;_ * \-#,##0.00_ ;_ * &quot;-&quot;??_ ;_ @_ "/>
    <numFmt numFmtId="164" formatCode="_ * #,##0_ ;_ * \-#,##0_ ;_ * &quot;-&quot;??_ ;_ @_ "/>
    <numFmt numFmtId="165" formatCode="_([$$-300A]\ * #,##0_);_([$$-300A]\ * \(#,##0\);_([$$-300A]\ * &quot;-&quot;??_);_(@_)"/>
    <numFmt numFmtId="166" formatCode="0.0%"/>
    <numFmt numFmtId="167" formatCode="_([$$-300A]\ * #,##0.000_);_([$$-300A]\ * \(#,##0.000\);_([$$-300A]\ * &quot;-&quot;??_);_(@_)"/>
    <numFmt numFmtId="168" formatCode="_(* #,##0.00_);_(* \(#,##0.00\);_(* &quot;-&quot;??_);_(@_)"/>
    <numFmt numFmtId="169" formatCode="_(* #,##0.0_);_(* \(#,##0.0\);_(* &quot;-&quot;??_);_(@_)"/>
    <numFmt numFmtId="170" formatCode="_(* #,##0.00_);_(* \(#,##0.00\);_(* \-??_);_(@_)"/>
    <numFmt numFmtId="171" formatCode="#,##0,;\-#,##0,;_(* \-??_);_(@_)"/>
    <numFmt numFmtId="172" formatCode="#,##0.0;\-#,##0.0;_(* \-??_);_(@_)"/>
    <numFmt numFmtId="173" formatCode="_(* #,##0_);_(* \(#,##0\);_(* &quot;-&quot;??_);_(@_)"/>
    <numFmt numFmtId="174" formatCode="_-[$$-80A]* #,##0_-;\-[$$-80A]* #,##0_-;_-[$$-80A]* &quot;-&quot;??_-;_-@_-"/>
    <numFmt numFmtId="175" formatCode="_-[$$-540A]* #,##0_ ;_-[$$-540A]* \-#,##0\ ;_-[$$-540A]* &quot;-&quot;??_ ;_-@_ "/>
    <numFmt numFmtId="176" formatCode="_-* #,##0.00\ _€_-;\-* #,##0.00\ _€_-;_-* &quot;-&quot;??\ _€_-;_-@_-"/>
    <numFmt numFmtId="177" formatCode="_-* #,##0\ _€_-;\-* #,##0\ _€_-;_-* &quot;-&quot;??\ _€_-;_-@_-"/>
    <numFmt numFmtId="178" formatCode="[$$-300A]#,##0"/>
    <numFmt numFmtId="179" formatCode="_ [$$-300A]* #,##0.00_ ;_ [$$-300A]* \-#,##0.00_ ;_ [$$-300A]* &quot;-&quot;??_ ;_ @_ "/>
    <numFmt numFmtId="180" formatCode="0.000000%"/>
    <numFmt numFmtId="181" formatCode="[$$-300A]#,##0.00"/>
  </numFmts>
  <fonts count="6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name val="Arial"/>
      <family val="2"/>
    </font>
    <font>
      <b/>
      <sz val="14"/>
      <name val="Arial"/>
      <family val="2"/>
    </font>
    <font>
      <sz val="10"/>
      <color theme="0"/>
      <name val="Arial"/>
      <family val="2"/>
    </font>
    <font>
      <b/>
      <sz val="12"/>
      <color theme="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i/>
      <sz val="8"/>
      <name val="Arial"/>
      <family val="2"/>
    </font>
    <font>
      <sz val="10"/>
      <color rgb="FFFF0000"/>
      <name val="Arial"/>
      <family val="2"/>
    </font>
    <font>
      <b/>
      <sz val="10"/>
      <color theme="0"/>
      <name val="Arial"/>
      <family val="2"/>
    </font>
    <font>
      <b/>
      <sz val="8"/>
      <name val="Arial"/>
      <family val="2"/>
    </font>
    <font>
      <b/>
      <sz val="7"/>
      <color theme="0"/>
      <name val="TAHOMA"/>
      <family val="2"/>
    </font>
    <font>
      <sz val="10"/>
      <name val="Arial"/>
      <family val="2"/>
    </font>
    <font>
      <b/>
      <i/>
      <sz val="10"/>
      <name val="Arial"/>
      <family val="2"/>
    </font>
    <font>
      <sz val="9"/>
      <name val="Arial"/>
      <family val="2"/>
    </font>
    <font>
      <sz val="8"/>
      <name val="Arial"/>
      <family val="2"/>
    </font>
    <font>
      <sz val="9"/>
      <color theme="0"/>
      <name val="Arial"/>
      <family val="2"/>
    </font>
    <font>
      <sz val="8"/>
      <color theme="0"/>
      <name val="Arial"/>
      <family val="2"/>
    </font>
    <font>
      <b/>
      <sz val="9"/>
      <name val="Arial"/>
      <family val="2"/>
    </font>
    <font>
      <b/>
      <sz val="8"/>
      <color theme="2" tint="-0.749992370372631"/>
      <name val="Arial"/>
      <family val="2"/>
    </font>
    <font>
      <sz val="9"/>
      <color rgb="FFFF0000"/>
      <name val="Arial"/>
      <family val="2"/>
    </font>
    <font>
      <sz val="8"/>
      <color theme="2" tint="-0.749992370372631"/>
      <name val="Arial"/>
      <family val="2"/>
    </font>
    <font>
      <b/>
      <sz val="7"/>
      <color theme="1"/>
      <name val="TAHOMA"/>
      <family val="2"/>
    </font>
    <font>
      <sz val="12"/>
      <name val="Arial"/>
      <family val="2"/>
    </font>
    <font>
      <sz val="12"/>
      <color rgb="FFFF0000"/>
      <name val="Arial"/>
      <family val="2"/>
    </font>
    <font>
      <b/>
      <sz val="12"/>
      <color theme="2" tint="-0.749992370372631"/>
      <name val="Arial"/>
      <family val="2"/>
    </font>
    <font>
      <sz val="12"/>
      <color theme="2" tint="-0.749992370372631"/>
      <name val="Arial"/>
      <family val="2"/>
    </font>
    <font>
      <b/>
      <sz val="10"/>
      <color theme="1"/>
      <name val="Calibri"/>
      <family val="2"/>
      <scheme val="minor"/>
    </font>
    <font>
      <sz val="5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9"/>
      <color rgb="FFFF0000"/>
      <name val="Calibri"/>
      <family val="2"/>
      <scheme val="minor"/>
    </font>
    <font>
      <sz val="10"/>
      <color theme="1"/>
      <name val="Arial"/>
      <family val="2"/>
    </font>
    <font>
      <b/>
      <sz val="24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9"/>
      <color theme="1"/>
      <name val="Calibri"/>
      <family val="2"/>
      <scheme val="minor"/>
    </font>
    <font>
      <sz val="9"/>
      <color theme="0"/>
      <name val="Calibri"/>
      <family val="2"/>
      <scheme val="minor"/>
    </font>
    <font>
      <b/>
      <sz val="9"/>
      <color indexed="56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5"/>
      <color theme="0"/>
      <name val="Calibri"/>
      <family val="2"/>
      <scheme val="minor"/>
    </font>
    <font>
      <b/>
      <sz val="12"/>
      <color indexed="56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206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2"/>
      <color indexed="62"/>
      <name val="Calibri"/>
      <family val="2"/>
      <scheme val="minor"/>
    </font>
    <font>
      <b/>
      <sz val="10"/>
      <color indexed="56"/>
      <name val="Calibri"/>
      <family val="2"/>
      <scheme val="minor"/>
    </font>
    <font>
      <b/>
      <sz val="10"/>
      <color indexed="62"/>
      <name val="Calibri"/>
      <family val="2"/>
      <scheme val="minor"/>
    </font>
    <font>
      <sz val="5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  <font>
      <sz val="8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theme="1"/>
      <name val="Arial"/>
      <family val="2"/>
    </font>
    <font>
      <i/>
      <sz val="9"/>
      <color theme="2" tint="-0.749992370372631"/>
      <name val="Arial"/>
      <family val="2"/>
    </font>
    <font>
      <i/>
      <sz val="10"/>
      <name val="Arial"/>
      <family val="2"/>
    </font>
    <font>
      <sz val="11"/>
      <name val="Arial"/>
      <family val="2"/>
    </font>
    <font>
      <b/>
      <sz val="14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6"/>
        <bgColor indexed="9"/>
      </patternFill>
    </fill>
    <fill>
      <patternFill patternType="solid">
        <fgColor theme="9" tint="0.79998168889431442"/>
        <bgColor indexed="9"/>
      </patternFill>
    </fill>
    <fill>
      <patternFill patternType="solid">
        <fgColor theme="0"/>
        <bgColor indexed="42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249977111117893"/>
        <bgColor indexed="64"/>
      </patternFill>
    </fill>
  </fills>
  <borders count="3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7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0" fontId="36" fillId="0" borderId="0"/>
    <xf numFmtId="170" fontId="40" fillId="0" borderId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6" fillId="0" borderId="0"/>
    <xf numFmtId="9" fontId="16" fillId="0" borderId="0" applyFont="0" applyFill="0" applyBorder="0" applyAlignment="0" applyProtection="0"/>
    <xf numFmtId="168" fontId="16" fillId="0" borderId="0" applyFill="0" applyBorder="0" applyAlignment="0" applyProtection="0"/>
    <xf numFmtId="0" fontId="16" fillId="0" borderId="0"/>
    <xf numFmtId="9" fontId="16" fillId="0" borderId="0" applyFont="0" applyFill="0" applyBorder="0" applyAlignment="0" applyProtection="0"/>
    <xf numFmtId="168" fontId="1" fillId="0" borderId="0" applyFont="0" applyFill="0" applyBorder="0" applyAlignment="0" applyProtection="0"/>
    <xf numFmtId="176" fontId="1" fillId="0" borderId="0" applyFont="0" applyFill="0" applyBorder="0" applyAlignment="0" applyProtection="0"/>
  </cellStyleXfs>
  <cellXfs count="461">
    <xf numFmtId="0" fontId="0" fillId="0" borderId="0" xfId="0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0" fillId="0" borderId="4" xfId="0" applyBorder="1"/>
    <xf numFmtId="0" fontId="11" fillId="0" borderId="0" xfId="0" applyFont="1" applyAlignment="1">
      <alignment horizontal="center"/>
    </xf>
    <xf numFmtId="0" fontId="12" fillId="0" borderId="0" xfId="0" applyFont="1"/>
    <xf numFmtId="0" fontId="13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0" fillId="3" borderId="6" xfId="0" applyFont="1" applyFill="1" applyBorder="1" applyAlignment="1">
      <alignment horizontal="center" vertical="center" wrapText="1"/>
    </xf>
    <xf numFmtId="0" fontId="10" fillId="2" borderId="6" xfId="0" applyFont="1" applyFill="1" applyBorder="1" applyAlignment="1">
      <alignment horizontal="center" vertical="center" wrapText="1"/>
    </xf>
    <xf numFmtId="0" fontId="14" fillId="2" borderId="6" xfId="0" applyFont="1" applyFill="1" applyBorder="1" applyAlignment="1">
      <alignment horizontal="center" vertical="center" wrapText="1"/>
    </xf>
    <xf numFmtId="0" fontId="10" fillId="4" borderId="6" xfId="0" applyFont="1" applyFill="1" applyBorder="1" applyAlignment="1">
      <alignment horizontal="center" vertical="center" wrapText="1"/>
    </xf>
    <xf numFmtId="0" fontId="10" fillId="2" borderId="6" xfId="0" applyFont="1" applyFill="1" applyBorder="1"/>
    <xf numFmtId="0" fontId="15" fillId="0" borderId="0" xfId="0" applyFont="1"/>
    <xf numFmtId="0" fontId="16" fillId="0" borderId="7" xfId="0" applyFont="1" applyBorder="1"/>
    <xf numFmtId="164" fontId="0" fillId="5" borderId="7" xfId="3" applyNumberFormat="1" applyFont="1" applyFill="1" applyBorder="1"/>
    <xf numFmtId="165" fontId="0" fillId="0" borderId="0" xfId="0" applyNumberFormat="1"/>
    <xf numFmtId="9" fontId="0" fillId="0" borderId="7" xfId="2" applyFont="1" applyBorder="1"/>
    <xf numFmtId="165" fontId="0" fillId="0" borderId="7" xfId="3" applyNumberFormat="1" applyFont="1" applyBorder="1"/>
    <xf numFmtId="0" fontId="16" fillId="0" borderId="8" xfId="0" applyFont="1" applyBorder="1"/>
    <xf numFmtId="164" fontId="0" fillId="5" borderId="8" xfId="3" applyNumberFormat="1" applyFont="1" applyFill="1" applyBorder="1"/>
    <xf numFmtId="9" fontId="0" fillId="0" borderId="8" xfId="2" applyFont="1" applyBorder="1"/>
    <xf numFmtId="165" fontId="0" fillId="0" borderId="8" xfId="3" applyNumberFormat="1" applyFont="1" applyBorder="1"/>
    <xf numFmtId="0" fontId="10" fillId="0" borderId="8" xfId="0" applyFont="1" applyBorder="1"/>
    <xf numFmtId="165" fontId="17" fillId="0" borderId="8" xfId="3" applyNumberFormat="1" applyFont="1" applyBorder="1"/>
    <xf numFmtId="165" fontId="17" fillId="0" borderId="0" xfId="0" applyNumberFormat="1" applyFont="1"/>
    <xf numFmtId="9" fontId="17" fillId="0" borderId="8" xfId="2" applyFont="1" applyBorder="1"/>
    <xf numFmtId="0" fontId="17" fillId="0" borderId="0" xfId="0" applyFont="1"/>
    <xf numFmtId="9" fontId="10" fillId="0" borderId="8" xfId="2" applyFont="1" applyBorder="1"/>
    <xf numFmtId="0" fontId="10" fillId="0" borderId="9" xfId="0" applyFont="1" applyBorder="1"/>
    <xf numFmtId="164" fontId="0" fillId="5" borderId="9" xfId="3" applyNumberFormat="1" applyFont="1" applyFill="1" applyBorder="1"/>
    <xf numFmtId="9" fontId="0" fillId="0" borderId="9" xfId="2" applyFont="1" applyBorder="1"/>
    <xf numFmtId="165" fontId="0" fillId="0" borderId="9" xfId="3" applyNumberFormat="1" applyFont="1" applyBorder="1"/>
    <xf numFmtId="0" fontId="10" fillId="0" borderId="0" xfId="0" applyFont="1"/>
    <xf numFmtId="165" fontId="0" fillId="0" borderId="0" xfId="3" applyNumberFormat="1" applyFont="1"/>
    <xf numFmtId="9" fontId="0" fillId="0" borderId="0" xfId="2" applyFont="1"/>
    <xf numFmtId="0" fontId="10" fillId="0" borderId="6" xfId="0" applyFont="1" applyBorder="1"/>
    <xf numFmtId="165" fontId="17" fillId="0" borderId="6" xfId="3" applyNumberFormat="1" applyFont="1" applyBorder="1"/>
    <xf numFmtId="9" fontId="17" fillId="0" borderId="6" xfId="2" applyFont="1" applyBorder="1"/>
    <xf numFmtId="164" fontId="0" fillId="0" borderId="0" xfId="3" applyNumberFormat="1" applyFont="1"/>
    <xf numFmtId="165" fontId="10" fillId="0" borderId="8" xfId="3" applyNumberFormat="1" applyFont="1" applyBorder="1"/>
    <xf numFmtId="165" fontId="17" fillId="0" borderId="0" xfId="3" applyNumberFormat="1" applyFont="1"/>
    <xf numFmtId="9" fontId="17" fillId="0" borderId="0" xfId="2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6" xfId="0" applyFont="1" applyBorder="1" applyAlignment="1">
      <alignment horizontal="center" vertical="center" wrapText="1"/>
    </xf>
    <xf numFmtId="0" fontId="23" fillId="7" borderId="6" xfId="0" applyFont="1" applyFill="1" applyBorder="1" applyAlignment="1">
      <alignment horizontal="center" vertical="center"/>
    </xf>
    <xf numFmtId="0" fontId="24" fillId="0" borderId="0" xfId="0" applyFont="1"/>
    <xf numFmtId="0" fontId="25" fillId="0" borderId="0" xfId="0" applyFont="1" applyAlignment="1">
      <alignment horizontal="center"/>
    </xf>
    <xf numFmtId="0" fontId="0" fillId="0" borderId="10" xfId="0" applyBorder="1"/>
    <xf numFmtId="0" fontId="0" fillId="0" borderId="11" xfId="0" applyBorder="1"/>
    <xf numFmtId="0" fontId="18" fillId="0" borderId="7" xfId="0" applyFont="1" applyBorder="1"/>
    <xf numFmtId="0" fontId="25" fillId="0" borderId="7" xfId="0" applyFont="1" applyBorder="1" applyAlignment="1">
      <alignment horizontal="center"/>
    </xf>
    <xf numFmtId="0" fontId="0" fillId="0" borderId="12" xfId="0" applyBorder="1"/>
    <xf numFmtId="0" fontId="0" fillId="0" borderId="13" xfId="0" applyBorder="1"/>
    <xf numFmtId="165" fontId="18" fillId="0" borderId="8" xfId="1" applyNumberFormat="1" applyFont="1" applyBorder="1"/>
    <xf numFmtId="165" fontId="25" fillId="0" borderId="8" xfId="1" applyNumberFormat="1" applyFont="1" applyBorder="1" applyAlignment="1">
      <alignment horizontal="center"/>
    </xf>
    <xf numFmtId="0" fontId="26" fillId="0" borderId="0" xfId="0" applyFont="1"/>
    <xf numFmtId="0" fontId="10" fillId="0" borderId="10" xfId="0" applyFont="1" applyBorder="1"/>
    <xf numFmtId="0" fontId="10" fillId="0" borderId="11" xfId="0" applyFont="1" applyBorder="1"/>
    <xf numFmtId="165" fontId="22" fillId="0" borderId="10" xfId="3" applyNumberFormat="1" applyFont="1" applyBorder="1"/>
    <xf numFmtId="166" fontId="23" fillId="7" borderId="7" xfId="2" applyNumberFormat="1" applyFont="1" applyFill="1" applyBorder="1" applyAlignment="1">
      <alignment horizontal="center"/>
    </xf>
    <xf numFmtId="165" fontId="10" fillId="0" borderId="0" xfId="0" applyNumberFormat="1" applyFont="1"/>
    <xf numFmtId="0" fontId="10" fillId="0" borderId="14" xfId="0" applyFont="1" applyBorder="1"/>
    <xf numFmtId="0" fontId="10" fillId="0" borderId="15" xfId="0" applyFont="1" applyBorder="1"/>
    <xf numFmtId="165" fontId="22" fillId="0" borderId="14" xfId="3" applyNumberFormat="1" applyFont="1" applyBorder="1"/>
    <xf numFmtId="166" fontId="23" fillId="7" borderId="9" xfId="2" applyNumberFormat="1" applyFont="1" applyFill="1" applyBorder="1" applyAlignment="1">
      <alignment horizontal="center"/>
    </xf>
    <xf numFmtId="0" fontId="10" fillId="0" borderId="12" xfId="0" applyFont="1" applyBorder="1"/>
    <xf numFmtId="0" fontId="10" fillId="0" borderId="13" xfId="0" applyFont="1" applyBorder="1"/>
    <xf numFmtId="165" fontId="22" fillId="0" borderId="8" xfId="3" applyNumberFormat="1" applyFont="1" applyBorder="1"/>
    <xf numFmtId="166" fontId="23" fillId="7" borderId="8" xfId="2" applyNumberFormat="1" applyFont="1" applyFill="1" applyBorder="1" applyAlignment="1">
      <alignment horizontal="center"/>
    </xf>
    <xf numFmtId="9" fontId="18" fillId="0" borderId="7" xfId="2" applyFont="1" applyBorder="1"/>
    <xf numFmtId="166" fontId="25" fillId="7" borderId="7" xfId="2" applyNumberFormat="1" applyFont="1" applyFill="1" applyBorder="1" applyAlignment="1">
      <alignment horizontal="center"/>
    </xf>
    <xf numFmtId="166" fontId="25" fillId="7" borderId="8" xfId="2" applyNumberFormat="1" applyFont="1" applyFill="1" applyBorder="1" applyAlignment="1">
      <alignment horizontal="center"/>
    </xf>
    <xf numFmtId="0" fontId="0" fillId="0" borderId="14" xfId="0" applyBorder="1"/>
    <xf numFmtId="0" fontId="0" fillId="0" borderId="15" xfId="0" applyBorder="1"/>
    <xf numFmtId="9" fontId="18" fillId="0" borderId="9" xfId="2" applyFont="1" applyBorder="1"/>
    <xf numFmtId="166" fontId="25" fillId="7" borderId="9" xfId="2" applyNumberFormat="1" applyFont="1" applyFill="1" applyBorder="1" applyAlignment="1">
      <alignment horizontal="center"/>
    </xf>
    <xf numFmtId="0" fontId="10" fillId="0" borderId="1" xfId="0" applyFont="1" applyBorder="1"/>
    <xf numFmtId="0" fontId="10" fillId="0" borderId="3" xfId="0" applyFont="1" applyBorder="1"/>
    <xf numFmtId="165" fontId="22" fillId="0" borderId="6" xfId="3" applyNumberFormat="1" applyFont="1" applyBorder="1"/>
    <xf numFmtId="166" fontId="23" fillId="7" borderId="6" xfId="2" applyNumberFormat="1" applyFont="1" applyFill="1" applyBorder="1" applyAlignment="1">
      <alignment horizontal="center"/>
    </xf>
    <xf numFmtId="164" fontId="22" fillId="0" borderId="0" xfId="3" applyNumberFormat="1" applyFont="1" applyBorder="1"/>
    <xf numFmtId="166" fontId="23" fillId="0" borderId="0" xfId="2" applyNumberFormat="1" applyFont="1" applyBorder="1" applyAlignment="1">
      <alignment horizontal="center"/>
    </xf>
    <xf numFmtId="164" fontId="22" fillId="0" borderId="8" xfId="3" applyNumberFormat="1" applyFont="1" applyBorder="1"/>
    <xf numFmtId="0" fontId="16" fillId="0" borderId="12" xfId="0" applyFont="1" applyBorder="1"/>
    <xf numFmtId="164" fontId="18" fillId="0" borderId="9" xfId="3" applyNumberFormat="1" applyFont="1" applyBorder="1"/>
    <xf numFmtId="167" fontId="10" fillId="0" borderId="0" xfId="0" applyNumberFormat="1" applyFont="1"/>
    <xf numFmtId="164" fontId="18" fillId="0" borderId="7" xfId="3" applyNumberFormat="1" applyFont="1" applyBorder="1"/>
    <xf numFmtId="164" fontId="22" fillId="0" borderId="9" xfId="3" applyNumberFormat="1" applyFont="1" applyBorder="1"/>
    <xf numFmtId="165" fontId="18" fillId="0" borderId="0" xfId="0" applyNumberFormat="1" applyFont="1"/>
    <xf numFmtId="0" fontId="27" fillId="0" borderId="0" xfId="0" applyFont="1"/>
    <xf numFmtId="0" fontId="28" fillId="0" borderId="0" xfId="0" applyFont="1"/>
    <xf numFmtId="9" fontId="27" fillId="0" borderId="0" xfId="2" applyFont="1"/>
    <xf numFmtId="165" fontId="27" fillId="0" borderId="0" xfId="0" applyNumberFormat="1" applyFont="1"/>
    <xf numFmtId="0" fontId="9" fillId="2" borderId="1" xfId="0" applyFont="1" applyFill="1" applyBorder="1" applyAlignment="1">
      <alignment horizontal="center"/>
    </xf>
    <xf numFmtId="0" fontId="9" fillId="2" borderId="6" xfId="0" applyFont="1" applyFill="1" applyBorder="1" applyAlignment="1">
      <alignment horizontal="center"/>
    </xf>
    <xf numFmtId="0" fontId="30" fillId="0" borderId="0" xfId="0" applyFont="1" applyAlignment="1">
      <alignment horizontal="center"/>
    </xf>
    <xf numFmtId="0" fontId="27" fillId="0" borderId="7" xfId="0" applyFont="1" applyBorder="1"/>
    <xf numFmtId="0" fontId="30" fillId="0" borderId="7" xfId="0" applyFont="1" applyBorder="1" applyAlignment="1">
      <alignment horizontal="center"/>
    </xf>
    <xf numFmtId="165" fontId="27" fillId="0" borderId="8" xfId="1" applyNumberFormat="1" applyFont="1" applyBorder="1"/>
    <xf numFmtId="165" fontId="30" fillId="0" borderId="8" xfId="1" applyNumberFormat="1" applyFont="1" applyBorder="1" applyAlignment="1">
      <alignment horizontal="center"/>
    </xf>
    <xf numFmtId="9" fontId="27" fillId="0" borderId="8" xfId="2" applyFont="1" applyBorder="1"/>
    <xf numFmtId="9" fontId="27" fillId="0" borderId="9" xfId="2" applyFont="1" applyBorder="1"/>
    <xf numFmtId="0" fontId="13" fillId="0" borderId="0" xfId="0" applyFont="1"/>
    <xf numFmtId="165" fontId="9" fillId="0" borderId="7" xfId="3" applyNumberFormat="1" applyFont="1" applyBorder="1"/>
    <xf numFmtId="166" fontId="29" fillId="7" borderId="11" xfId="2" applyNumberFormat="1" applyFont="1" applyFill="1" applyBorder="1" applyAlignment="1">
      <alignment horizontal="center"/>
    </xf>
    <xf numFmtId="165" fontId="9" fillId="0" borderId="10" xfId="3" applyNumberFormat="1" applyFont="1" applyBorder="1"/>
    <xf numFmtId="166" fontId="29" fillId="7" borderId="7" xfId="2" applyNumberFormat="1" applyFont="1" applyFill="1" applyBorder="1" applyAlignment="1">
      <alignment horizontal="center"/>
    </xf>
    <xf numFmtId="0" fontId="9" fillId="0" borderId="0" xfId="0" applyFont="1"/>
    <xf numFmtId="166" fontId="29" fillId="8" borderId="7" xfId="2" applyNumberFormat="1" applyFont="1" applyFill="1" applyBorder="1" applyAlignment="1">
      <alignment horizontal="center"/>
    </xf>
    <xf numFmtId="165" fontId="9" fillId="0" borderId="9" xfId="3" applyNumberFormat="1" applyFont="1" applyBorder="1"/>
    <xf numFmtId="166" fontId="29" fillId="7" borderId="15" xfId="2" applyNumberFormat="1" applyFont="1" applyFill="1" applyBorder="1" applyAlignment="1">
      <alignment horizontal="center"/>
    </xf>
    <xf numFmtId="165" fontId="9" fillId="0" borderId="14" xfId="3" applyNumberFormat="1" applyFont="1" applyBorder="1"/>
    <xf numFmtId="166" fontId="29" fillId="7" borderId="9" xfId="2" applyNumberFormat="1" applyFont="1" applyFill="1" applyBorder="1" applyAlignment="1">
      <alignment horizontal="center"/>
    </xf>
    <xf numFmtId="166" fontId="29" fillId="8" borderId="9" xfId="2" applyNumberFormat="1" applyFont="1" applyFill="1" applyBorder="1" applyAlignment="1">
      <alignment horizontal="center"/>
    </xf>
    <xf numFmtId="165" fontId="9" fillId="0" borderId="8" xfId="3" applyNumberFormat="1" applyFont="1" applyBorder="1"/>
    <xf numFmtId="166" fontId="29" fillId="7" borderId="8" xfId="2" applyNumberFormat="1" applyFont="1" applyFill="1" applyBorder="1" applyAlignment="1">
      <alignment horizontal="center"/>
    </xf>
    <xf numFmtId="166" fontId="29" fillId="8" borderId="8" xfId="2" applyNumberFormat="1" applyFont="1" applyFill="1" applyBorder="1" applyAlignment="1">
      <alignment horizontal="center"/>
    </xf>
    <xf numFmtId="9" fontId="27" fillId="0" borderId="7" xfId="2" applyFont="1" applyBorder="1"/>
    <xf numFmtId="166" fontId="30" fillId="7" borderId="7" xfId="2" applyNumberFormat="1" applyFont="1" applyFill="1" applyBorder="1" applyAlignment="1">
      <alignment horizontal="center"/>
    </xf>
    <xf numFmtId="166" fontId="30" fillId="7" borderId="8" xfId="2" applyNumberFormat="1" applyFont="1" applyFill="1" applyBorder="1" applyAlignment="1">
      <alignment horizontal="center"/>
    </xf>
    <xf numFmtId="166" fontId="30" fillId="7" borderId="9" xfId="2" applyNumberFormat="1" applyFont="1" applyFill="1" applyBorder="1" applyAlignment="1">
      <alignment horizontal="center"/>
    </xf>
    <xf numFmtId="165" fontId="9" fillId="0" borderId="6" xfId="3" applyNumberFormat="1" applyFont="1" applyBorder="1"/>
    <xf numFmtId="166" fontId="29" fillId="7" borderId="6" xfId="2" applyNumberFormat="1" applyFont="1" applyFill="1" applyBorder="1" applyAlignment="1">
      <alignment horizontal="center"/>
    </xf>
    <xf numFmtId="166" fontId="29" fillId="8" borderId="6" xfId="2" applyNumberFormat="1" applyFont="1" applyFill="1" applyBorder="1" applyAlignment="1">
      <alignment horizontal="center"/>
    </xf>
    <xf numFmtId="164" fontId="9" fillId="0" borderId="0" xfId="3" applyNumberFormat="1" applyFont="1" applyBorder="1"/>
    <xf numFmtId="166" fontId="29" fillId="0" borderId="0" xfId="2" applyNumberFormat="1" applyFont="1" applyBorder="1" applyAlignment="1">
      <alignment horizontal="center"/>
    </xf>
    <xf numFmtId="166" fontId="29" fillId="8" borderId="0" xfId="2" applyNumberFormat="1" applyFont="1" applyFill="1" applyBorder="1" applyAlignment="1">
      <alignment horizontal="center"/>
    </xf>
    <xf numFmtId="164" fontId="9" fillId="0" borderId="8" xfId="3" applyNumberFormat="1" applyFont="1" applyBorder="1"/>
    <xf numFmtId="164" fontId="27" fillId="0" borderId="9" xfId="3" applyNumberFormat="1" applyFont="1" applyBorder="1"/>
    <xf numFmtId="164" fontId="27" fillId="0" borderId="7" xfId="3" applyNumberFormat="1" applyFont="1" applyBorder="1"/>
    <xf numFmtId="164" fontId="9" fillId="0" borderId="9" xfId="3" applyNumberFormat="1" applyFont="1" applyBorder="1"/>
    <xf numFmtId="0" fontId="9" fillId="2" borderId="1" xfId="0" applyFont="1" applyFill="1" applyBorder="1"/>
    <xf numFmtId="165" fontId="27" fillId="0" borderId="7" xfId="0" applyNumberFormat="1" applyFont="1" applyBorder="1"/>
    <xf numFmtId="17" fontId="10" fillId="0" borderId="0" xfId="0" applyNumberFormat="1" applyFont="1"/>
    <xf numFmtId="3" fontId="31" fillId="0" borderId="0" xfId="4" applyNumberFormat="1" applyFont="1" applyAlignment="1">
      <alignment horizontal="center" vertical="center"/>
    </xf>
    <xf numFmtId="3" fontId="32" fillId="0" borderId="0" xfId="4" applyNumberFormat="1" applyFont="1" applyAlignment="1">
      <alignment horizontal="center" vertical="center"/>
    </xf>
    <xf numFmtId="3" fontId="1" fillId="0" borderId="0" xfId="4" applyNumberFormat="1" applyAlignment="1">
      <alignment vertical="center"/>
    </xf>
    <xf numFmtId="3" fontId="33" fillId="0" borderId="0" xfId="4" applyNumberFormat="1" applyFont="1" applyAlignment="1">
      <alignment vertical="center"/>
    </xf>
    <xf numFmtId="169" fontId="34" fillId="0" borderId="0" xfId="5" applyNumberFormat="1" applyFont="1" applyBorder="1" applyAlignment="1">
      <alignment vertical="center"/>
    </xf>
    <xf numFmtId="0" fontId="35" fillId="0" borderId="0" xfId="4" applyFont="1"/>
    <xf numFmtId="164" fontId="2" fillId="0" borderId="0" xfId="3" applyNumberFormat="1" applyFont="1"/>
    <xf numFmtId="0" fontId="2" fillId="0" borderId="0" xfId="4" applyFont="1"/>
    <xf numFmtId="0" fontId="1" fillId="0" borderId="0" xfId="4"/>
    <xf numFmtId="0" fontId="33" fillId="0" borderId="12" xfId="4" applyFont="1" applyBorder="1" applyAlignment="1">
      <alignment vertical="center"/>
    </xf>
    <xf numFmtId="0" fontId="32" fillId="0" borderId="0" xfId="4" applyFont="1" applyAlignment="1">
      <alignment vertical="center"/>
    </xf>
    <xf numFmtId="0" fontId="38" fillId="0" borderId="0" xfId="6" applyFont="1" applyAlignment="1">
      <alignment horizontal="center" vertical="center"/>
    </xf>
    <xf numFmtId="0" fontId="31" fillId="0" borderId="13" xfId="6" applyFont="1" applyBorder="1" applyAlignment="1">
      <alignment horizontal="center" vertical="center"/>
    </xf>
    <xf numFmtId="0" fontId="3" fillId="0" borderId="16" xfId="4" applyFont="1" applyBorder="1" applyAlignment="1">
      <alignment vertical="top"/>
    </xf>
    <xf numFmtId="0" fontId="39" fillId="0" borderId="16" xfId="4" applyFont="1" applyBorder="1" applyAlignment="1">
      <alignment horizontal="center" vertical="center"/>
    </xf>
    <xf numFmtId="169" fontId="31" fillId="0" borderId="13" xfId="7" applyNumberFormat="1" applyFont="1" applyFill="1" applyBorder="1" applyAlignment="1" applyProtection="1">
      <alignment vertical="center"/>
    </xf>
    <xf numFmtId="3" fontId="41" fillId="0" borderId="12" xfId="4" applyNumberFormat="1" applyFont="1" applyBorder="1" applyAlignment="1">
      <alignment horizontal="center" vertical="center"/>
    </xf>
    <xf numFmtId="3" fontId="42" fillId="0" borderId="0" xfId="4" applyNumberFormat="1" applyFont="1" applyAlignment="1">
      <alignment horizontal="center" vertical="center"/>
    </xf>
    <xf numFmtId="0" fontId="44" fillId="0" borderId="0" xfId="4" applyFont="1"/>
    <xf numFmtId="0" fontId="35" fillId="0" borderId="0" xfId="4" applyFont="1" applyAlignment="1">
      <alignment horizontal="center" vertical="center"/>
    </xf>
    <xf numFmtId="0" fontId="44" fillId="0" borderId="0" xfId="4" applyFont="1" applyAlignment="1">
      <alignment horizontal="center" vertical="center"/>
    </xf>
    <xf numFmtId="3" fontId="31" fillId="0" borderId="12" xfId="4" applyNumberFormat="1" applyFont="1" applyBorder="1" applyAlignment="1">
      <alignment horizontal="center" vertical="center" wrapText="1"/>
    </xf>
    <xf numFmtId="3" fontId="32" fillId="0" borderId="0" xfId="4" applyNumberFormat="1" applyFont="1" applyAlignment="1">
      <alignment horizontal="center" vertical="center" wrapText="1"/>
    </xf>
    <xf numFmtId="3" fontId="3" fillId="0" borderId="4" xfId="4" applyNumberFormat="1" applyFont="1" applyBorder="1" applyAlignment="1">
      <alignment horizontal="center" vertical="center" wrapText="1"/>
    </xf>
    <xf numFmtId="0" fontId="31" fillId="8" borderId="23" xfId="4" applyFont="1" applyFill="1" applyBorder="1" applyAlignment="1">
      <alignment vertical="center"/>
    </xf>
    <xf numFmtId="0" fontId="31" fillId="8" borderId="24" xfId="4" applyFont="1" applyFill="1" applyBorder="1" applyAlignment="1">
      <alignment vertical="center"/>
    </xf>
    <xf numFmtId="3" fontId="3" fillId="0" borderId="4" xfId="4" applyNumberFormat="1" applyFont="1" applyBorder="1" applyAlignment="1">
      <alignment vertical="center"/>
    </xf>
    <xf numFmtId="171" fontId="45" fillId="8" borderId="23" xfId="4" applyNumberFormat="1" applyFont="1" applyFill="1" applyBorder="1" applyAlignment="1">
      <alignment vertical="center"/>
    </xf>
    <xf numFmtId="172" fontId="46" fillId="8" borderId="24" xfId="8" applyNumberFormat="1" applyFont="1" applyFill="1" applyBorder="1" applyAlignment="1" applyProtection="1">
      <alignment vertical="center"/>
    </xf>
    <xf numFmtId="164" fontId="45" fillId="8" borderId="23" xfId="3" applyNumberFormat="1" applyFont="1" applyFill="1" applyBorder="1" applyAlignment="1">
      <alignment vertical="center"/>
    </xf>
    <xf numFmtId="3" fontId="31" fillId="0" borderId="12" xfId="4" applyNumberFormat="1" applyFont="1" applyBorder="1" applyAlignment="1">
      <alignment horizontal="center" vertical="center"/>
    </xf>
    <xf numFmtId="3" fontId="47" fillId="0" borderId="0" xfId="4" applyNumberFormat="1" applyFont="1" applyAlignment="1">
      <alignment horizontal="center" vertical="center"/>
    </xf>
    <xf numFmtId="3" fontId="3" fillId="0" borderId="25" xfId="4" applyNumberFormat="1" applyFont="1" applyBorder="1" applyAlignment="1">
      <alignment vertical="center"/>
    </xf>
    <xf numFmtId="171" fontId="48" fillId="8" borderId="26" xfId="4" applyNumberFormat="1" applyFont="1" applyFill="1" applyBorder="1" applyAlignment="1">
      <alignment vertical="center"/>
    </xf>
    <xf numFmtId="172" fontId="49" fillId="8" borderId="27" xfId="8" applyNumberFormat="1" applyFont="1" applyFill="1" applyBorder="1" applyAlignment="1" applyProtection="1">
      <alignment vertical="center"/>
    </xf>
    <xf numFmtId="171" fontId="50" fillId="0" borderId="12" xfId="4" applyNumberFormat="1" applyFont="1" applyBorder="1" applyAlignment="1">
      <alignment vertical="center"/>
    </xf>
    <xf numFmtId="164" fontId="48" fillId="8" borderId="26" xfId="3" applyNumberFormat="1" applyFont="1" applyFill="1" applyBorder="1" applyAlignment="1">
      <alignment vertical="center"/>
    </xf>
    <xf numFmtId="0" fontId="51" fillId="0" borderId="0" xfId="4" applyFont="1"/>
    <xf numFmtId="0" fontId="3" fillId="0" borderId="0" xfId="4" applyFont="1"/>
    <xf numFmtId="171" fontId="48" fillId="8" borderId="23" xfId="4" applyNumberFormat="1" applyFont="1" applyFill="1" applyBorder="1" applyAlignment="1">
      <alignment vertical="center"/>
    </xf>
    <xf numFmtId="172" fontId="49" fillId="8" borderId="24" xfId="8" applyNumberFormat="1" applyFont="1" applyFill="1" applyBorder="1" applyAlignment="1" applyProtection="1">
      <alignment vertical="center"/>
    </xf>
    <xf numFmtId="164" fontId="48" fillId="8" borderId="23" xfId="3" applyNumberFormat="1" applyFont="1" applyFill="1" applyBorder="1" applyAlignment="1">
      <alignment vertical="center"/>
    </xf>
    <xf numFmtId="9" fontId="1" fillId="0" borderId="0" xfId="9" applyFont="1"/>
    <xf numFmtId="171" fontId="1" fillId="0" borderId="0" xfId="4" applyNumberFormat="1"/>
    <xf numFmtId="166" fontId="1" fillId="0" borderId="0" xfId="9" applyNumberFormat="1" applyFont="1"/>
    <xf numFmtId="3" fontId="52" fillId="0" borderId="4" xfId="4" applyNumberFormat="1" applyFont="1" applyBorder="1" applyAlignment="1">
      <alignment vertical="center"/>
    </xf>
    <xf numFmtId="171" fontId="53" fillId="8" borderId="23" xfId="4" applyNumberFormat="1" applyFont="1" applyFill="1" applyBorder="1" applyAlignment="1">
      <alignment vertical="center"/>
    </xf>
    <xf numFmtId="172" fontId="53" fillId="8" borderId="24" xfId="8" applyNumberFormat="1" applyFont="1" applyFill="1" applyBorder="1" applyAlignment="1" applyProtection="1">
      <alignment vertical="center"/>
    </xf>
    <xf numFmtId="164" fontId="53" fillId="8" borderId="23" xfId="3" applyNumberFormat="1" applyFont="1" applyFill="1" applyBorder="1" applyAlignment="1">
      <alignment vertical="center"/>
    </xf>
    <xf numFmtId="10" fontId="1" fillId="0" borderId="0" xfId="4" applyNumberFormat="1"/>
    <xf numFmtId="3" fontId="3" fillId="0" borderId="17" xfId="4" applyNumberFormat="1" applyFont="1" applyBorder="1" applyAlignment="1">
      <alignment vertical="center"/>
    </xf>
    <xf numFmtId="171" fontId="45" fillId="8" borderId="28" xfId="4" applyNumberFormat="1" applyFont="1" applyFill="1" applyBorder="1" applyAlignment="1">
      <alignment vertical="center"/>
    </xf>
    <xf numFmtId="172" fontId="46" fillId="8" borderId="29" xfId="8" applyNumberFormat="1" applyFont="1" applyFill="1" applyBorder="1" applyAlignment="1" applyProtection="1">
      <alignment vertical="center"/>
    </xf>
    <xf numFmtId="164" fontId="45" fillId="8" borderId="28" xfId="3" applyNumberFormat="1" applyFont="1" applyFill="1" applyBorder="1" applyAlignment="1">
      <alignment vertical="center"/>
    </xf>
    <xf numFmtId="3" fontId="1" fillId="0" borderId="12" xfId="4" applyNumberFormat="1" applyBorder="1" applyAlignment="1">
      <alignment horizontal="center" vertical="center"/>
    </xf>
    <xf numFmtId="0" fontId="0" fillId="0" borderId="30" xfId="0" applyBorder="1"/>
    <xf numFmtId="3" fontId="52" fillId="0" borderId="30" xfId="4" applyNumberFormat="1" applyFont="1" applyBorder="1" applyAlignment="1">
      <alignment vertical="center"/>
    </xf>
    <xf numFmtId="3" fontId="1" fillId="0" borderId="30" xfId="4" applyNumberFormat="1" applyBorder="1" applyAlignment="1">
      <alignment vertical="center"/>
    </xf>
    <xf numFmtId="3" fontId="3" fillId="0" borderId="30" xfId="4" applyNumberFormat="1" applyFont="1" applyBorder="1" applyAlignment="1">
      <alignment vertical="center"/>
    </xf>
    <xf numFmtId="3" fontId="3" fillId="0" borderId="20" xfId="4" applyNumberFormat="1" applyFont="1" applyBorder="1" applyAlignment="1">
      <alignment vertical="center"/>
    </xf>
    <xf numFmtId="171" fontId="45" fillId="8" borderId="31" xfId="4" applyNumberFormat="1" applyFont="1" applyFill="1" applyBorder="1" applyAlignment="1">
      <alignment vertical="center"/>
    </xf>
    <xf numFmtId="172" fontId="46" fillId="8" borderId="32" xfId="8" applyNumberFormat="1" applyFont="1" applyFill="1" applyBorder="1" applyAlignment="1" applyProtection="1">
      <alignment vertical="center"/>
    </xf>
    <xf numFmtId="164" fontId="45" fillId="8" borderId="31" xfId="3" applyNumberFormat="1" applyFont="1" applyFill="1" applyBorder="1" applyAlignment="1">
      <alignment vertical="center"/>
    </xf>
    <xf numFmtId="9" fontId="3" fillId="0" borderId="25" xfId="8" applyFont="1" applyFill="1" applyBorder="1" applyAlignment="1" applyProtection="1">
      <alignment vertical="center"/>
    </xf>
    <xf numFmtId="9" fontId="3" fillId="0" borderId="4" xfId="8" applyFont="1" applyFill="1" applyBorder="1" applyAlignment="1" applyProtection="1">
      <alignment vertical="center"/>
    </xf>
    <xf numFmtId="3" fontId="3" fillId="0" borderId="18" xfId="4" applyNumberFormat="1" applyFont="1" applyBorder="1" applyAlignment="1">
      <alignment vertical="center"/>
    </xf>
    <xf numFmtId="171" fontId="54" fillId="8" borderId="23" xfId="4" applyNumberFormat="1" applyFont="1" applyFill="1" applyBorder="1" applyAlignment="1">
      <alignment vertical="center"/>
    </xf>
    <xf numFmtId="164" fontId="54" fillId="8" borderId="23" xfId="3" applyNumberFormat="1" applyFont="1" applyFill="1" applyBorder="1" applyAlignment="1">
      <alignment vertical="center"/>
    </xf>
    <xf numFmtId="172" fontId="49" fillId="11" borderId="27" xfId="8" applyNumberFormat="1" applyFont="1" applyFill="1" applyBorder="1" applyAlignment="1" applyProtection="1">
      <alignment vertical="center"/>
    </xf>
    <xf numFmtId="172" fontId="49" fillId="8" borderId="24" xfId="4" applyNumberFormat="1" applyFont="1" applyFill="1" applyBorder="1" applyAlignment="1">
      <alignment vertical="center"/>
    </xf>
    <xf numFmtId="169" fontId="31" fillId="0" borderId="13" xfId="7" applyNumberFormat="1" applyFont="1" applyBorder="1" applyAlignment="1">
      <alignment vertical="center"/>
    </xf>
    <xf numFmtId="9" fontId="55" fillId="0" borderId="30" xfId="10" applyNumberFormat="1" applyFont="1" applyBorder="1" applyAlignment="1">
      <alignment vertical="center"/>
    </xf>
    <xf numFmtId="9" fontId="56" fillId="0" borderId="30" xfId="10" applyNumberFormat="1" applyFont="1" applyBorder="1" applyAlignment="1">
      <alignment vertical="center"/>
    </xf>
    <xf numFmtId="0" fontId="55" fillId="0" borderId="30" xfId="10" applyFont="1" applyBorder="1" applyAlignment="1">
      <alignment vertical="center"/>
    </xf>
    <xf numFmtId="0" fontId="4" fillId="0" borderId="0" xfId="4" applyFont="1"/>
    <xf numFmtId="0" fontId="3" fillId="0" borderId="4" xfId="4" applyFont="1" applyBorder="1" applyAlignment="1">
      <alignment vertical="center"/>
    </xf>
    <xf numFmtId="171" fontId="50" fillId="8" borderId="26" xfId="4" applyNumberFormat="1" applyFont="1" applyFill="1" applyBorder="1" applyAlignment="1">
      <alignment vertical="center"/>
    </xf>
    <xf numFmtId="164" fontId="50" fillId="8" borderId="26" xfId="3" applyNumberFormat="1" applyFont="1" applyFill="1" applyBorder="1" applyAlignment="1">
      <alignment vertical="center"/>
    </xf>
    <xf numFmtId="9" fontId="3" fillId="0" borderId="4" xfId="4" applyNumberFormat="1" applyFont="1" applyBorder="1" applyAlignment="1">
      <alignment vertical="center"/>
    </xf>
    <xf numFmtId="9" fontId="3" fillId="0" borderId="25" xfId="4" applyNumberFormat="1" applyFont="1" applyBorder="1" applyAlignment="1">
      <alignment vertical="center"/>
    </xf>
    <xf numFmtId="3" fontId="57" fillId="0" borderId="0" xfId="4" applyNumberFormat="1" applyFont="1" applyAlignment="1">
      <alignment horizontal="center" vertical="center"/>
    </xf>
    <xf numFmtId="171" fontId="49" fillId="8" borderId="26" xfId="4" applyNumberFormat="1" applyFont="1" applyFill="1" applyBorder="1" applyAlignment="1">
      <alignment vertical="center"/>
    </xf>
    <xf numFmtId="172" fontId="49" fillId="8" borderId="27" xfId="11" applyNumberFormat="1" applyFont="1" applyFill="1" applyBorder="1" applyAlignment="1" applyProtection="1">
      <alignment vertical="center"/>
    </xf>
    <xf numFmtId="164" fontId="49" fillId="8" borderId="26" xfId="3" applyNumberFormat="1" applyFont="1" applyFill="1" applyBorder="1" applyAlignment="1">
      <alignment vertical="center"/>
    </xf>
    <xf numFmtId="3" fontId="31" fillId="0" borderId="14" xfId="4" applyNumberFormat="1" applyFont="1" applyBorder="1" applyAlignment="1">
      <alignment horizontal="center" vertical="center"/>
    </xf>
    <xf numFmtId="3" fontId="57" fillId="0" borderId="33" xfId="4" applyNumberFormat="1" applyFont="1" applyBorder="1" applyAlignment="1">
      <alignment horizontal="center" vertical="center"/>
    </xf>
    <xf numFmtId="3" fontId="3" fillId="0" borderId="33" xfId="4" applyNumberFormat="1" applyFont="1" applyBorder="1" applyAlignment="1">
      <alignment vertical="center"/>
    </xf>
    <xf numFmtId="171" fontId="49" fillId="0" borderId="33" xfId="4" applyNumberFormat="1" applyFont="1" applyBorder="1" applyAlignment="1">
      <alignment vertical="center"/>
    </xf>
    <xf numFmtId="172" fontId="49" fillId="0" borderId="33" xfId="4" applyNumberFormat="1" applyFont="1" applyBorder="1" applyAlignment="1">
      <alignment vertical="center"/>
    </xf>
    <xf numFmtId="169" fontId="31" fillId="0" borderId="15" xfId="5" applyNumberFormat="1" applyFont="1" applyBorder="1" applyAlignment="1">
      <alignment vertical="center"/>
    </xf>
    <xf numFmtId="3" fontId="58" fillId="0" borderId="0" xfId="4" applyNumberFormat="1" applyFont="1" applyAlignment="1">
      <alignment horizontal="center" vertical="center"/>
    </xf>
    <xf numFmtId="3" fontId="59" fillId="0" borderId="0" xfId="4" applyNumberFormat="1" applyFont="1" applyAlignment="1">
      <alignment horizontal="center" vertical="center"/>
    </xf>
    <xf numFmtId="3" fontId="59" fillId="0" borderId="0" xfId="4" applyNumberFormat="1" applyFont="1" applyAlignment="1">
      <alignment vertical="center"/>
    </xf>
    <xf numFmtId="171" fontId="59" fillId="0" borderId="0" xfId="4" applyNumberFormat="1" applyFont="1" applyAlignment="1">
      <alignment vertical="center"/>
    </xf>
    <xf numFmtId="172" fontId="59" fillId="0" borderId="0" xfId="4" applyNumberFormat="1" applyFont="1" applyAlignment="1">
      <alignment vertical="center"/>
    </xf>
    <xf numFmtId="172" fontId="60" fillId="0" borderId="0" xfId="4" applyNumberFormat="1" applyFont="1" applyAlignment="1">
      <alignment vertical="center"/>
    </xf>
    <xf numFmtId="164" fontId="59" fillId="0" borderId="0" xfId="3" applyNumberFormat="1" applyFont="1"/>
    <xf numFmtId="0" fontId="59" fillId="0" borderId="0" xfId="4" applyFont="1"/>
    <xf numFmtId="169" fontId="31" fillId="0" borderId="0" xfId="5" applyNumberFormat="1" applyFont="1" applyBorder="1" applyAlignment="1">
      <alignment vertical="center"/>
    </xf>
    <xf numFmtId="17" fontId="9" fillId="0" borderId="0" xfId="0" applyNumberFormat="1" applyFont="1" applyAlignment="1">
      <alignment horizontal="center"/>
    </xf>
    <xf numFmtId="0" fontId="10" fillId="0" borderId="7" xfId="0" applyFont="1" applyBorder="1"/>
    <xf numFmtId="166" fontId="0" fillId="0" borderId="7" xfId="0" applyNumberFormat="1" applyBorder="1"/>
    <xf numFmtId="166" fontId="0" fillId="0" borderId="8" xfId="0" applyNumberFormat="1" applyBorder="1"/>
    <xf numFmtId="166" fontId="0" fillId="0" borderId="9" xfId="2" applyNumberFormat="1" applyFont="1" applyBorder="1"/>
    <xf numFmtId="43" fontId="0" fillId="0" borderId="7" xfId="3" applyFont="1" applyBorder="1"/>
    <xf numFmtId="43" fontId="0" fillId="0" borderId="9" xfId="3" applyFont="1" applyBorder="1"/>
    <xf numFmtId="164" fontId="16" fillId="0" borderId="7" xfId="3" applyNumberFormat="1" applyFont="1" applyFill="1" applyBorder="1"/>
    <xf numFmtId="164" fontId="0" fillId="0" borderId="8" xfId="3" applyNumberFormat="1" applyFont="1" applyFill="1" applyBorder="1"/>
    <xf numFmtId="164" fontId="0" fillId="0" borderId="8" xfId="0" applyNumberFormat="1" applyBorder="1"/>
    <xf numFmtId="9" fontId="0" fillId="0" borderId="8" xfId="2" applyFont="1" applyFill="1" applyBorder="1"/>
    <xf numFmtId="164" fontId="0" fillId="0" borderId="9" xfId="3" applyNumberFormat="1" applyFont="1" applyFill="1" applyBorder="1"/>
    <xf numFmtId="2" fontId="0" fillId="0" borderId="7" xfId="2" applyNumberFormat="1" applyFont="1" applyFill="1" applyBorder="1"/>
    <xf numFmtId="43" fontId="0" fillId="0" borderId="8" xfId="3" applyFont="1" applyFill="1" applyBorder="1"/>
    <xf numFmtId="9" fontId="0" fillId="0" borderId="8" xfId="0" applyNumberFormat="1" applyBorder="1"/>
    <xf numFmtId="2" fontId="0" fillId="0" borderId="9" xfId="2" applyNumberFormat="1" applyFont="1" applyFill="1" applyBorder="1"/>
    <xf numFmtId="173" fontId="7" fillId="8" borderId="34" xfId="12" applyNumberFormat="1" applyFont="1" applyFill="1" applyBorder="1" applyAlignment="1"/>
    <xf numFmtId="173" fontId="7" fillId="0" borderId="0" xfId="0" applyNumberFormat="1" applyFont="1"/>
    <xf numFmtId="0" fontId="16" fillId="8" borderId="0" xfId="13" applyFill="1"/>
    <xf numFmtId="0" fontId="16" fillId="0" borderId="0" xfId="13"/>
    <xf numFmtId="173" fontId="16" fillId="8" borderId="0" xfId="13" applyNumberFormat="1" applyFill="1"/>
    <xf numFmtId="173" fontId="16" fillId="8" borderId="0" xfId="12" applyNumberFormat="1" applyFill="1" applyBorder="1"/>
    <xf numFmtId="0" fontId="61" fillId="14" borderId="35" xfId="13" applyFont="1" applyFill="1" applyBorder="1" applyAlignment="1">
      <alignment horizontal="center" vertical="center"/>
    </xf>
    <xf numFmtId="173" fontId="61" fillId="14" borderId="36" xfId="13" applyNumberFormat="1" applyFont="1" applyFill="1" applyBorder="1" applyAlignment="1">
      <alignment horizontal="center" vertical="center"/>
    </xf>
    <xf numFmtId="0" fontId="61" fillId="14" borderId="37" xfId="13" applyFont="1" applyFill="1" applyBorder="1" applyAlignment="1">
      <alignment horizontal="center" vertical="center" wrapText="1"/>
    </xf>
    <xf numFmtId="0" fontId="61" fillId="14" borderId="38" xfId="13" applyFont="1" applyFill="1" applyBorder="1" applyAlignment="1">
      <alignment horizontal="center" vertical="center" wrapText="1"/>
    </xf>
    <xf numFmtId="0" fontId="16" fillId="0" borderId="0" xfId="13" applyAlignment="1">
      <alignment vertical="center"/>
    </xf>
    <xf numFmtId="0" fontId="10" fillId="8" borderId="12" xfId="13" applyFont="1" applyFill="1" applyBorder="1"/>
    <xf numFmtId="173" fontId="16" fillId="8" borderId="30" xfId="12" applyNumberFormat="1" applyFill="1" applyBorder="1" applyAlignment="1"/>
    <xf numFmtId="9" fontId="16" fillId="8" borderId="30" xfId="2" applyFont="1" applyFill="1" applyBorder="1" applyAlignment="1"/>
    <xf numFmtId="1" fontId="16" fillId="8" borderId="30" xfId="13" applyNumberFormat="1" applyFill="1" applyBorder="1" applyAlignment="1">
      <alignment horizontal="center"/>
    </xf>
    <xf numFmtId="9" fontId="16" fillId="8" borderId="30" xfId="2" applyFont="1" applyFill="1" applyBorder="1" applyAlignment="1">
      <alignment horizontal="center"/>
    </xf>
    <xf numFmtId="0" fontId="61" fillId="14" borderId="1" xfId="13" applyFont="1" applyFill="1" applyBorder="1"/>
    <xf numFmtId="173" fontId="61" fillId="14" borderId="37" xfId="12" applyNumberFormat="1" applyFont="1" applyFill="1" applyBorder="1"/>
    <xf numFmtId="173" fontId="61" fillId="14" borderId="36" xfId="12" applyNumberFormat="1" applyFont="1" applyFill="1" applyBorder="1"/>
    <xf numFmtId="10" fontId="61" fillId="14" borderId="38" xfId="14" applyNumberFormat="1" applyFont="1" applyFill="1" applyBorder="1" applyAlignment="1">
      <alignment horizontal="center"/>
    </xf>
    <xf numFmtId="0" fontId="61" fillId="2" borderId="6" xfId="0" applyFont="1" applyFill="1" applyBorder="1" applyAlignment="1">
      <alignment horizontal="center" vertical="center" wrapText="1"/>
    </xf>
    <xf numFmtId="0" fontId="61" fillId="2" borderId="1" xfId="0" applyFont="1" applyFill="1" applyBorder="1" applyAlignment="1">
      <alignment horizontal="center" vertical="center" wrapText="1"/>
    </xf>
    <xf numFmtId="0" fontId="10" fillId="2" borderId="0" xfId="0" applyFont="1" applyFill="1" applyAlignment="1">
      <alignment horizontal="center" vertical="center" wrapText="1"/>
    </xf>
    <xf numFmtId="164" fontId="0" fillId="0" borderId="7" xfId="15" applyNumberFormat="1" applyFont="1" applyBorder="1"/>
    <xf numFmtId="164" fontId="0" fillId="0" borderId="10" xfId="15" applyNumberFormat="1" applyFont="1" applyBorder="1"/>
    <xf numFmtId="164" fontId="0" fillId="0" borderId="0" xfId="15" applyNumberFormat="1" applyFont="1" applyBorder="1"/>
    <xf numFmtId="164" fontId="0" fillId="0" borderId="9" xfId="15" applyNumberFormat="1" applyFont="1" applyBorder="1"/>
    <xf numFmtId="164" fontId="0" fillId="0" borderId="14" xfId="15" applyNumberFormat="1" applyFont="1" applyBorder="1"/>
    <xf numFmtId="0" fontId="0" fillId="0" borderId="8" xfId="0" applyBorder="1"/>
    <xf numFmtId="0" fontId="10" fillId="2" borderId="1" xfId="0" applyFont="1" applyFill="1" applyBorder="1" applyAlignment="1">
      <alignment horizontal="center" vertical="center" wrapText="1"/>
    </xf>
    <xf numFmtId="164" fontId="0" fillId="0" borderId="12" xfId="0" applyNumberFormat="1" applyBorder="1"/>
    <xf numFmtId="164" fontId="0" fillId="0" borderId="0" xfId="0" applyNumberFormat="1"/>
    <xf numFmtId="166" fontId="0" fillId="0" borderId="9" xfId="9" applyNumberFormat="1" applyFont="1" applyBorder="1"/>
    <xf numFmtId="166" fontId="0" fillId="0" borderId="14" xfId="9" applyNumberFormat="1" applyFont="1" applyBorder="1"/>
    <xf numFmtId="166" fontId="0" fillId="0" borderId="0" xfId="9" applyNumberFormat="1" applyFont="1" applyBorder="1"/>
    <xf numFmtId="0" fontId="0" fillId="0" borderId="6" xfId="0" applyBorder="1"/>
    <xf numFmtId="0" fontId="10" fillId="15" borderId="6" xfId="0" applyFont="1" applyFill="1" applyBorder="1" applyAlignment="1">
      <alignment horizontal="center"/>
    </xf>
    <xf numFmtId="165" fontId="16" fillId="8" borderId="12" xfId="1" applyNumberFormat="1" applyFont="1" applyFill="1" applyBorder="1"/>
    <xf numFmtId="165" fontId="16" fillId="8" borderId="7" xfId="1" applyNumberFormat="1" applyFont="1" applyFill="1" applyBorder="1"/>
    <xf numFmtId="165" fontId="16" fillId="8" borderId="8" xfId="1" applyNumberFormat="1" applyFont="1" applyFill="1" applyBorder="1"/>
    <xf numFmtId="174" fontId="0" fillId="0" borderId="8" xfId="1" applyNumberFormat="1" applyFont="1" applyBorder="1"/>
    <xf numFmtId="175" fontId="0" fillId="0" borderId="6" xfId="1" applyNumberFormat="1" applyFont="1" applyBorder="1"/>
    <xf numFmtId="0" fontId="9" fillId="8" borderId="0" xfId="0" applyFont="1" applyFill="1" applyAlignment="1">
      <alignment horizontal="center"/>
    </xf>
    <xf numFmtId="0" fontId="0" fillId="8" borderId="0" xfId="0" applyFill="1"/>
    <xf numFmtId="0" fontId="10" fillId="8" borderId="0" xfId="0" applyFont="1" applyFill="1" applyAlignment="1">
      <alignment horizontal="center"/>
    </xf>
    <xf numFmtId="0" fontId="16" fillId="0" borderId="0" xfId="0" applyFont="1" applyAlignment="1">
      <alignment horizontal="center" wrapText="1"/>
    </xf>
    <xf numFmtId="17" fontId="17" fillId="16" borderId="1" xfId="0" applyNumberFormat="1" applyFont="1" applyFill="1" applyBorder="1" applyAlignment="1">
      <alignment vertical="center" wrapText="1"/>
    </xf>
    <xf numFmtId="17" fontId="17" fillId="16" borderId="3" xfId="0" applyNumberFormat="1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10" fillId="0" borderId="6" xfId="0" applyFont="1" applyBorder="1" applyAlignment="1">
      <alignment horizontal="center" vertical="center" wrapText="1"/>
    </xf>
    <xf numFmtId="0" fontId="10" fillId="8" borderId="10" xfId="0" applyFont="1" applyFill="1" applyBorder="1"/>
    <xf numFmtId="0" fontId="0" fillId="8" borderId="10" xfId="0" applyFill="1" applyBorder="1"/>
    <xf numFmtId="0" fontId="0" fillId="8" borderId="5" xfId="0" applyFill="1" applyBorder="1"/>
    <xf numFmtId="0" fontId="0" fillId="8" borderId="11" xfId="0" applyFill="1" applyBorder="1"/>
    <xf numFmtId="0" fontId="0" fillId="8" borderId="7" xfId="0" applyFill="1" applyBorder="1"/>
    <xf numFmtId="0" fontId="0" fillId="8" borderId="12" xfId="0" applyFill="1" applyBorder="1"/>
    <xf numFmtId="0" fontId="0" fillId="8" borderId="13" xfId="0" applyFill="1" applyBorder="1"/>
    <xf numFmtId="0" fontId="0" fillId="8" borderId="8" xfId="0" applyFill="1" applyBorder="1"/>
    <xf numFmtId="0" fontId="16" fillId="8" borderId="12" xfId="0" applyFont="1" applyFill="1" applyBorder="1"/>
    <xf numFmtId="9" fontId="62" fillId="8" borderId="0" xfId="9" applyFont="1" applyFill="1" applyBorder="1"/>
    <xf numFmtId="9" fontId="62" fillId="8" borderId="13" xfId="9" applyFont="1" applyFill="1" applyBorder="1"/>
    <xf numFmtId="9" fontId="10" fillId="8" borderId="8" xfId="9" applyFont="1" applyFill="1" applyBorder="1"/>
    <xf numFmtId="0" fontId="16" fillId="8" borderId="1" xfId="0" applyFont="1" applyFill="1" applyBorder="1"/>
    <xf numFmtId="165" fontId="16" fillId="8" borderId="1" xfId="1" applyNumberFormat="1" applyFont="1" applyFill="1" applyBorder="1"/>
    <xf numFmtId="1" fontId="62" fillId="8" borderId="2" xfId="9" applyNumberFormat="1" applyFont="1" applyFill="1" applyBorder="1" applyAlignment="1">
      <alignment horizontal="center"/>
    </xf>
    <xf numFmtId="1" fontId="62" fillId="8" borderId="3" xfId="9" applyNumberFormat="1" applyFont="1" applyFill="1" applyBorder="1" applyAlignment="1">
      <alignment horizontal="center"/>
    </xf>
    <xf numFmtId="9" fontId="10" fillId="8" borderId="6" xfId="9" applyFont="1" applyFill="1" applyBorder="1"/>
    <xf numFmtId="165" fontId="16" fillId="8" borderId="0" xfId="1" applyNumberFormat="1" applyFont="1" applyFill="1" applyBorder="1"/>
    <xf numFmtId="165" fontId="16" fillId="8" borderId="13" xfId="1" applyNumberFormat="1" applyFont="1" applyFill="1" applyBorder="1"/>
    <xf numFmtId="9" fontId="10" fillId="8" borderId="7" xfId="9" applyFont="1" applyFill="1" applyBorder="1"/>
    <xf numFmtId="0" fontId="63" fillId="8" borderId="12" xfId="0" applyFont="1" applyFill="1" applyBorder="1" applyAlignment="1">
      <alignment horizontal="center"/>
    </xf>
    <xf numFmtId="1" fontId="63" fillId="8" borderId="0" xfId="1" applyNumberFormat="1" applyFont="1" applyFill="1" applyBorder="1" applyAlignment="1">
      <alignment horizontal="center"/>
    </xf>
    <xf numFmtId="1" fontId="63" fillId="8" borderId="13" xfId="1" applyNumberFormat="1" applyFont="1" applyFill="1" applyBorder="1" applyAlignment="1">
      <alignment horizontal="center"/>
    </xf>
    <xf numFmtId="9" fontId="10" fillId="8" borderId="9" xfId="9" applyFont="1" applyFill="1" applyBorder="1"/>
    <xf numFmtId="0" fontId="16" fillId="8" borderId="10" xfId="0" applyFont="1" applyFill="1" applyBorder="1"/>
    <xf numFmtId="165" fontId="16" fillId="8" borderId="10" xfId="1" applyNumberFormat="1" applyFont="1" applyFill="1" applyBorder="1"/>
    <xf numFmtId="9" fontId="62" fillId="8" borderId="5" xfId="9" applyFont="1" applyFill="1" applyBorder="1"/>
    <xf numFmtId="9" fontId="62" fillId="8" borderId="11" xfId="9" applyFont="1" applyFill="1" applyBorder="1"/>
    <xf numFmtId="0" fontId="62" fillId="8" borderId="0" xfId="0" applyFont="1" applyFill="1"/>
    <xf numFmtId="0" fontId="62" fillId="8" borderId="13" xfId="0" applyFont="1" applyFill="1" applyBorder="1"/>
    <xf numFmtId="0" fontId="0" fillId="8" borderId="14" xfId="0" applyFill="1" applyBorder="1"/>
    <xf numFmtId="0" fontId="62" fillId="8" borderId="33" xfId="0" applyFont="1" applyFill="1" applyBorder="1"/>
    <xf numFmtId="0" fontId="62" fillId="8" borderId="15" xfId="0" applyFont="1" applyFill="1" applyBorder="1"/>
    <xf numFmtId="0" fontId="10" fillId="8" borderId="1" xfId="0" applyFont="1" applyFill="1" applyBorder="1"/>
    <xf numFmtId="165" fontId="10" fillId="8" borderId="1" xfId="1" applyNumberFormat="1" applyFont="1" applyFill="1" applyBorder="1"/>
    <xf numFmtId="1" fontId="63" fillId="8" borderId="2" xfId="1" applyNumberFormat="1" applyFont="1" applyFill="1" applyBorder="1" applyAlignment="1">
      <alignment horizontal="center"/>
    </xf>
    <xf numFmtId="1" fontId="63" fillId="8" borderId="3" xfId="1" applyNumberFormat="1" applyFont="1" applyFill="1" applyBorder="1" applyAlignment="1">
      <alignment horizontal="center"/>
    </xf>
    <xf numFmtId="0" fontId="10" fillId="8" borderId="0" xfId="0" applyFont="1" applyFill="1"/>
    <xf numFmtId="165" fontId="0" fillId="0" borderId="12" xfId="1" applyNumberFormat="1" applyFont="1" applyFill="1" applyBorder="1"/>
    <xf numFmtId="176" fontId="64" fillId="17" borderId="0" xfId="16" applyFont="1" applyFill="1" applyBorder="1" applyAlignment="1" applyProtection="1">
      <alignment horizontal="right" vertical="center"/>
      <protection locked="0" hidden="1"/>
    </xf>
    <xf numFmtId="176" fontId="0" fillId="0" borderId="0" xfId="16" applyFont="1"/>
    <xf numFmtId="176" fontId="0" fillId="0" borderId="0" xfId="0" applyNumberFormat="1"/>
    <xf numFmtId="0" fontId="3" fillId="8" borderId="0" xfId="0" applyFont="1" applyFill="1"/>
    <xf numFmtId="0" fontId="0" fillId="8" borderId="0" xfId="0" applyFill="1" applyAlignment="1">
      <alignment horizontal="center" vertical="center" wrapText="1"/>
    </xf>
    <xf numFmtId="4" fontId="0" fillId="8" borderId="0" xfId="0" applyNumberFormat="1" applyFill="1"/>
    <xf numFmtId="177" fontId="16" fillId="8" borderId="0" xfId="16" applyNumberFormat="1" applyFont="1" applyFill="1"/>
    <xf numFmtId="177" fontId="16" fillId="8" borderId="0" xfId="16" applyNumberFormat="1" applyFont="1" applyFill="1" applyBorder="1"/>
    <xf numFmtId="0" fontId="16" fillId="0" borderId="0" xfId="0" applyFont="1"/>
    <xf numFmtId="4" fontId="41" fillId="19" borderId="6" xfId="0" applyNumberFormat="1" applyFont="1" applyFill="1" applyBorder="1" applyAlignment="1">
      <alignment horizontal="center" vertical="center" wrapText="1"/>
    </xf>
    <xf numFmtId="0" fontId="18" fillId="8" borderId="0" xfId="0" applyFont="1" applyFill="1" applyAlignment="1">
      <alignment horizontal="center" vertical="center" wrapText="1"/>
    </xf>
    <xf numFmtId="4" fontId="41" fillId="0" borderId="0" xfId="0" applyNumberFormat="1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8" borderId="12" xfId="0" applyFill="1" applyBorder="1" applyAlignment="1">
      <alignment vertical="center"/>
    </xf>
    <xf numFmtId="178" fontId="0" fillId="8" borderId="0" xfId="0" applyNumberFormat="1" applyFill="1" applyAlignment="1">
      <alignment vertical="center"/>
    </xf>
    <xf numFmtId="164" fontId="16" fillId="8" borderId="0" xfId="3" applyNumberFormat="1" applyFont="1" applyFill="1" applyAlignment="1">
      <alignment vertical="center"/>
    </xf>
    <xf numFmtId="179" fontId="16" fillId="8" borderId="0" xfId="16" applyNumberFormat="1" applyFont="1" applyFill="1" applyBorder="1" applyAlignment="1">
      <alignment horizontal="left" vertical="center"/>
    </xf>
    <xf numFmtId="180" fontId="16" fillId="8" borderId="0" xfId="9" applyNumberFormat="1" applyFont="1" applyFill="1" applyBorder="1" applyAlignment="1">
      <alignment horizontal="left" vertical="center"/>
    </xf>
    <xf numFmtId="0" fontId="0" fillId="8" borderId="0" xfId="0" applyFill="1" applyAlignment="1">
      <alignment vertical="center"/>
    </xf>
    <xf numFmtId="178" fontId="0" fillId="8" borderId="13" xfId="0" applyNumberFormat="1" applyFill="1" applyBorder="1" applyAlignment="1">
      <alignment vertical="center"/>
    </xf>
    <xf numFmtId="0" fontId="0" fillId="0" borderId="0" xfId="0" applyAlignment="1">
      <alignment vertical="center"/>
    </xf>
    <xf numFmtId="3" fontId="0" fillId="8" borderId="0" xfId="0" applyNumberFormat="1" applyFill="1" applyAlignment="1">
      <alignment horizontal="left" vertical="center"/>
    </xf>
    <xf numFmtId="178" fontId="0" fillId="0" borderId="0" xfId="0" applyNumberFormat="1" applyAlignment="1">
      <alignment vertical="center"/>
    </xf>
    <xf numFmtId="0" fontId="16" fillId="8" borderId="12" xfId="0" applyFont="1" applyFill="1" applyBorder="1" applyAlignment="1">
      <alignment vertical="center"/>
    </xf>
    <xf numFmtId="0" fontId="3" fillId="8" borderId="12" xfId="0" applyFont="1" applyFill="1" applyBorder="1" applyAlignment="1">
      <alignment vertical="center"/>
    </xf>
    <xf numFmtId="178" fontId="10" fillId="8" borderId="6" xfId="0" applyNumberFormat="1" applyFont="1" applyFill="1" applyBorder="1" applyAlignment="1">
      <alignment vertical="center"/>
    </xf>
    <xf numFmtId="181" fontId="10" fillId="8" borderId="6" xfId="0" applyNumberFormat="1" applyFont="1" applyFill="1" applyBorder="1" applyAlignment="1">
      <alignment vertical="center"/>
    </xf>
    <xf numFmtId="0" fontId="3" fillId="8" borderId="0" xfId="0" applyFont="1" applyFill="1" applyAlignment="1">
      <alignment vertical="center"/>
    </xf>
    <xf numFmtId="0" fontId="3" fillId="0" borderId="0" xfId="0" applyFont="1" applyAlignment="1">
      <alignment vertical="center"/>
    </xf>
    <xf numFmtId="0" fontId="0" fillId="8" borderId="33" xfId="0" applyFill="1" applyBorder="1" applyAlignment="1">
      <alignment horizontal="center" vertical="center" wrapText="1"/>
    </xf>
    <xf numFmtId="4" fontId="0" fillId="8" borderId="33" xfId="0" applyNumberFormat="1" applyFill="1" applyBorder="1"/>
    <xf numFmtId="0" fontId="0" fillId="8" borderId="33" xfId="0" applyFill="1" applyBorder="1"/>
    <xf numFmtId="177" fontId="16" fillId="8" borderId="33" xfId="16" applyNumberFormat="1" applyFont="1" applyFill="1" applyBorder="1"/>
    <xf numFmtId="0" fontId="0" fillId="8" borderId="33" xfId="0" applyFill="1" applyBorder="1" applyAlignment="1">
      <alignment vertical="top" wrapText="1"/>
    </xf>
    <xf numFmtId="0" fontId="0" fillId="8" borderId="15" xfId="0" applyFill="1" applyBorder="1"/>
    <xf numFmtId="0" fontId="0" fillId="8" borderId="0" xfId="0" applyFill="1" applyAlignment="1">
      <alignment vertical="top" wrapText="1"/>
    </xf>
    <xf numFmtId="178" fontId="0" fillId="8" borderId="0" xfId="0" applyNumberFormat="1" applyFill="1"/>
    <xf numFmtId="177" fontId="0" fillId="8" borderId="0" xfId="16" applyNumberFormat="1" applyFont="1" applyFill="1"/>
    <xf numFmtId="0" fontId="36" fillId="8" borderId="0" xfId="0" applyFont="1" applyFill="1"/>
    <xf numFmtId="0" fontId="36" fillId="8" borderId="0" xfId="0" applyFont="1" applyFill="1" applyAlignment="1">
      <alignment horizontal="center" vertical="center" wrapText="1"/>
    </xf>
    <xf numFmtId="177" fontId="36" fillId="8" borderId="0" xfId="16" applyNumberFormat="1" applyFont="1" applyFill="1"/>
    <xf numFmtId="178" fontId="36" fillId="8" borderId="0" xfId="0" applyNumberFormat="1" applyFont="1" applyFill="1"/>
    <xf numFmtId="0" fontId="16" fillId="8" borderId="0" xfId="0" applyFont="1" applyFill="1"/>
    <xf numFmtId="177" fontId="0" fillId="0" borderId="0" xfId="16" applyNumberFormat="1" applyFont="1"/>
    <xf numFmtId="0" fontId="7" fillId="8" borderId="0" xfId="0" applyFont="1" applyFill="1"/>
    <xf numFmtId="164" fontId="7" fillId="8" borderId="0" xfId="3" applyNumberFormat="1" applyFont="1" applyFill="1"/>
    <xf numFmtId="164" fontId="0" fillId="8" borderId="0" xfId="3" applyNumberFormat="1" applyFont="1" applyFill="1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0" fontId="6" fillId="8" borderId="0" xfId="0" applyFont="1" applyFill="1"/>
    <xf numFmtId="166" fontId="10" fillId="8" borderId="0" xfId="14" applyNumberFormat="1" applyFont="1" applyFill="1"/>
    <xf numFmtId="0" fontId="0" fillId="0" borderId="0" xfId="0" applyAlignment="1">
      <alignment horizontal="left" indent="1"/>
    </xf>
    <xf numFmtId="0" fontId="0" fillId="0" borderId="0" xfId="0" pivotButton="1"/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17" fontId="9" fillId="0" borderId="5" xfId="0" applyNumberFormat="1" applyFont="1" applyBorder="1" applyAlignment="1">
      <alignment horizontal="center"/>
    </xf>
    <xf numFmtId="0" fontId="10" fillId="0" borderId="0" xfId="0" applyFont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9" fillId="2" borderId="3" xfId="0" applyFont="1" applyFill="1" applyBorder="1" applyAlignment="1">
      <alignment horizontal="center"/>
    </xf>
    <xf numFmtId="0" fontId="9" fillId="6" borderId="1" xfId="0" applyFont="1" applyFill="1" applyBorder="1" applyAlignment="1">
      <alignment horizontal="center"/>
    </xf>
    <xf numFmtId="0" fontId="9" fillId="6" borderId="3" xfId="0" applyFont="1" applyFill="1" applyBorder="1" applyAlignment="1">
      <alignment horizontal="center"/>
    </xf>
    <xf numFmtId="0" fontId="9" fillId="0" borderId="7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/>
    </xf>
    <xf numFmtId="0" fontId="29" fillId="7" borderId="7" xfId="0" applyFont="1" applyFill="1" applyBorder="1" applyAlignment="1">
      <alignment horizontal="center" vertical="center"/>
    </xf>
    <xf numFmtId="0" fontId="29" fillId="7" borderId="9" xfId="0" applyFont="1" applyFill="1" applyBorder="1" applyAlignment="1">
      <alignment horizontal="center" vertical="center"/>
    </xf>
    <xf numFmtId="0" fontId="9" fillId="0" borderId="5" xfId="0" applyFont="1" applyBorder="1" applyAlignment="1">
      <alignment horizontal="center"/>
    </xf>
    <xf numFmtId="3" fontId="43" fillId="9" borderId="19" xfId="4" applyNumberFormat="1" applyFont="1" applyFill="1" applyBorder="1" applyAlignment="1">
      <alignment horizontal="center" vertical="center" wrapText="1"/>
    </xf>
    <xf numFmtId="3" fontId="43" fillId="9" borderId="22" xfId="4" applyNumberFormat="1" applyFont="1" applyFill="1" applyBorder="1" applyAlignment="1">
      <alignment horizontal="center" vertical="center" wrapText="1"/>
    </xf>
    <xf numFmtId="164" fontId="43" fillId="10" borderId="18" xfId="3" applyNumberFormat="1" applyFont="1" applyFill="1" applyBorder="1" applyAlignment="1" applyProtection="1">
      <alignment horizontal="center" vertical="center" wrapText="1"/>
    </xf>
    <xf numFmtId="164" fontId="43" fillId="10" borderId="21" xfId="3" applyNumberFormat="1" applyFont="1" applyFill="1" applyBorder="1" applyAlignment="1" applyProtection="1">
      <alignment horizontal="center" vertical="center" wrapText="1"/>
    </xf>
    <xf numFmtId="3" fontId="43" fillId="10" borderId="19" xfId="4" applyNumberFormat="1" applyFont="1" applyFill="1" applyBorder="1" applyAlignment="1">
      <alignment horizontal="center" vertical="center" wrapText="1"/>
    </xf>
    <xf numFmtId="3" fontId="43" fillId="10" borderId="22" xfId="4" applyNumberFormat="1" applyFont="1" applyFill="1" applyBorder="1" applyAlignment="1">
      <alignment horizontal="center" vertical="center" wrapText="1"/>
    </xf>
    <xf numFmtId="0" fontId="43" fillId="9" borderId="18" xfId="5" applyNumberFormat="1" applyFont="1" applyFill="1" applyBorder="1" applyAlignment="1" applyProtection="1">
      <alignment horizontal="center" vertical="center" wrapText="1"/>
    </xf>
    <xf numFmtId="0" fontId="43" fillId="9" borderId="21" xfId="5" applyNumberFormat="1" applyFont="1" applyFill="1" applyBorder="1" applyAlignment="1" applyProtection="1">
      <alignment horizontal="center" vertical="center" wrapText="1"/>
    </xf>
    <xf numFmtId="0" fontId="43" fillId="10" borderId="18" xfId="5" applyNumberFormat="1" applyFont="1" applyFill="1" applyBorder="1" applyAlignment="1" applyProtection="1">
      <alignment horizontal="center" vertical="center" wrapText="1"/>
    </xf>
    <xf numFmtId="0" fontId="43" fillId="10" borderId="21" xfId="5" applyNumberFormat="1" applyFont="1" applyFill="1" applyBorder="1" applyAlignment="1" applyProtection="1">
      <alignment horizontal="center" vertical="center" wrapText="1"/>
    </xf>
    <xf numFmtId="0" fontId="37" fillId="0" borderId="10" xfId="6" applyFont="1" applyBorder="1" applyAlignment="1">
      <alignment horizontal="center" vertical="center"/>
    </xf>
    <xf numFmtId="0" fontId="37" fillId="0" borderId="5" xfId="6" applyFont="1" applyBorder="1" applyAlignment="1">
      <alignment horizontal="center" vertical="center"/>
    </xf>
    <xf numFmtId="0" fontId="37" fillId="0" borderId="11" xfId="6" applyFont="1" applyBorder="1" applyAlignment="1">
      <alignment horizontal="center" vertical="center"/>
    </xf>
    <xf numFmtId="0" fontId="38" fillId="0" borderId="0" xfId="6" applyFont="1" applyAlignment="1">
      <alignment horizontal="center" vertical="center"/>
    </xf>
    <xf numFmtId="3" fontId="43" fillId="9" borderId="17" xfId="4" applyNumberFormat="1" applyFont="1" applyFill="1" applyBorder="1" applyAlignment="1">
      <alignment horizontal="center" vertical="center" wrapText="1"/>
    </xf>
    <xf numFmtId="3" fontId="43" fillId="9" borderId="20" xfId="4" applyNumberFormat="1" applyFont="1" applyFill="1" applyBorder="1" applyAlignment="1">
      <alignment horizontal="center" vertical="center" wrapText="1"/>
    </xf>
    <xf numFmtId="17" fontId="9" fillId="0" borderId="0" xfId="0" applyNumberFormat="1" applyFont="1" applyAlignment="1">
      <alignment horizontal="center"/>
    </xf>
    <xf numFmtId="17" fontId="9" fillId="0" borderId="7" xfId="0" applyNumberFormat="1" applyFont="1" applyBorder="1" applyAlignment="1">
      <alignment horizontal="center" wrapText="1"/>
    </xf>
    <xf numFmtId="17" fontId="9" fillId="0" borderId="9" xfId="0" applyNumberFormat="1" applyFont="1" applyBorder="1" applyAlignment="1">
      <alignment horizontal="center" wrapText="1"/>
    </xf>
    <xf numFmtId="17" fontId="9" fillId="0" borderId="7" xfId="0" applyNumberFormat="1" applyFont="1" applyBorder="1" applyAlignment="1">
      <alignment horizontal="center" vertical="center" wrapText="1"/>
    </xf>
    <xf numFmtId="17" fontId="9" fillId="0" borderId="9" xfId="0" applyNumberFormat="1" applyFont="1" applyBorder="1" applyAlignment="1">
      <alignment horizontal="center" vertical="center" wrapText="1"/>
    </xf>
    <xf numFmtId="0" fontId="9" fillId="12" borderId="1" xfId="13" applyFont="1" applyFill="1" applyBorder="1" applyAlignment="1">
      <alignment horizontal="center"/>
    </xf>
    <xf numFmtId="0" fontId="9" fillId="12" borderId="2" xfId="13" applyFont="1" applyFill="1" applyBorder="1" applyAlignment="1">
      <alignment horizontal="center"/>
    </xf>
    <xf numFmtId="0" fontId="9" fillId="12" borderId="3" xfId="13" applyFont="1" applyFill="1" applyBorder="1" applyAlignment="1">
      <alignment horizontal="center"/>
    </xf>
    <xf numFmtId="0" fontId="10" fillId="8" borderId="12" xfId="0" applyFont="1" applyFill="1" applyBorder="1" applyAlignment="1">
      <alignment horizontal="center"/>
    </xf>
    <xf numFmtId="0" fontId="10" fillId="8" borderId="0" xfId="0" applyFont="1" applyFill="1" applyAlignment="1">
      <alignment horizontal="center"/>
    </xf>
    <xf numFmtId="17" fontId="9" fillId="13" borderId="1" xfId="0" applyNumberFormat="1" applyFont="1" applyFill="1" applyBorder="1" applyAlignment="1">
      <alignment horizontal="center"/>
    </xf>
    <xf numFmtId="17" fontId="9" fillId="13" borderId="2" xfId="0" applyNumberFormat="1" applyFont="1" applyFill="1" applyBorder="1" applyAlignment="1">
      <alignment horizontal="center"/>
    </xf>
    <xf numFmtId="17" fontId="9" fillId="13" borderId="3" xfId="0" applyNumberFormat="1" applyFont="1" applyFill="1" applyBorder="1" applyAlignment="1">
      <alignment horizontal="center"/>
    </xf>
    <xf numFmtId="0" fontId="10" fillId="15" borderId="1" xfId="0" applyFont="1" applyFill="1" applyBorder="1" applyAlignment="1">
      <alignment horizontal="center"/>
    </xf>
    <xf numFmtId="0" fontId="10" fillId="15" borderId="2" xfId="0" applyFont="1" applyFill="1" applyBorder="1" applyAlignment="1">
      <alignment horizontal="center"/>
    </xf>
    <xf numFmtId="0" fontId="10" fillId="15" borderId="3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17" fontId="9" fillId="8" borderId="5" xfId="0" applyNumberFormat="1" applyFont="1" applyFill="1" applyBorder="1" applyAlignment="1">
      <alignment horizontal="center"/>
    </xf>
    <xf numFmtId="0" fontId="65" fillId="12" borderId="1" xfId="0" applyFont="1" applyFill="1" applyBorder="1" applyAlignment="1">
      <alignment horizontal="center"/>
    </xf>
    <xf numFmtId="0" fontId="65" fillId="12" borderId="2" xfId="0" applyFont="1" applyFill="1" applyBorder="1" applyAlignment="1">
      <alignment horizontal="center"/>
    </xf>
    <xf numFmtId="0" fontId="65" fillId="12" borderId="3" xfId="0" applyFont="1" applyFill="1" applyBorder="1" applyAlignment="1">
      <alignment horizontal="center"/>
    </xf>
    <xf numFmtId="0" fontId="10" fillId="0" borderId="12" xfId="0" applyFont="1" applyBorder="1" applyAlignment="1">
      <alignment horizontal="center"/>
    </xf>
    <xf numFmtId="1" fontId="66" fillId="18" borderId="1" xfId="0" applyNumberFormat="1" applyFont="1" applyFill="1" applyBorder="1" applyAlignment="1">
      <alignment horizontal="center"/>
    </xf>
    <xf numFmtId="1" fontId="66" fillId="18" borderId="2" xfId="0" applyNumberFormat="1" applyFont="1" applyFill="1" applyBorder="1" applyAlignment="1">
      <alignment horizontal="center"/>
    </xf>
    <xf numFmtId="1" fontId="66" fillId="18" borderId="3" xfId="0" applyNumberFormat="1" applyFont="1" applyFill="1" applyBorder="1" applyAlignment="1">
      <alignment horizontal="center"/>
    </xf>
    <xf numFmtId="0" fontId="13" fillId="18" borderId="1" xfId="0" applyFont="1" applyFill="1" applyBorder="1" applyAlignment="1">
      <alignment horizontal="center"/>
    </xf>
    <xf numFmtId="0" fontId="13" fillId="18" borderId="3" xfId="0" applyFont="1" applyFill="1" applyBorder="1" applyAlignment="1">
      <alignment horizontal="center"/>
    </xf>
    <xf numFmtId="0" fontId="6" fillId="20" borderId="1" xfId="0" applyFont="1" applyFill="1" applyBorder="1" applyAlignment="1">
      <alignment horizontal="center"/>
    </xf>
    <xf numFmtId="0" fontId="6" fillId="20" borderId="2" xfId="0" applyFont="1" applyFill="1" applyBorder="1" applyAlignment="1">
      <alignment horizontal="center"/>
    </xf>
    <xf numFmtId="0" fontId="6" fillId="20" borderId="3" xfId="0" applyFont="1" applyFill="1" applyBorder="1" applyAlignment="1">
      <alignment horizontal="center"/>
    </xf>
  </cellXfs>
  <cellStyles count="17">
    <cellStyle name="Millares 15" xfId="5" xr:uid="{CA802ECC-BFC9-464C-A355-3EF2446501C2}"/>
    <cellStyle name="Millares 2" xfId="15" xr:uid="{A9C71703-F39F-40A0-AF4C-E1BDBC6EE88A}"/>
    <cellStyle name="Millares 2 3" xfId="3" xr:uid="{C50C6D4C-E212-4E1A-8713-AAC5B8DBF9A3}"/>
    <cellStyle name="Millares 2 8" xfId="12" xr:uid="{74836BAC-7576-417C-B150-049507B95E08}"/>
    <cellStyle name="Millares 3" xfId="16" xr:uid="{18D2E864-FE94-4F29-8B56-EE2A87E241CA}"/>
    <cellStyle name="Millares 8" xfId="7" xr:uid="{446C938D-A30E-4B7F-9A73-FD3AD2E59B2D}"/>
    <cellStyle name="Moneda" xfId="1" builtinId="4"/>
    <cellStyle name="Normal" xfId="0" builtinId="0"/>
    <cellStyle name="Normal 19" xfId="4" xr:uid="{E0C677C8-8589-4035-B8CF-336E0AD43BED}"/>
    <cellStyle name="Normal 2 2" xfId="10" xr:uid="{6F9BD1B9-CF66-4B7E-8C94-7A29B187C256}"/>
    <cellStyle name="Normal 3 3" xfId="6" xr:uid="{66FEA43B-7AA9-4080-B67C-2089B4FAC328}"/>
    <cellStyle name="Normal 4 2" xfId="13" xr:uid="{B93F1F50-E349-4B88-9EFD-8D771C81052C}"/>
    <cellStyle name="Porcentaje" xfId="2" builtinId="5"/>
    <cellStyle name="Porcentaje 2" xfId="9" xr:uid="{0E3FCCFB-D7E9-4E07-9526-2ECD0738A95D}"/>
    <cellStyle name="Porcentaje 3" xfId="14" xr:uid="{37DB23A2-5F36-4B70-8AE4-4D9065039F19}"/>
    <cellStyle name="Porcentual 12" xfId="8" xr:uid="{33C11A8F-20DC-4826-BD5F-AAD4CFDBE03B}"/>
    <cellStyle name="Porcentual 2 2" xfId="11" xr:uid="{816CC08B-02B8-4676-8DFF-786ACCE79210}"/>
  </cellStyles>
  <dxfs count="15">
    <dxf>
      <numFmt numFmtId="164" formatCode="_ * #,##0_ ;_ * \-#,##0_ ;_ * &quot;-&quot;??_ ;_ @_ "/>
    </dxf>
    <dxf>
      <numFmt numFmtId="164" formatCode="_ * #,##0_ ;_ * \-#,##0_ ;_ * &quot;-&quot;??_ ;_ @_ "/>
    </dxf>
    <dxf>
      <numFmt numFmtId="164" formatCode="_ * #,##0_ ;_ * \-#,##0_ ;_ * &quot;-&quot;??_ ;_ @_ "/>
    </dxf>
    <dxf>
      <numFmt numFmtId="164" formatCode="_ * #,##0_ ;_ * \-#,##0_ ;_ * &quot;-&quot;??_ ;_ @_ "/>
    </dxf>
    <dxf>
      <numFmt numFmtId="164" formatCode="_ * #,##0_ ;_ * \-#,##0_ ;_ * &quot;-&quot;??_ ;_ @_ "/>
    </dxf>
    <dxf>
      <numFmt numFmtId="164" formatCode="_ * #,##0_ ;_ * \-#,##0_ ;_ * &quot;-&quot;??_ ;_ @_ 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border outline="0">
        <right style="medium">
          <color indexed="64"/>
        </righ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indexed="43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PIB Anual</a:t>
            </a:r>
          </a:p>
        </c:rich>
      </c:tx>
      <c:layout>
        <c:manualLayout>
          <c:xMode val="edge"/>
          <c:yMode val="edge"/>
          <c:x val="0.43128969253258315"/>
          <c:y val="7.306349103056332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067653276955601"/>
          <c:y val="0.17699166030506863"/>
          <c:w val="0.7463002114164905"/>
          <c:h val="0.68436775317959875"/>
        </c:manualLayout>
      </c:layout>
      <c:lineChart>
        <c:grouping val="standard"/>
        <c:varyColors val="0"/>
        <c:ser>
          <c:idx val="0"/>
          <c:order val="0"/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dLbls>
            <c:dLbl>
              <c:idx val="17"/>
              <c:spPr/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FF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s-EC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302-4942-AF47-71487E7B0EE1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25400">
                <a:solidFill>
                  <a:srgbClr val="000000"/>
                </a:solidFill>
                <a:prstDash val="lgDash"/>
              </a:ln>
            </c:spPr>
            <c:trendlineType val="linear"/>
            <c:dispRSqr val="0"/>
            <c:dispEq val="0"/>
          </c:trendline>
          <c:cat>
            <c:numRef>
              <c:f>'[1]DATA Macroecono'!$B$3:$B$20</c:f>
              <c:numCache>
                <c:formatCode>General</c:formatCode>
                <c:ptCount val="18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</c:numCache>
            </c:numRef>
          </c:cat>
          <c:val>
            <c:numRef>
              <c:f>'[1]DATA Macroecono'!$C$3:$C$20</c:f>
              <c:numCache>
                <c:formatCode>General</c:formatCode>
                <c:ptCount val="18"/>
                <c:pt idx="0">
                  <c:v>8.2110209173403845</c:v>
                </c:pt>
                <c:pt idx="1">
                  <c:v>5.2913082669940215</c:v>
                </c:pt>
                <c:pt idx="2">
                  <c:v>4.4035264338318614</c:v>
                </c:pt>
                <c:pt idx="3">
                  <c:v>2.190063972245393</c:v>
                </c:pt>
                <c:pt idx="4">
                  <c:v>6.3571305999083227</c:v>
                </c:pt>
                <c:pt idx="5">
                  <c:v>0.56649159210009348</c:v>
                </c:pt>
                <c:pt idx="6">
                  <c:v>3.5252986689402688</c:v>
                </c:pt>
                <c:pt idx="7">
                  <c:v>7.8681409191099672</c:v>
                </c:pt>
                <c:pt idx="8">
                  <c:v>5.2203457677122866</c:v>
                </c:pt>
                <c:pt idx="9">
                  <c:v>4.6415722142554072</c:v>
                </c:pt>
                <c:pt idx="10">
                  <c:v>3.8</c:v>
                </c:pt>
                <c:pt idx="11">
                  <c:v>0.2</c:v>
                </c:pt>
                <c:pt idx="12">
                  <c:v>-1.5</c:v>
                </c:pt>
                <c:pt idx="13">
                  <c:v>2.4</c:v>
                </c:pt>
                <c:pt idx="14">
                  <c:v>1.3</c:v>
                </c:pt>
                <c:pt idx="15">
                  <c:v>0.1</c:v>
                </c:pt>
                <c:pt idx="16">
                  <c:v>-7.8</c:v>
                </c:pt>
                <c:pt idx="17">
                  <c:v>3.55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302-4942-AF47-71487E7B0E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3856864"/>
        <c:axId val="1"/>
      </c:lineChart>
      <c:catAx>
        <c:axId val="1063856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C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de Crecimiento</a:t>
                </a:r>
              </a:p>
            </c:rich>
          </c:tx>
          <c:layout>
            <c:manualLayout>
              <c:xMode val="edge"/>
              <c:yMode val="edge"/>
              <c:x val="5.0740108344491254E-2"/>
              <c:y val="0.3510333289950326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C"/>
          </a:p>
        </c:txPr>
        <c:crossAx val="1063856864"/>
        <c:crosses val="autoZero"/>
        <c:crossBetween val="between"/>
      </c:valAx>
      <c:spPr>
        <a:gradFill rotWithShape="0">
          <a:gsLst>
            <a:gs pos="0">
              <a:srgbClr val="C0C0C0"/>
            </a:gs>
            <a:gs pos="100000">
              <a:srgbClr val="FFFFCC"/>
            </a:gs>
          </a:gsLst>
          <a:lin ang="5400000" scaled="1"/>
        </a:gradFill>
        <a:ln w="254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gradFill rotWithShape="0">
      <a:gsLst>
        <a:gs pos="0">
          <a:srgbClr val="C0C0C0"/>
        </a:gs>
        <a:gs pos="100000">
          <a:srgbClr val="FFFFCC"/>
        </a:gs>
      </a:gsLst>
      <a:lin ang="5400000" scaled="1"/>
    </a:gra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C"/>
    </a:p>
  </c:txPr>
  <c:printSettings>
    <c:headerFooter alignWithMargins="0"/>
    <c:pageMargins b="1" l="0.75" r="0.75" t="1" header="0.5" footer="0.5"/>
    <c:pageSetup orientation="landscape" horizontalDpi="300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Inflación anualizada</a:t>
            </a:r>
          </a:p>
        </c:rich>
      </c:tx>
      <c:layout>
        <c:manualLayout>
          <c:xMode val="edge"/>
          <c:yMode val="edge"/>
          <c:x val="0.374601283263929"/>
          <c:y val="8.45622558049808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096076285785074"/>
          <c:y val="0.20220617183881426"/>
          <c:w val="0.72995930981200108"/>
          <c:h val="0.66031857588049425"/>
        </c:manualLayout>
      </c:layout>
      <c:lineChart>
        <c:grouping val="stacked"/>
        <c:varyColors val="0"/>
        <c:ser>
          <c:idx val="0"/>
          <c:order val="0"/>
          <c:spPr>
            <a:ln w="38100">
              <a:solidFill>
                <a:srgbClr val="00B050"/>
              </a:solidFill>
              <a:prstDash val="solid"/>
            </a:ln>
          </c:spPr>
          <c:marker>
            <c:symbol val="none"/>
          </c:marker>
          <c:dLbls>
            <c:dLbl>
              <c:idx val="26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33F-4862-A4BC-2261D6632AB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b="1"/>
                </a:pPr>
                <a:endParaRPr lang="es-EC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'[1]DATA Macroecono'!$G$3:$G$29</c:f>
              <c:numCache>
                <c:formatCode>General</c:formatCode>
                <c:ptCount val="27"/>
                <c:pt idx="0">
                  <c:v>43739</c:v>
                </c:pt>
                <c:pt idx="1">
                  <c:v>43770</c:v>
                </c:pt>
                <c:pt idx="2">
                  <c:v>43800</c:v>
                </c:pt>
                <c:pt idx="3">
                  <c:v>43831</c:v>
                </c:pt>
                <c:pt idx="4">
                  <c:v>43862</c:v>
                </c:pt>
                <c:pt idx="5">
                  <c:v>43891</c:v>
                </c:pt>
                <c:pt idx="6">
                  <c:v>43922</c:v>
                </c:pt>
                <c:pt idx="7">
                  <c:v>43952</c:v>
                </c:pt>
                <c:pt idx="8">
                  <c:v>43983</c:v>
                </c:pt>
                <c:pt idx="9">
                  <c:v>44013</c:v>
                </c:pt>
                <c:pt idx="10">
                  <c:v>44044</c:v>
                </c:pt>
                <c:pt idx="11">
                  <c:v>44075</c:v>
                </c:pt>
                <c:pt idx="12">
                  <c:v>44105</c:v>
                </c:pt>
                <c:pt idx="13">
                  <c:v>44136</c:v>
                </c:pt>
                <c:pt idx="14">
                  <c:v>44166</c:v>
                </c:pt>
                <c:pt idx="15">
                  <c:v>44197</c:v>
                </c:pt>
                <c:pt idx="16">
                  <c:v>44228</c:v>
                </c:pt>
                <c:pt idx="17">
                  <c:v>44256</c:v>
                </c:pt>
                <c:pt idx="18">
                  <c:v>44287</c:v>
                </c:pt>
                <c:pt idx="19">
                  <c:v>44317</c:v>
                </c:pt>
                <c:pt idx="20">
                  <c:v>44348</c:v>
                </c:pt>
                <c:pt idx="21">
                  <c:v>44378</c:v>
                </c:pt>
                <c:pt idx="22">
                  <c:v>44409</c:v>
                </c:pt>
                <c:pt idx="23">
                  <c:v>44440</c:v>
                </c:pt>
                <c:pt idx="24">
                  <c:v>44470</c:v>
                </c:pt>
                <c:pt idx="25">
                  <c:v>44501</c:v>
                </c:pt>
                <c:pt idx="26">
                  <c:v>44531</c:v>
                </c:pt>
              </c:numCache>
            </c:numRef>
          </c:cat>
          <c:val>
            <c:numRef>
              <c:f>'[1]DATA Macroecono'!$H$3:$H$29</c:f>
              <c:numCache>
                <c:formatCode>General</c:formatCode>
                <c:ptCount val="27"/>
                <c:pt idx="0">
                  <c:v>5.0000000000000001E-3</c:v>
                </c:pt>
                <c:pt idx="1">
                  <c:v>4.0000000000000002E-4</c:v>
                </c:pt>
                <c:pt idx="2">
                  <c:v>-6.9999999999999999E-4</c:v>
                </c:pt>
                <c:pt idx="3">
                  <c:v>-3.0000000000000001E-3</c:v>
                </c:pt>
                <c:pt idx="4">
                  <c:v>-2.3E-3</c:v>
                </c:pt>
                <c:pt idx="5">
                  <c:v>1.8E-3</c:v>
                </c:pt>
                <c:pt idx="6">
                  <c:v>1.01E-2</c:v>
                </c:pt>
                <c:pt idx="7">
                  <c:v>7.4999999999999997E-3</c:v>
                </c:pt>
                <c:pt idx="8">
                  <c:v>1.6999999999999999E-3</c:v>
                </c:pt>
                <c:pt idx="9">
                  <c:v>-5.4000000000000003E-3</c:v>
                </c:pt>
                <c:pt idx="10">
                  <c:v>-7.6E-3</c:v>
                </c:pt>
                <c:pt idx="11">
                  <c:v>-8.9999999999999993E-3</c:v>
                </c:pt>
                <c:pt idx="12">
                  <c:v>-1.6E-2</c:v>
                </c:pt>
                <c:pt idx="13">
                  <c:v>-9.1000000000000004E-3</c:v>
                </c:pt>
                <c:pt idx="14">
                  <c:v>-9.2999999999999992E-3</c:v>
                </c:pt>
                <c:pt idx="15">
                  <c:v>-1.04E-2</c:v>
                </c:pt>
                <c:pt idx="16">
                  <c:v>-8.0999999999999996E-3</c:v>
                </c:pt>
                <c:pt idx="17">
                  <c:v>-8.3000000000000001E-3</c:v>
                </c:pt>
                <c:pt idx="18">
                  <c:v>-1.47E-2</c:v>
                </c:pt>
                <c:pt idx="19">
                  <c:v>-1.1299999999999999E-2</c:v>
                </c:pt>
                <c:pt idx="20">
                  <c:v>-6.8999999999999999E-3</c:v>
                </c:pt>
                <c:pt idx="21">
                  <c:v>4.4999999999999997E-3</c:v>
                </c:pt>
                <c:pt idx="22">
                  <c:v>8.8999999999999999E-3</c:v>
                </c:pt>
                <c:pt idx="23">
                  <c:v>1.0699999999999999E-2</c:v>
                </c:pt>
                <c:pt idx="24">
                  <c:v>1.47E-2</c:v>
                </c:pt>
                <c:pt idx="25">
                  <c:v>1.84E-2</c:v>
                </c:pt>
                <c:pt idx="26">
                  <c:v>0.02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3F-4862-A4BC-2261D6632A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3871008"/>
        <c:axId val="1"/>
      </c:lineChart>
      <c:catAx>
        <c:axId val="1063871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C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C"/>
          </a:p>
        </c:txPr>
        <c:crossAx val="1063871008"/>
        <c:crosses val="autoZero"/>
        <c:crossBetween val="between"/>
      </c:valAx>
      <c:spPr>
        <a:gradFill rotWithShape="0">
          <a:gsLst>
            <a:gs pos="0">
              <a:srgbClr val="C0C0C0"/>
            </a:gs>
            <a:gs pos="100000">
              <a:srgbClr val="FFFFCC"/>
            </a:gs>
          </a:gsLst>
          <a:lin ang="5400000" scaled="1"/>
        </a:gradFill>
        <a:ln w="254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gradFill rotWithShape="0">
      <a:gsLst>
        <a:gs pos="0">
          <a:srgbClr val="C0C0C0"/>
        </a:gs>
        <a:gs pos="100000">
          <a:srgbClr val="FFFFCC"/>
        </a:gs>
      </a:gsLst>
      <a:lin ang="5400000" scaled="1"/>
    </a:gra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C"/>
    </a:p>
  </c:txPr>
  <c:printSettings>
    <c:headerFooter alignWithMargins="0"/>
    <c:pageMargins b="1" l="0.75" r="0.75" t="1" header="0.5" footer="0.5"/>
    <c:pageSetup orientation="landscape" horizontalDpi="300" verticalDpi="300"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Madera</a:t>
            </a:r>
          </a:p>
        </c:rich>
      </c:tx>
      <c:layout>
        <c:manualLayout>
          <c:xMode val="edge"/>
          <c:yMode val="edge"/>
          <c:x val="0.48653187072364779"/>
          <c:y val="6.571073066074209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46455270273119"/>
          <c:y val="0.18389461065606627"/>
          <c:w val="0.87477735369607701"/>
          <c:h val="0.57958256137100506"/>
        </c:manualLayout>
      </c:layout>
      <c:lineChart>
        <c:grouping val="standard"/>
        <c:varyColors val="0"/>
        <c:ser>
          <c:idx val="0"/>
          <c:order val="0"/>
          <c:spPr>
            <a:ln w="38100">
              <a:solidFill>
                <a:schemeClr val="accent2">
                  <a:lumMod val="75000"/>
                </a:schemeClr>
              </a:solidFill>
              <a:prstDash val="solid"/>
            </a:ln>
          </c:spPr>
          <c:marker>
            <c:symbol val="none"/>
          </c:marker>
          <c:dLbls>
            <c:dLbl>
              <c:idx val="22"/>
              <c:layout>
                <c:manualLayout>
                  <c:x val="-7.7976092652789651E-3"/>
                  <c:y val="-3.1063049293499102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s-EC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485-464E-94EF-42DC867EA701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25400">
                <a:solidFill>
                  <a:srgbClr val="000000"/>
                </a:solidFill>
                <a:prstDash val="sysDash"/>
              </a:ln>
            </c:spPr>
            <c:trendlineType val="poly"/>
            <c:order val="2"/>
            <c:dispRSqr val="0"/>
            <c:dispEq val="0"/>
          </c:trendline>
          <c:cat>
            <c:strRef>
              <c:f>[1]Madera!$A$26:$A$48</c:f>
              <c:strCache>
                <c:ptCount val="23"/>
                <c:pt idx="0">
                  <c:v>ene. 2020</c:v>
                </c:pt>
                <c:pt idx="1">
                  <c:v>feb. 2020</c:v>
                </c:pt>
                <c:pt idx="2">
                  <c:v>mar. 2020</c:v>
                </c:pt>
                <c:pt idx="3">
                  <c:v>abr. 2020</c:v>
                </c:pt>
                <c:pt idx="4">
                  <c:v>may. 2020</c:v>
                </c:pt>
                <c:pt idx="5">
                  <c:v>jun. 2020</c:v>
                </c:pt>
                <c:pt idx="6">
                  <c:v>jul. 2020</c:v>
                </c:pt>
                <c:pt idx="7">
                  <c:v>ago. 2020</c:v>
                </c:pt>
                <c:pt idx="8">
                  <c:v>sep. 2020</c:v>
                </c:pt>
                <c:pt idx="9">
                  <c:v>oct. 2020</c:v>
                </c:pt>
                <c:pt idx="10">
                  <c:v>nov. 2020</c:v>
                </c:pt>
                <c:pt idx="11">
                  <c:v>dic. 2020</c:v>
                </c:pt>
                <c:pt idx="12">
                  <c:v>ene. 2021</c:v>
                </c:pt>
                <c:pt idx="13">
                  <c:v>feb. 2021</c:v>
                </c:pt>
                <c:pt idx="14">
                  <c:v>mar. 2021</c:v>
                </c:pt>
                <c:pt idx="15">
                  <c:v>abr. 2021</c:v>
                </c:pt>
                <c:pt idx="16">
                  <c:v>may. 2021</c:v>
                </c:pt>
                <c:pt idx="17">
                  <c:v>jun. 2021</c:v>
                </c:pt>
                <c:pt idx="18">
                  <c:v>jul. 2021</c:v>
                </c:pt>
                <c:pt idx="19">
                  <c:v>Ago. 2021</c:v>
                </c:pt>
                <c:pt idx="20">
                  <c:v>Sep. 2021</c:v>
                </c:pt>
                <c:pt idx="21">
                  <c:v>Oct. 2021</c:v>
                </c:pt>
                <c:pt idx="22">
                  <c:v>Nov. 2021</c:v>
                </c:pt>
              </c:strCache>
            </c:strRef>
          </c:cat>
          <c:val>
            <c:numRef>
              <c:f>[1]Madera!$B$26:$B$48</c:f>
              <c:numCache>
                <c:formatCode>General</c:formatCode>
                <c:ptCount val="23"/>
                <c:pt idx="0">
                  <c:v>197.32</c:v>
                </c:pt>
                <c:pt idx="1">
                  <c:v>203.34</c:v>
                </c:pt>
                <c:pt idx="2">
                  <c:v>202.36</c:v>
                </c:pt>
                <c:pt idx="3">
                  <c:v>194.94</c:v>
                </c:pt>
                <c:pt idx="4">
                  <c:v>187.17</c:v>
                </c:pt>
                <c:pt idx="5">
                  <c:v>188.15</c:v>
                </c:pt>
                <c:pt idx="6">
                  <c:v>192.36</c:v>
                </c:pt>
                <c:pt idx="7">
                  <c:v>193.14</c:v>
                </c:pt>
                <c:pt idx="8">
                  <c:v>203.23</c:v>
                </c:pt>
                <c:pt idx="9">
                  <c:v>202.01</c:v>
                </c:pt>
                <c:pt idx="10">
                  <c:v>236.58</c:v>
                </c:pt>
                <c:pt idx="11">
                  <c:v>219.67</c:v>
                </c:pt>
                <c:pt idx="12">
                  <c:v>225.01</c:v>
                </c:pt>
                <c:pt idx="13">
                  <c:v>217.93</c:v>
                </c:pt>
                <c:pt idx="14">
                  <c:v>230.33</c:v>
                </c:pt>
                <c:pt idx="15">
                  <c:v>234.01</c:v>
                </c:pt>
                <c:pt idx="16">
                  <c:v>235.78</c:v>
                </c:pt>
                <c:pt idx="17">
                  <c:v>232.03</c:v>
                </c:pt>
                <c:pt idx="18">
                  <c:v>245.16</c:v>
                </c:pt>
                <c:pt idx="19">
                  <c:v>222.49</c:v>
                </c:pt>
                <c:pt idx="20">
                  <c:v>262.10000000000002</c:v>
                </c:pt>
                <c:pt idx="21">
                  <c:v>262.10000000000002</c:v>
                </c:pt>
                <c:pt idx="22">
                  <c:v>262.10000000000002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85-464E-94EF-42DC867EA7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3852288"/>
        <c:axId val="1"/>
      </c:lineChart>
      <c:catAx>
        <c:axId val="1063852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C"/>
          </a:p>
        </c:txPr>
        <c:crossAx val="1"/>
        <c:crosses val="autoZero"/>
        <c:auto val="0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US$/TONELADA</a:t>
                </a:r>
              </a:p>
            </c:rich>
          </c:tx>
          <c:layout>
            <c:manualLayout>
              <c:xMode val="edge"/>
              <c:yMode val="edge"/>
              <c:x val="1.4351140974772848E-2"/>
              <c:y val="0.34362890841964261"/>
            </c:manualLayout>
          </c:layout>
          <c:overlay val="0"/>
          <c:spPr>
            <a:noFill/>
            <a:ln w="25400">
              <a:noFill/>
            </a:ln>
          </c:spPr>
        </c:title>
        <c:numFmt formatCode="[$$-409]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C"/>
          </a:p>
        </c:txPr>
        <c:crossAx val="1063852288"/>
        <c:crosses val="autoZero"/>
        <c:crossBetween val="between"/>
      </c:valAx>
      <c:spPr>
        <a:gradFill rotWithShape="0">
          <a:gsLst>
            <a:gs pos="0">
              <a:srgbClr val="C0C0C0"/>
            </a:gs>
            <a:gs pos="100000">
              <a:srgbClr val="FFFFCC"/>
            </a:gs>
          </a:gsLst>
          <a:lin ang="5400000" scaled="1"/>
        </a:gradFill>
        <a:ln w="254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gradFill rotWithShape="0">
      <a:gsLst>
        <a:gs pos="0">
          <a:srgbClr val="C0C0C0"/>
        </a:gs>
        <a:gs pos="100000">
          <a:srgbClr val="FFFFCC"/>
        </a:gs>
      </a:gsLst>
      <a:lin ang="5400000" scaled="1"/>
    </a:gra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C"/>
    </a:p>
  </c:txPr>
  <c:printSettings>
    <c:headerFooter alignWithMargins="0"/>
    <c:pageMargins b="1" l="0.75000000000000022" r="0.75000000000000022" t="1" header="0.5" footer="0.5"/>
    <c:pageSetup orientation="landscape" horizontalDpi="300" verticalDpi="30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Balanza Comercial</a:t>
            </a:r>
          </a:p>
        </c:rich>
      </c:tx>
      <c:layout>
        <c:manualLayout>
          <c:xMode val="edge"/>
          <c:yMode val="edge"/>
          <c:x val="0.3740835145216832"/>
          <c:y val="5.882368956992409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65086668830933"/>
          <c:y val="0.18198529411764705"/>
          <c:w val="0.74714352385142435"/>
          <c:h val="0.57896450903195928"/>
        </c:manualLayout>
      </c:layout>
      <c:lineChart>
        <c:grouping val="standard"/>
        <c:varyColors val="0"/>
        <c:ser>
          <c:idx val="1"/>
          <c:order val="0"/>
          <c:tx>
            <c:strRef>
              <c:f>'[1]DATA Macroecono'!$H$33</c:f>
              <c:strCache>
                <c:ptCount val="1"/>
                <c:pt idx="0">
                  <c:v>Export</c:v>
                </c:pt>
              </c:strCache>
            </c:strRef>
          </c:tx>
          <c:spPr>
            <a:ln w="38100">
              <a:solidFill>
                <a:schemeClr val="accent6">
                  <a:lumMod val="75000"/>
                </a:schemeClr>
              </a:solidFill>
              <a:prstDash val="solid"/>
            </a:ln>
          </c:spPr>
          <c:marker>
            <c:symbol val="none"/>
          </c:marker>
          <c:dLbls>
            <c:dLbl>
              <c:idx val="7"/>
              <c:spPr/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FF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s-EC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876-4721-92B5-52904CAAE88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'[1]DATA Macroecono'!$G$34:$G$41</c:f>
              <c:strCache>
                <c:ptCount val="8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</c:strCache>
            </c:strRef>
          </c:cat>
          <c:val>
            <c:numRef>
              <c:f>'[1]DATA Macroecono'!$H$34:$H$41</c:f>
              <c:numCache>
                <c:formatCode>General</c:formatCode>
                <c:ptCount val="8"/>
                <c:pt idx="0">
                  <c:v>24750.933178687003</c:v>
                </c:pt>
                <c:pt idx="1">
                  <c:v>25724.432490358999</c:v>
                </c:pt>
                <c:pt idx="2">
                  <c:v>18330.607691722998</c:v>
                </c:pt>
                <c:pt idx="3">
                  <c:v>16797.666332412999</c:v>
                </c:pt>
                <c:pt idx="4">
                  <c:v>19122.455099931001</c:v>
                </c:pt>
                <c:pt idx="5">
                  <c:v>21628</c:v>
                </c:pt>
                <c:pt idx="6">
                  <c:v>22329</c:v>
                </c:pt>
                <c:pt idx="7">
                  <c:v>20226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76-4721-92B5-52904CAAE884}"/>
            </c:ext>
          </c:extLst>
        </c:ser>
        <c:ser>
          <c:idx val="2"/>
          <c:order val="1"/>
          <c:tx>
            <c:strRef>
              <c:f>'[1]DATA Macroecono'!$I$33</c:f>
              <c:strCache>
                <c:ptCount val="1"/>
                <c:pt idx="0">
                  <c:v>Import</c:v>
                </c:pt>
              </c:strCache>
            </c:strRef>
          </c:tx>
          <c:spPr>
            <a:ln w="38100">
              <a:solidFill>
                <a:srgbClr val="339966"/>
              </a:solidFill>
              <a:prstDash val="solid"/>
            </a:ln>
          </c:spPr>
          <c:marker>
            <c:symbol val="none"/>
          </c:marker>
          <c:dLbls>
            <c:dLbl>
              <c:idx val="7"/>
              <c:spPr/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3366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s-EC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876-4721-92B5-52904CAAE88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'[1]DATA Macroecono'!$G$34:$G$41</c:f>
              <c:strCache>
                <c:ptCount val="8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</c:strCache>
            </c:strRef>
          </c:cat>
          <c:val>
            <c:numRef>
              <c:f>'[1]DATA Macroecono'!$I$34:$I$41</c:f>
              <c:numCache>
                <c:formatCode>General</c:formatCode>
                <c:ptCount val="8"/>
                <c:pt idx="0">
                  <c:v>25825.940252366003</c:v>
                </c:pt>
                <c:pt idx="1">
                  <c:v>26447.595910245</c:v>
                </c:pt>
                <c:pt idx="2">
                  <c:v>20460.228675148999</c:v>
                </c:pt>
                <c:pt idx="3">
                  <c:v>15550.622696099996</c:v>
                </c:pt>
                <c:pt idx="4">
                  <c:v>19033.237025609997</c:v>
                </c:pt>
                <c:pt idx="5">
                  <c:v>22105</c:v>
                </c:pt>
                <c:pt idx="6">
                  <c:v>21509</c:v>
                </c:pt>
                <c:pt idx="7">
                  <c:v>16987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876-4721-92B5-52904CAAE8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3857696"/>
        <c:axId val="1"/>
      </c:lineChart>
      <c:catAx>
        <c:axId val="106385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C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10000"/>
        </c:scaling>
        <c:delete val="0"/>
        <c:axPos val="l"/>
        <c:majorGridlines>
          <c:spPr>
            <a:ln w="0"/>
          </c:spPr>
        </c:majorGridlines>
        <c:numFmt formatCode="[$$-409]#,##0" sourceLinked="0"/>
        <c:majorTickMark val="none"/>
        <c:minorTickMark val="none"/>
        <c:tickLblPos val="nextTo"/>
        <c:spPr>
          <a:ln w="25400">
            <a:noFill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C"/>
          </a:p>
        </c:txPr>
        <c:crossAx val="1063857696"/>
        <c:crosses val="autoZero"/>
        <c:crossBetween val="between"/>
        <c:majorUnit val="5000"/>
        <c:minorUnit val="5000"/>
      </c:valAx>
      <c:spPr>
        <a:gradFill rotWithShape="0">
          <a:gsLst>
            <a:gs pos="0">
              <a:srgbClr val="C0C0C0"/>
            </a:gs>
            <a:gs pos="100000">
              <a:srgbClr val="FFFFCC"/>
            </a:gs>
          </a:gsLst>
          <a:lin ang="5400000" scaled="1"/>
        </a:gradFill>
        <a:ln w="254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4586337784220028"/>
          <c:y val="0.92471765718081922"/>
          <c:w val="0.29421876087641924"/>
          <c:h val="5.0211008374990485E-2"/>
        </c:manualLayout>
      </c:layout>
      <c:overlay val="0"/>
      <c:txPr>
        <a:bodyPr/>
        <a:lstStyle/>
        <a:p>
          <a:pPr>
            <a:defRPr sz="7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EC"/>
        </a:p>
      </c:txPr>
    </c:legend>
    <c:plotVisOnly val="1"/>
    <c:dispBlanksAs val="gap"/>
    <c:showDLblsOverMax val="0"/>
  </c:chart>
  <c:spPr>
    <a:gradFill rotWithShape="0">
      <a:gsLst>
        <a:gs pos="0">
          <a:srgbClr val="C0C0C0"/>
        </a:gs>
        <a:gs pos="100000">
          <a:srgbClr val="FFFFCC"/>
        </a:gs>
      </a:gsLst>
      <a:lin ang="5400000" scaled="1"/>
    </a:gra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C"/>
    </a:p>
  </c:txPr>
  <c:printSettings>
    <c:headerFooter alignWithMargins="0"/>
    <c:pageMargins b="1" l="0.75000000000000044" r="0.75000000000000044" t="1" header="0.5" footer="0.5"/>
    <c:pageSetup orientation="landscape" horizontalDpi="300" verticalDpi="300"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8368471455153316"/>
          <c:y val="0.14827316595455658"/>
          <c:w val="0.7163152854484669"/>
          <c:h val="0.4648114422006176"/>
        </c:manualLayout>
      </c:layout>
      <c:lineChart>
        <c:grouping val="standard"/>
        <c:varyColors val="0"/>
        <c:ser>
          <c:idx val="0"/>
          <c:order val="0"/>
          <c:tx>
            <c:strRef>
              <c:f>'[1]Data Materia Prima'!$B$36</c:f>
              <c:strCache>
                <c:ptCount val="1"/>
                <c:pt idx="0">
                  <c:v>CAR EST. MULTICAPAS</c:v>
                </c:pt>
              </c:strCache>
            </c:strRef>
          </c:tx>
          <c:spPr>
            <a:ln w="53975">
              <a:solidFill>
                <a:schemeClr val="tx2">
                  <a:lumMod val="60000"/>
                  <a:lumOff val="40000"/>
                </a:schemeClr>
              </a:solidFill>
              <a:prstDash val="solid"/>
            </a:ln>
          </c:spPr>
          <c:marker>
            <c:symbol val="none"/>
          </c:marker>
          <c:cat>
            <c:strRef>
              <c:f>'[1]Data Materia Prima'!$A$37:$A$48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JUN.</c:v>
                </c:pt>
                <c:pt idx="6">
                  <c:v>JUL.</c:v>
                </c:pt>
                <c:pt idx="7">
                  <c:v>AGT.</c:v>
                </c:pt>
                <c:pt idx="8">
                  <c:v>SEPT.</c:v>
                </c:pt>
                <c:pt idx="9">
                  <c:v>OCT.</c:v>
                </c:pt>
                <c:pt idx="10">
                  <c:v>NOV.</c:v>
                </c:pt>
                <c:pt idx="11">
                  <c:v>DIC</c:v>
                </c:pt>
              </c:strCache>
            </c:strRef>
          </c:cat>
          <c:val>
            <c:numRef>
              <c:f>'[1]Data Materia Prima'!$B$37:$B$48</c:f>
              <c:numCache>
                <c:formatCode>General</c:formatCode>
                <c:ptCount val="12"/>
                <c:pt idx="0">
                  <c:v>1051.7271428571428</c:v>
                </c:pt>
                <c:pt idx="1">
                  <c:v>0</c:v>
                </c:pt>
                <c:pt idx="2">
                  <c:v>1061.3964646464647</c:v>
                </c:pt>
                <c:pt idx="3">
                  <c:v>0</c:v>
                </c:pt>
                <c:pt idx="4">
                  <c:v>1051.6833150965374</c:v>
                </c:pt>
                <c:pt idx="5">
                  <c:v>1038.8460567063555</c:v>
                </c:pt>
                <c:pt idx="6">
                  <c:v>1040.8723314888307</c:v>
                </c:pt>
                <c:pt idx="7">
                  <c:v>1049.6195005028865</c:v>
                </c:pt>
                <c:pt idx="8">
                  <c:v>1180.6239316239316</c:v>
                </c:pt>
                <c:pt idx="9">
                  <c:v>1010.5490196078431</c:v>
                </c:pt>
                <c:pt idx="10">
                  <c:v>1035.0684931506848</c:v>
                </c:pt>
                <c:pt idx="11">
                  <c:v>1036.0692405063292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1D-4905-96E1-C935137E21ED}"/>
            </c:ext>
          </c:extLst>
        </c:ser>
        <c:ser>
          <c:idx val="1"/>
          <c:order val="1"/>
          <c:tx>
            <c:strRef>
              <c:f>'[1]Data Materia Prima'!$C$36</c:f>
              <c:strCache>
                <c:ptCount val="1"/>
                <c:pt idx="0">
                  <c:v>PAPEL COUCHE</c:v>
                </c:pt>
              </c:strCache>
            </c:strRef>
          </c:tx>
          <c:marker>
            <c:symbol val="none"/>
          </c:marker>
          <c:cat>
            <c:strRef>
              <c:f>'[1]Data Materia Prima'!$A$37:$A$48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JUN.</c:v>
                </c:pt>
                <c:pt idx="6">
                  <c:v>JUL.</c:v>
                </c:pt>
                <c:pt idx="7">
                  <c:v>AGT.</c:v>
                </c:pt>
                <c:pt idx="8">
                  <c:v>SEPT.</c:v>
                </c:pt>
                <c:pt idx="9">
                  <c:v>OCT.</c:v>
                </c:pt>
                <c:pt idx="10">
                  <c:v>NOV.</c:v>
                </c:pt>
                <c:pt idx="11">
                  <c:v>DIC</c:v>
                </c:pt>
              </c:strCache>
            </c:strRef>
          </c:cat>
          <c:val>
            <c:numRef>
              <c:f>'[1]Data Materia Prima'!$C$37:$C$48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1274.125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1D-4905-96E1-C935137E21ED}"/>
            </c:ext>
          </c:extLst>
        </c:ser>
        <c:ser>
          <c:idx val="2"/>
          <c:order val="2"/>
          <c:tx>
            <c:strRef>
              <c:f>'[1]Data Materia Prima'!$D$36</c:f>
              <c:strCache>
                <c:ptCount val="1"/>
                <c:pt idx="0">
                  <c:v>POLYBOARD</c:v>
                </c:pt>
              </c:strCache>
            </c:strRef>
          </c:tx>
          <c:spPr>
            <a:ln w="53975"/>
          </c:spPr>
          <c:marker>
            <c:symbol val="none"/>
          </c:marker>
          <c:cat>
            <c:strRef>
              <c:f>'[1]Data Materia Prima'!$A$37:$A$48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JUN.</c:v>
                </c:pt>
                <c:pt idx="6">
                  <c:v>JUL.</c:v>
                </c:pt>
                <c:pt idx="7">
                  <c:v>AGT.</c:v>
                </c:pt>
                <c:pt idx="8">
                  <c:v>SEPT.</c:v>
                </c:pt>
                <c:pt idx="9">
                  <c:v>OCT.</c:v>
                </c:pt>
                <c:pt idx="10">
                  <c:v>NOV.</c:v>
                </c:pt>
                <c:pt idx="11">
                  <c:v>DIC</c:v>
                </c:pt>
              </c:strCache>
            </c:strRef>
          </c:cat>
          <c:val>
            <c:numRef>
              <c:f>'[1]Data Materia Prima'!$D$37:$D$48</c:f>
              <c:numCache>
                <c:formatCode>General</c:formatCode>
                <c:ptCount val="12"/>
                <c:pt idx="0">
                  <c:v>1184.3583254344392</c:v>
                </c:pt>
                <c:pt idx="1">
                  <c:v>1137.7444272844273</c:v>
                </c:pt>
                <c:pt idx="2">
                  <c:v>0</c:v>
                </c:pt>
                <c:pt idx="3">
                  <c:v>1173.8880601092897</c:v>
                </c:pt>
                <c:pt idx="4">
                  <c:v>1192.9060653493598</c:v>
                </c:pt>
                <c:pt idx="5">
                  <c:v>1077.5916885964912</c:v>
                </c:pt>
                <c:pt idx="6">
                  <c:v>1184.5604305315912</c:v>
                </c:pt>
                <c:pt idx="7">
                  <c:v>1290.1451811190211</c:v>
                </c:pt>
                <c:pt idx="8">
                  <c:v>1370.3495297805644</c:v>
                </c:pt>
                <c:pt idx="9">
                  <c:v>1551.9292604501609</c:v>
                </c:pt>
                <c:pt idx="10">
                  <c:v>1587.775167785235</c:v>
                </c:pt>
                <c:pt idx="11">
                  <c:v>1336.0536120689655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1D-4905-96E1-C935137E21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6365024"/>
        <c:axId val="1"/>
      </c:lineChart>
      <c:catAx>
        <c:axId val="1066365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C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C"/>
          </a:p>
        </c:txPr>
        <c:crossAx val="1066365024"/>
        <c:crosses val="autoZero"/>
        <c:crossBetween val="between"/>
      </c:valAx>
      <c:dTable>
        <c:showHorzBorder val="1"/>
        <c:showVertBorder val="1"/>
        <c:showOutline val="1"/>
        <c:showKeys val="0"/>
        <c:txPr>
          <a:bodyPr/>
          <a:lstStyle/>
          <a:p>
            <a:pPr rtl="0"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C"/>
          </a:p>
        </c:txPr>
      </c:dTable>
      <c:spPr>
        <a:gradFill>
          <a:gsLst>
            <a:gs pos="0">
              <a:srgbClr val="C0C0C0"/>
            </a:gs>
            <a:gs pos="100000">
              <a:srgbClr val="FFFFCC"/>
            </a:gs>
          </a:gsLst>
          <a:lin ang="5400000" scaled="1"/>
        </a:gradFill>
        <a:ln w="25400">
          <a:solidFill>
            <a:srgbClr val="000000"/>
          </a:solidFill>
          <a:prstDash val="solid"/>
        </a:ln>
      </c:spPr>
    </c:plotArea>
    <c:plotVisOnly val="0"/>
    <c:dispBlanksAs val="gap"/>
    <c:showDLblsOverMax val="0"/>
  </c:chart>
  <c:spPr>
    <a:gradFill rotWithShape="0">
      <a:gsLst>
        <a:gs pos="0">
          <a:srgbClr val="C0C0C0"/>
        </a:gs>
        <a:gs pos="100000">
          <a:srgbClr val="FFFFCC"/>
        </a:gs>
      </a:gsLst>
      <a:lin ang="5400000" scaled="1"/>
    </a:gra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C"/>
    </a:p>
  </c:txPr>
  <c:printSettings>
    <c:headerFooter alignWithMargins="0"/>
    <c:pageMargins b="1" l="0.75000000000000044" r="0.75000000000000044" t="1" header="0.5" footer="0.5"/>
    <c:pageSetup orientation="landscape" horizontalDpi="300" verticalDpi="300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7028620766696732"/>
          <c:y val="8.7722063829283131E-2"/>
          <c:w val="0.72851746121032235"/>
          <c:h val="0.5411911324524755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'[1]Data Materia Prima'!$B$4</c:f>
              <c:strCache>
                <c:ptCount val="1"/>
                <c:pt idx="0">
                  <c:v>CAR EST. MULTICAPAS</c:v>
                </c:pt>
              </c:strCache>
            </c:strRef>
          </c:tx>
          <c:spPr>
            <a:ln w="44450"/>
          </c:spPr>
          <c:invertIfNegative val="0"/>
          <c:cat>
            <c:strRef>
              <c:f>'[1]Data Materia Prima'!$A$5:$A$16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JUN.</c:v>
                </c:pt>
                <c:pt idx="6">
                  <c:v>JUL.</c:v>
                </c:pt>
                <c:pt idx="7">
                  <c:v>AGT.</c:v>
                </c:pt>
                <c:pt idx="8">
                  <c:v>SEPT.</c:v>
                </c:pt>
                <c:pt idx="9">
                  <c:v>OCT.</c:v>
                </c:pt>
                <c:pt idx="10">
                  <c:v>NOV.</c:v>
                </c:pt>
                <c:pt idx="11">
                  <c:v>DIC</c:v>
                </c:pt>
              </c:strCache>
            </c:strRef>
          </c:cat>
          <c:val>
            <c:numRef>
              <c:f>'[1]Data Materia Prima'!$B$5:$B$16</c:f>
              <c:numCache>
                <c:formatCode>General</c:formatCode>
                <c:ptCount val="12"/>
                <c:pt idx="0">
                  <c:v>28</c:v>
                </c:pt>
                <c:pt idx="2">
                  <c:v>99</c:v>
                </c:pt>
                <c:pt idx="4">
                  <c:v>28.331</c:v>
                </c:pt>
                <c:pt idx="5">
                  <c:v>51.466999999999999</c:v>
                </c:pt>
                <c:pt idx="6">
                  <c:v>28.292000000000002</c:v>
                </c:pt>
                <c:pt idx="7">
                  <c:v>56.82</c:v>
                </c:pt>
                <c:pt idx="8">
                  <c:v>117</c:v>
                </c:pt>
                <c:pt idx="9">
                  <c:v>102</c:v>
                </c:pt>
                <c:pt idx="10">
                  <c:v>73</c:v>
                </c:pt>
                <c:pt idx="11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31-4862-8DA9-B66B4D8FBD05}"/>
            </c:ext>
          </c:extLst>
        </c:ser>
        <c:ser>
          <c:idx val="1"/>
          <c:order val="1"/>
          <c:tx>
            <c:strRef>
              <c:f>'[1]Data Materia Prima'!$C$4</c:f>
              <c:strCache>
                <c:ptCount val="1"/>
                <c:pt idx="0">
                  <c:v>PAPEL COUCHE</c:v>
                </c:pt>
              </c:strCache>
            </c:strRef>
          </c:tx>
          <c:invertIfNegative val="0"/>
          <c:cat>
            <c:strRef>
              <c:f>'[1]Data Materia Prima'!$A$5:$A$16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JUN.</c:v>
                </c:pt>
                <c:pt idx="6">
                  <c:v>JUL.</c:v>
                </c:pt>
                <c:pt idx="7">
                  <c:v>AGT.</c:v>
                </c:pt>
                <c:pt idx="8">
                  <c:v>SEPT.</c:v>
                </c:pt>
                <c:pt idx="9">
                  <c:v>OCT.</c:v>
                </c:pt>
                <c:pt idx="10">
                  <c:v>NOV.</c:v>
                </c:pt>
                <c:pt idx="11">
                  <c:v>DIC</c:v>
                </c:pt>
              </c:strCache>
            </c:strRef>
          </c:cat>
          <c:val>
            <c:numRef>
              <c:f>'[1]Data Materia Prima'!$C$5:$C$16</c:f>
              <c:numCache>
                <c:formatCode>General</c:formatCode>
                <c:ptCount val="12"/>
                <c:pt idx="10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31-4862-8DA9-B66B4D8FBD05}"/>
            </c:ext>
          </c:extLst>
        </c:ser>
        <c:ser>
          <c:idx val="2"/>
          <c:order val="2"/>
          <c:tx>
            <c:strRef>
              <c:f>'[1]Data Materia Prima'!$D$4</c:f>
              <c:strCache>
                <c:ptCount val="1"/>
                <c:pt idx="0">
                  <c:v>POLYBOARD</c:v>
                </c:pt>
              </c:strCache>
            </c:strRef>
          </c:tx>
          <c:spPr>
            <a:ln w="44450"/>
          </c:spPr>
          <c:invertIfNegative val="0"/>
          <c:cat>
            <c:strRef>
              <c:f>'[1]Data Materia Prima'!$A$5:$A$16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JUN.</c:v>
                </c:pt>
                <c:pt idx="6">
                  <c:v>JUL.</c:v>
                </c:pt>
                <c:pt idx="7">
                  <c:v>AGT.</c:v>
                </c:pt>
                <c:pt idx="8">
                  <c:v>SEPT.</c:v>
                </c:pt>
                <c:pt idx="9">
                  <c:v>OCT.</c:v>
                </c:pt>
                <c:pt idx="10">
                  <c:v>NOV.</c:v>
                </c:pt>
                <c:pt idx="11">
                  <c:v>DIC</c:v>
                </c:pt>
              </c:strCache>
            </c:strRef>
          </c:cat>
          <c:val>
            <c:numRef>
              <c:f>'[1]Data Materia Prima'!$D$5:$D$16</c:f>
              <c:numCache>
                <c:formatCode>General</c:formatCode>
                <c:ptCount val="12"/>
                <c:pt idx="0">
                  <c:v>633</c:v>
                </c:pt>
                <c:pt idx="1">
                  <c:v>777</c:v>
                </c:pt>
                <c:pt idx="3">
                  <c:v>1464</c:v>
                </c:pt>
                <c:pt idx="4">
                  <c:v>346.262</c:v>
                </c:pt>
                <c:pt idx="5">
                  <c:v>456</c:v>
                </c:pt>
                <c:pt idx="6">
                  <c:v>632.89200000000005</c:v>
                </c:pt>
                <c:pt idx="7">
                  <c:v>699.54</c:v>
                </c:pt>
                <c:pt idx="8">
                  <c:v>638</c:v>
                </c:pt>
                <c:pt idx="9">
                  <c:v>1244</c:v>
                </c:pt>
                <c:pt idx="10">
                  <c:v>1192</c:v>
                </c:pt>
                <c:pt idx="11">
                  <c:v>1160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E31-4862-8DA9-B66B4D8FBD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66356704"/>
        <c:axId val="1"/>
      </c:barChart>
      <c:catAx>
        <c:axId val="1066356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C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C"/>
          </a:p>
        </c:txPr>
        <c:crossAx val="1066356704"/>
        <c:crosses val="autoZero"/>
        <c:crossBetween val="between"/>
      </c:valAx>
      <c:dTable>
        <c:showHorzBorder val="1"/>
        <c:showVertBorder val="1"/>
        <c:showOutline val="1"/>
        <c:showKeys val="0"/>
        <c:txPr>
          <a:bodyPr/>
          <a:lstStyle/>
          <a:p>
            <a:pPr rtl="0"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C"/>
          </a:p>
        </c:txPr>
      </c:dTable>
      <c:spPr>
        <a:gradFill>
          <a:gsLst>
            <a:gs pos="0">
              <a:srgbClr val="C0C0C0"/>
            </a:gs>
            <a:gs pos="100000">
              <a:srgbClr val="FFFFCC"/>
            </a:gs>
          </a:gsLst>
          <a:lin ang="5400000" scaled="1"/>
        </a:gradFill>
        <a:ln w="25400">
          <a:solidFill>
            <a:srgbClr val="000000"/>
          </a:solidFill>
          <a:prstDash val="solid"/>
        </a:ln>
      </c:spPr>
    </c:plotArea>
    <c:plotVisOnly val="0"/>
    <c:dispBlanksAs val="gap"/>
    <c:showDLblsOverMax val="0"/>
  </c:chart>
  <c:spPr>
    <a:gradFill rotWithShape="0">
      <a:gsLst>
        <a:gs pos="0">
          <a:srgbClr val="C0C0C0"/>
        </a:gs>
        <a:gs pos="100000">
          <a:srgbClr val="FFFFCC"/>
        </a:gs>
      </a:gsLst>
      <a:lin ang="5400000" scaled="1"/>
    </a:gradFill>
    <a:ln w="3175">
      <a:solidFill>
        <a:srgbClr val="000000"/>
      </a:solidFill>
      <a:prstDash val="solid"/>
    </a:ln>
  </c:spPr>
  <c:txPr>
    <a:bodyPr/>
    <a:lstStyle/>
    <a:p>
      <a:pPr>
        <a:defRPr sz="105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C"/>
    </a:p>
  </c:txPr>
  <c:printSettings>
    <c:headerFooter alignWithMargins="0"/>
    <c:pageMargins b="1" l="0.75000000000000044" r="0.75000000000000044" t="1" header="0.5" footer="0.5"/>
    <c:pageSetup orientation="landscape" horizontalDpi="300" verticalDpi="300"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Capital de Trabajo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'[1]Capital de Trabajo'!$C$9</c:f>
              <c:strCache>
                <c:ptCount val="1"/>
                <c:pt idx="0">
                  <c:v>Cuentas por Cobrar Total</c:v>
                </c:pt>
              </c:strCache>
            </c:strRef>
          </c:tx>
          <c:invertIfNegative val="0"/>
          <c:cat>
            <c:strRef>
              <c:f>'[1]Capital de Trabajo'!$D$8:$P$8</c:f>
              <c:strCache>
                <c:ptCount val="13"/>
                <c:pt idx="0">
                  <c:v>2020</c:v>
                </c:pt>
                <c:pt idx="1">
                  <c:v>enero</c:v>
                </c:pt>
                <c:pt idx="2">
                  <c:v>febrero</c:v>
                </c:pt>
                <c:pt idx="3">
                  <c:v>marzo</c:v>
                </c:pt>
                <c:pt idx="4">
                  <c:v>abril</c:v>
                </c:pt>
                <c:pt idx="5">
                  <c:v>mayo</c:v>
                </c:pt>
                <c:pt idx="6">
                  <c:v>junio</c:v>
                </c:pt>
                <c:pt idx="7">
                  <c:v>julio</c:v>
                </c:pt>
                <c:pt idx="8">
                  <c:v>agosto</c:v>
                </c:pt>
                <c:pt idx="9">
                  <c:v>Septiembre</c:v>
                </c:pt>
                <c:pt idx="10">
                  <c:v>Octubre</c:v>
                </c:pt>
                <c:pt idx="11">
                  <c:v>Noviembre</c:v>
                </c:pt>
                <c:pt idx="12">
                  <c:v>Diciembre</c:v>
                </c:pt>
              </c:strCache>
            </c:strRef>
          </c:cat>
          <c:val>
            <c:numRef>
              <c:f>'[1]Capital de Trabajo'!$D$9:$P$9</c:f>
              <c:numCache>
                <c:formatCode>General</c:formatCode>
                <c:ptCount val="13"/>
                <c:pt idx="0">
                  <c:v>4465.5877899999996</c:v>
                </c:pt>
                <c:pt idx="1">
                  <c:v>4561.4764500000001</c:v>
                </c:pt>
                <c:pt idx="2">
                  <c:v>4787.2235200000005</c:v>
                </c:pt>
                <c:pt idx="3">
                  <c:v>4606.6869100000004</c:v>
                </c:pt>
                <c:pt idx="4">
                  <c:v>4751.7744499999999</c:v>
                </c:pt>
                <c:pt idx="5">
                  <c:v>4860.789060000001</c:v>
                </c:pt>
                <c:pt idx="6">
                  <c:v>4950.3661900000006</c:v>
                </c:pt>
                <c:pt idx="7">
                  <c:v>5642.4735799999999</c:v>
                </c:pt>
                <c:pt idx="8">
                  <c:v>6457.2515000000003</c:v>
                </c:pt>
                <c:pt idx="9">
                  <c:v>6438.4210300000004</c:v>
                </c:pt>
                <c:pt idx="10">
                  <c:v>6047.4021600000005</c:v>
                </c:pt>
                <c:pt idx="11">
                  <c:v>6573.6802700000007</c:v>
                </c:pt>
                <c:pt idx="12">
                  <c:v>5919.8885800000007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23-4394-98A9-A2B5A3404918}"/>
            </c:ext>
          </c:extLst>
        </c:ser>
        <c:ser>
          <c:idx val="1"/>
          <c:order val="1"/>
          <c:tx>
            <c:strRef>
              <c:f>'[1]Capital de Trabajo'!$C$10</c:f>
              <c:strCache>
                <c:ptCount val="1"/>
                <c:pt idx="0">
                  <c:v>Existencias</c:v>
                </c:pt>
              </c:strCache>
            </c:strRef>
          </c:tx>
          <c:invertIfNegative val="0"/>
          <c:cat>
            <c:strRef>
              <c:f>'[1]Capital de Trabajo'!$D$8:$P$8</c:f>
              <c:strCache>
                <c:ptCount val="13"/>
                <c:pt idx="0">
                  <c:v>2020</c:v>
                </c:pt>
                <c:pt idx="1">
                  <c:v>enero</c:v>
                </c:pt>
                <c:pt idx="2">
                  <c:v>febrero</c:v>
                </c:pt>
                <c:pt idx="3">
                  <c:v>marzo</c:v>
                </c:pt>
                <c:pt idx="4">
                  <c:v>abril</c:v>
                </c:pt>
                <c:pt idx="5">
                  <c:v>mayo</c:v>
                </c:pt>
                <c:pt idx="6">
                  <c:v>junio</c:v>
                </c:pt>
                <c:pt idx="7">
                  <c:v>julio</c:v>
                </c:pt>
                <c:pt idx="8">
                  <c:v>agosto</c:v>
                </c:pt>
                <c:pt idx="9">
                  <c:v>Septiembre</c:v>
                </c:pt>
                <c:pt idx="10">
                  <c:v>Octubre</c:v>
                </c:pt>
                <c:pt idx="11">
                  <c:v>Noviembre</c:v>
                </c:pt>
                <c:pt idx="12">
                  <c:v>Diciembre</c:v>
                </c:pt>
              </c:strCache>
            </c:strRef>
          </c:cat>
          <c:val>
            <c:numRef>
              <c:f>'[1]Capital de Trabajo'!$D$10:$P$10</c:f>
              <c:numCache>
                <c:formatCode>General</c:formatCode>
                <c:ptCount val="13"/>
                <c:pt idx="0">
                  <c:v>5728.3623100000013</c:v>
                </c:pt>
                <c:pt idx="1">
                  <c:v>6740.8965200000002</c:v>
                </c:pt>
                <c:pt idx="2">
                  <c:v>6894.19265</c:v>
                </c:pt>
                <c:pt idx="3">
                  <c:v>7104.5121000000008</c:v>
                </c:pt>
                <c:pt idx="4">
                  <c:v>6723.83799</c:v>
                </c:pt>
                <c:pt idx="5">
                  <c:v>6584.4177800000007</c:v>
                </c:pt>
                <c:pt idx="6">
                  <c:v>7212.5864800000008</c:v>
                </c:pt>
                <c:pt idx="7">
                  <c:v>6629.5215400000006</c:v>
                </c:pt>
                <c:pt idx="8">
                  <c:v>5869.3073500000019</c:v>
                </c:pt>
                <c:pt idx="9">
                  <c:v>5990.1202100000019</c:v>
                </c:pt>
                <c:pt idx="10">
                  <c:v>6333.9488400000018</c:v>
                </c:pt>
                <c:pt idx="11">
                  <c:v>7228.7989300000017</c:v>
                </c:pt>
                <c:pt idx="12">
                  <c:v>8589.7716400000027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23-4394-98A9-A2B5A3404918}"/>
            </c:ext>
          </c:extLst>
        </c:ser>
        <c:ser>
          <c:idx val="2"/>
          <c:order val="2"/>
          <c:tx>
            <c:strRef>
              <c:f>'[1]Capital de Trabajo'!$C$11</c:f>
              <c:strCache>
                <c:ptCount val="1"/>
                <c:pt idx="0">
                  <c:v>Proveedores</c:v>
                </c:pt>
              </c:strCache>
            </c:strRef>
          </c:tx>
          <c:invertIfNegative val="0"/>
          <c:cat>
            <c:strRef>
              <c:f>'[1]Capital de Trabajo'!$D$8:$P$8</c:f>
              <c:strCache>
                <c:ptCount val="13"/>
                <c:pt idx="0">
                  <c:v>2020</c:v>
                </c:pt>
                <c:pt idx="1">
                  <c:v>enero</c:v>
                </c:pt>
                <c:pt idx="2">
                  <c:v>febrero</c:v>
                </c:pt>
                <c:pt idx="3">
                  <c:v>marzo</c:v>
                </c:pt>
                <c:pt idx="4">
                  <c:v>abril</c:v>
                </c:pt>
                <c:pt idx="5">
                  <c:v>mayo</c:v>
                </c:pt>
                <c:pt idx="6">
                  <c:v>junio</c:v>
                </c:pt>
                <c:pt idx="7">
                  <c:v>julio</c:v>
                </c:pt>
                <c:pt idx="8">
                  <c:v>agosto</c:v>
                </c:pt>
                <c:pt idx="9">
                  <c:v>Septiembre</c:v>
                </c:pt>
                <c:pt idx="10">
                  <c:v>Octubre</c:v>
                </c:pt>
                <c:pt idx="11">
                  <c:v>Noviembre</c:v>
                </c:pt>
                <c:pt idx="12">
                  <c:v>Diciembre</c:v>
                </c:pt>
              </c:strCache>
            </c:strRef>
          </c:cat>
          <c:val>
            <c:numRef>
              <c:f>'[1]Capital de Trabajo'!$D$11:$P$11</c:f>
              <c:numCache>
                <c:formatCode>General</c:formatCode>
                <c:ptCount val="13"/>
                <c:pt idx="0">
                  <c:v>-3832.4186500000001</c:v>
                </c:pt>
                <c:pt idx="1">
                  <c:v>-3264.4911899999997</c:v>
                </c:pt>
                <c:pt idx="2">
                  <c:v>-3351.7517500000004</c:v>
                </c:pt>
                <c:pt idx="3">
                  <c:v>-3763.4023300000003</c:v>
                </c:pt>
                <c:pt idx="4">
                  <c:v>-3371.3021200000007</c:v>
                </c:pt>
                <c:pt idx="5">
                  <c:v>-2458.6992200000013</c:v>
                </c:pt>
                <c:pt idx="6">
                  <c:v>-3639.9348600000008</c:v>
                </c:pt>
                <c:pt idx="7">
                  <c:v>-2722.3495500000008</c:v>
                </c:pt>
                <c:pt idx="8">
                  <c:v>-3722.2484800000007</c:v>
                </c:pt>
                <c:pt idx="9">
                  <c:v>-3840.7026600000008</c:v>
                </c:pt>
                <c:pt idx="10">
                  <c:v>-3465.2804699999997</c:v>
                </c:pt>
                <c:pt idx="11">
                  <c:v>-4845.3476299999984</c:v>
                </c:pt>
                <c:pt idx="12">
                  <c:v>-5845.5410200000006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23-4394-98A9-A2B5A3404918}"/>
            </c:ext>
          </c:extLst>
        </c:ser>
        <c:ser>
          <c:idx val="4"/>
          <c:order val="3"/>
          <c:tx>
            <c:strRef>
              <c:f>'[1]Capital de Trabajo'!$C$13</c:f>
              <c:strCache>
                <c:ptCount val="1"/>
              </c:strCache>
            </c:strRef>
          </c:tx>
          <c:invertIfNegative val="0"/>
          <c:cat>
            <c:strRef>
              <c:f>'[1]Capital de Trabajo'!$D$8:$P$8</c:f>
              <c:strCache>
                <c:ptCount val="13"/>
                <c:pt idx="0">
                  <c:v>2020</c:v>
                </c:pt>
                <c:pt idx="1">
                  <c:v>enero</c:v>
                </c:pt>
                <c:pt idx="2">
                  <c:v>febrero</c:v>
                </c:pt>
                <c:pt idx="3">
                  <c:v>marzo</c:v>
                </c:pt>
                <c:pt idx="4">
                  <c:v>abril</c:v>
                </c:pt>
                <c:pt idx="5">
                  <c:v>mayo</c:v>
                </c:pt>
                <c:pt idx="6">
                  <c:v>junio</c:v>
                </c:pt>
                <c:pt idx="7">
                  <c:v>julio</c:v>
                </c:pt>
                <c:pt idx="8">
                  <c:v>agosto</c:v>
                </c:pt>
                <c:pt idx="9">
                  <c:v>Septiembre</c:v>
                </c:pt>
                <c:pt idx="10">
                  <c:v>Octubre</c:v>
                </c:pt>
                <c:pt idx="11">
                  <c:v>Noviembre</c:v>
                </c:pt>
                <c:pt idx="12">
                  <c:v>Diciembre</c:v>
                </c:pt>
              </c:strCache>
            </c:strRef>
          </c:cat>
          <c:val>
            <c:numRef>
              <c:f>'[1]Capital de Trabajo'!$D$13:$P$13</c:f>
              <c:numCache>
                <c:formatCode>General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03-EA23-4394-98A9-A2B5A3404918}"/>
            </c:ext>
          </c:extLst>
        </c:ser>
        <c:ser>
          <c:idx val="5"/>
          <c:order val="4"/>
          <c:tx>
            <c:strRef>
              <c:f>'[1]Capital de Trabajo'!$C$14</c:f>
              <c:strCache>
                <c:ptCount val="1"/>
              </c:strCache>
            </c:strRef>
          </c:tx>
          <c:invertIfNegative val="0"/>
          <c:cat>
            <c:strRef>
              <c:f>'[1]Capital de Trabajo'!$D$8:$P$8</c:f>
              <c:strCache>
                <c:ptCount val="13"/>
                <c:pt idx="0">
                  <c:v>2020</c:v>
                </c:pt>
                <c:pt idx="1">
                  <c:v>enero</c:v>
                </c:pt>
                <c:pt idx="2">
                  <c:v>febrero</c:v>
                </c:pt>
                <c:pt idx="3">
                  <c:v>marzo</c:v>
                </c:pt>
                <c:pt idx="4">
                  <c:v>abril</c:v>
                </c:pt>
                <c:pt idx="5">
                  <c:v>mayo</c:v>
                </c:pt>
                <c:pt idx="6">
                  <c:v>junio</c:v>
                </c:pt>
                <c:pt idx="7">
                  <c:v>julio</c:v>
                </c:pt>
                <c:pt idx="8">
                  <c:v>agosto</c:v>
                </c:pt>
                <c:pt idx="9">
                  <c:v>Septiembre</c:v>
                </c:pt>
                <c:pt idx="10">
                  <c:v>Octubre</c:v>
                </c:pt>
                <c:pt idx="11">
                  <c:v>Noviembre</c:v>
                </c:pt>
                <c:pt idx="12">
                  <c:v>Diciembre</c:v>
                </c:pt>
              </c:strCache>
            </c:strRef>
          </c:cat>
          <c:val>
            <c:numRef>
              <c:f>'[1]Capital de Trabajo'!$D$14:$P$14</c:f>
              <c:numCache>
                <c:formatCode>General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04-EA23-4394-98A9-A2B5A3404918}"/>
            </c:ext>
          </c:extLst>
        </c:ser>
        <c:ser>
          <c:idx val="6"/>
          <c:order val="5"/>
          <c:tx>
            <c:strRef>
              <c:f>'[1]Capital de Trabajo'!$C$15</c:f>
              <c:strCache>
                <c:ptCount val="1"/>
              </c:strCache>
            </c:strRef>
          </c:tx>
          <c:invertIfNegative val="0"/>
          <c:cat>
            <c:strRef>
              <c:f>'[1]Capital de Trabajo'!$D$8:$P$8</c:f>
              <c:strCache>
                <c:ptCount val="13"/>
                <c:pt idx="0">
                  <c:v>2020</c:v>
                </c:pt>
                <c:pt idx="1">
                  <c:v>enero</c:v>
                </c:pt>
                <c:pt idx="2">
                  <c:v>febrero</c:v>
                </c:pt>
                <c:pt idx="3">
                  <c:v>marzo</c:v>
                </c:pt>
                <c:pt idx="4">
                  <c:v>abril</c:v>
                </c:pt>
                <c:pt idx="5">
                  <c:v>mayo</c:v>
                </c:pt>
                <c:pt idx="6">
                  <c:v>junio</c:v>
                </c:pt>
                <c:pt idx="7">
                  <c:v>julio</c:v>
                </c:pt>
                <c:pt idx="8">
                  <c:v>agosto</c:v>
                </c:pt>
                <c:pt idx="9">
                  <c:v>Septiembre</c:v>
                </c:pt>
                <c:pt idx="10">
                  <c:v>Octubre</c:v>
                </c:pt>
                <c:pt idx="11">
                  <c:v>Noviembre</c:v>
                </c:pt>
                <c:pt idx="12">
                  <c:v>Diciembre</c:v>
                </c:pt>
              </c:strCache>
            </c:strRef>
          </c:cat>
          <c:val>
            <c:numRef>
              <c:f>'[1]Capital de Trabajo'!$D$15:$P$15</c:f>
              <c:numCache>
                <c:formatCode>General</c:formatCode>
                <c:ptCount val="13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  <c:pt idx="12">
                  <c:v>2024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A23-4394-98A9-A2B5A34049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1063852704"/>
        <c:axId val="1"/>
      </c:barChart>
      <c:lineChart>
        <c:grouping val="standard"/>
        <c:varyColors val="0"/>
        <c:ser>
          <c:idx val="8"/>
          <c:order val="6"/>
          <c:tx>
            <c:strRef>
              <c:f>'[1]Capital de Trabajo'!$C$16</c:f>
              <c:strCache>
                <c:ptCount val="1"/>
                <c:pt idx="0">
                  <c:v>Working Capital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diamond"/>
            <c:size val="11"/>
            <c:spPr>
              <a:solidFill>
                <a:schemeClr val="bg1"/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0"/>
              <c:tx>
                <c:rich>
                  <a:bodyPr/>
                  <a:lstStyle/>
                  <a:p>
                    <a:pPr>
                      <a:defRPr sz="1000" b="0" i="0" u="none" strike="noStrike" baseline="0">
                        <a:solidFill>
                          <a:srgbClr val="000000"/>
                        </a:solidFill>
                        <a:latin typeface="Calibri"/>
                        <a:ea typeface="Calibri"/>
                        <a:cs typeface="Calibri"/>
                      </a:defRPr>
                    </a:pPr>
                    <a:r>
                      <a:rPr lang="en-US"/>
                      <a:t>29,2%</a:t>
                    </a:r>
                  </a:p>
                </c:rich>
              </c:tx>
              <c:spPr>
                <a:solidFill>
                  <a:schemeClr val="bg1">
                    <a:lumMod val="85000"/>
                  </a:schemeClr>
                </a:solidFill>
              </c:spPr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6-EA23-4394-98A9-A2B5A340491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pPr>
                      <a:defRPr sz="1000" b="0" i="0" u="none" strike="noStrike" baseline="0">
                        <a:solidFill>
                          <a:srgbClr val="000000"/>
                        </a:solidFill>
                        <a:latin typeface="Calibri"/>
                        <a:ea typeface="Calibri"/>
                        <a:cs typeface="Calibri"/>
                      </a:defRPr>
                    </a:pPr>
                    <a:r>
                      <a:rPr lang="en-US"/>
                      <a:t>26,6%</a:t>
                    </a:r>
                  </a:p>
                </c:rich>
              </c:tx>
              <c:spPr>
                <a:solidFill>
                  <a:schemeClr val="bg1">
                    <a:lumMod val="85000"/>
                  </a:schemeClr>
                </a:solidFill>
              </c:spPr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7-EA23-4394-98A9-A2B5A3404918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pPr>
                      <a:defRPr sz="1000" b="0" i="0" u="none" strike="noStrike" baseline="0">
                        <a:solidFill>
                          <a:srgbClr val="000000"/>
                        </a:solidFill>
                        <a:latin typeface="Calibri"/>
                        <a:ea typeface="Calibri"/>
                        <a:cs typeface="Calibri"/>
                      </a:defRPr>
                    </a:pPr>
                    <a:r>
                      <a:rPr lang="en-US"/>
                      <a:t>27,5%</a:t>
                    </a:r>
                  </a:p>
                </c:rich>
              </c:tx>
              <c:spPr>
                <a:solidFill>
                  <a:schemeClr val="bg1">
                    <a:lumMod val="85000"/>
                  </a:schemeClr>
                </a:solidFill>
              </c:spPr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8-EA23-4394-98A9-A2B5A3404918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pPr>
                      <a:defRPr sz="1000" b="0" i="0" u="none" strike="noStrike" baseline="0">
                        <a:solidFill>
                          <a:srgbClr val="000000"/>
                        </a:solidFill>
                        <a:latin typeface="Calibri"/>
                        <a:ea typeface="Calibri"/>
                        <a:cs typeface="Calibri"/>
                      </a:defRPr>
                    </a:pPr>
                    <a:r>
                      <a:rPr lang="en-US"/>
                      <a:t>26,3%</a:t>
                    </a:r>
                  </a:p>
                </c:rich>
              </c:tx>
              <c:spPr>
                <a:solidFill>
                  <a:schemeClr val="bg1">
                    <a:lumMod val="85000"/>
                  </a:schemeClr>
                </a:solidFill>
              </c:spPr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9-EA23-4394-98A9-A2B5A3404918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pPr>
                      <a:defRPr sz="1000" b="0" i="0" u="none" strike="noStrike" baseline="0">
                        <a:solidFill>
                          <a:srgbClr val="000000"/>
                        </a:solidFill>
                        <a:latin typeface="Calibri"/>
                        <a:ea typeface="Calibri"/>
                        <a:cs typeface="Calibri"/>
                      </a:defRPr>
                    </a:pPr>
                    <a:r>
                      <a:rPr lang="en-US"/>
                      <a:t>26,8%</a:t>
                    </a:r>
                  </a:p>
                </c:rich>
              </c:tx>
              <c:spPr>
                <a:solidFill>
                  <a:schemeClr val="bg1">
                    <a:lumMod val="85000"/>
                  </a:schemeClr>
                </a:solidFill>
              </c:spPr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A-EA23-4394-98A9-A2B5A3404918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pPr>
                      <a:defRPr sz="1000" b="0" i="0" u="none" strike="noStrike" baseline="0">
                        <a:solidFill>
                          <a:srgbClr val="000000"/>
                        </a:solidFill>
                        <a:latin typeface="Calibri"/>
                        <a:ea typeface="Calibri"/>
                        <a:cs typeface="Calibri"/>
                      </a:defRPr>
                    </a:pPr>
                    <a:r>
                      <a:rPr lang="en-US"/>
                      <a:t>29,7%</a:t>
                    </a:r>
                  </a:p>
                </c:rich>
              </c:tx>
              <c:spPr>
                <a:solidFill>
                  <a:schemeClr val="bg1">
                    <a:lumMod val="85000"/>
                  </a:schemeClr>
                </a:solidFill>
              </c:spPr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B-EA23-4394-98A9-A2B5A3404918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pPr>
                      <a:defRPr sz="1000" b="0" i="0" u="none" strike="noStrike" baseline="0">
                        <a:solidFill>
                          <a:srgbClr val="000000"/>
                        </a:solidFill>
                        <a:latin typeface="Calibri"/>
                        <a:ea typeface="Calibri"/>
                        <a:cs typeface="Calibri"/>
                      </a:defRPr>
                    </a:pPr>
                    <a:r>
                      <a:rPr lang="en-US"/>
                      <a:t>28,2%</a:t>
                    </a:r>
                  </a:p>
                </c:rich>
              </c:tx>
              <c:spPr>
                <a:solidFill>
                  <a:schemeClr val="bg1">
                    <a:lumMod val="85000"/>
                  </a:schemeClr>
                </a:solidFill>
              </c:spPr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C-EA23-4394-98A9-A2B5A3404918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pPr>
                      <a:defRPr sz="1000" b="0" i="0" u="none" strike="noStrike" baseline="0">
                        <a:solidFill>
                          <a:srgbClr val="000000"/>
                        </a:solidFill>
                        <a:latin typeface="Calibri"/>
                        <a:ea typeface="Calibri"/>
                        <a:cs typeface="Calibri"/>
                      </a:defRPr>
                    </a:pPr>
                    <a:r>
                      <a:rPr lang="en-US"/>
                      <a:t>31,6%</a:t>
                    </a:r>
                  </a:p>
                </c:rich>
              </c:tx>
              <c:spPr>
                <a:solidFill>
                  <a:schemeClr val="bg1">
                    <a:lumMod val="85000"/>
                  </a:schemeClr>
                </a:solidFill>
              </c:spPr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D-EA23-4394-98A9-A2B5A3404918}"/>
                </c:ext>
              </c:extLst>
            </c:dLbl>
            <c:dLbl>
              <c:idx val="8"/>
              <c:layout>
                <c:manualLayout>
                  <c:x val="-4.6571798188874518E-2"/>
                  <c:y val="-5.7279236276849645E-2"/>
                </c:manualLayout>
              </c:layout>
              <c:tx>
                <c:rich>
                  <a:bodyPr/>
                  <a:lstStyle/>
                  <a:p>
                    <a:pPr>
                      <a:defRPr sz="1000" b="0" i="0" u="none" strike="noStrike" baseline="0">
                        <a:solidFill>
                          <a:srgbClr val="000000"/>
                        </a:solidFill>
                        <a:latin typeface="Calibri"/>
                        <a:ea typeface="Calibri"/>
                        <a:cs typeface="Calibri"/>
                      </a:defRPr>
                    </a:pPr>
                    <a:r>
                      <a:rPr lang="en-US"/>
                      <a:t>28,4%</a:t>
                    </a:r>
                  </a:p>
                </c:rich>
              </c:tx>
              <c:spPr>
                <a:solidFill>
                  <a:schemeClr val="bg1">
                    <a:lumMod val="85000"/>
                  </a:schemeClr>
                </a:solidFill>
              </c:sp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E-EA23-4394-98A9-A2B5A3404918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pPr>
                      <a:defRPr sz="1000" b="0" i="0" u="none" strike="noStrike" baseline="0">
                        <a:solidFill>
                          <a:srgbClr val="000000"/>
                        </a:solidFill>
                        <a:latin typeface="Calibri"/>
                        <a:ea typeface="Calibri"/>
                        <a:cs typeface="Calibri"/>
                      </a:defRPr>
                    </a:pPr>
                    <a:r>
                      <a:rPr lang="en-US"/>
                      <a:t>28,4%</a:t>
                    </a:r>
                  </a:p>
                </c:rich>
              </c:tx>
              <c:spPr>
                <a:solidFill>
                  <a:schemeClr val="bg1">
                    <a:lumMod val="85000"/>
                  </a:schemeClr>
                </a:solidFill>
              </c:spPr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F-EA23-4394-98A9-A2B5A3404918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pPr>
                      <a:defRPr sz="1000" b="0" i="0" u="none" strike="noStrike" baseline="0">
                        <a:solidFill>
                          <a:srgbClr val="000000"/>
                        </a:solidFill>
                        <a:latin typeface="Calibri"/>
                        <a:ea typeface="Calibri"/>
                        <a:cs typeface="Calibri"/>
                      </a:defRPr>
                    </a:pPr>
                    <a:r>
                      <a:rPr lang="en-US"/>
                      <a:t>29,5%</a:t>
                    </a:r>
                  </a:p>
                </c:rich>
              </c:tx>
              <c:spPr>
                <a:solidFill>
                  <a:schemeClr val="bg1">
                    <a:lumMod val="85000"/>
                  </a:schemeClr>
                </a:solidFill>
              </c:spPr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0-EA23-4394-98A9-A2B5A3404918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pPr>
                      <a:defRPr sz="1000" b="0" i="0" u="none" strike="noStrike" baseline="0">
                        <a:solidFill>
                          <a:srgbClr val="000000"/>
                        </a:solidFill>
                        <a:latin typeface="Calibri"/>
                        <a:ea typeface="Calibri"/>
                        <a:cs typeface="Calibri"/>
                      </a:defRPr>
                    </a:pPr>
                    <a:r>
                      <a:rPr lang="en-US"/>
                      <a:t> 29,6%</a:t>
                    </a:r>
                  </a:p>
                </c:rich>
              </c:tx>
              <c:spPr>
                <a:solidFill>
                  <a:schemeClr val="bg1">
                    <a:lumMod val="85000"/>
                  </a:schemeClr>
                </a:solidFill>
              </c:spPr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1-EA23-4394-98A9-A2B5A3404918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pPr>
                      <a:defRPr sz="1000" b="0" i="0" u="none" strike="noStrike" baseline="0">
                        <a:solidFill>
                          <a:srgbClr val="000000"/>
                        </a:solidFill>
                        <a:latin typeface="Calibri"/>
                        <a:ea typeface="Calibri"/>
                        <a:cs typeface="Calibri"/>
                      </a:defRPr>
                    </a:pPr>
                    <a:r>
                      <a:rPr lang="en-US"/>
                      <a:t> 28,6%</a:t>
                    </a:r>
                  </a:p>
                </c:rich>
              </c:tx>
              <c:spPr>
                <a:solidFill>
                  <a:schemeClr val="bg1">
                    <a:lumMod val="85000"/>
                  </a:schemeClr>
                </a:solidFill>
              </c:spPr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2-EA23-4394-98A9-A2B5A3404918}"/>
                </c:ext>
              </c:extLst>
            </c:dLbl>
            <c:spPr>
              <a:solidFill>
                <a:schemeClr val="bg1">
                  <a:lumMod val="85000"/>
                </a:schemeClr>
              </a:solidFill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EC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'[1]Capital de Trabajo'!$D$8:$P$8</c:f>
              <c:strCache>
                <c:ptCount val="13"/>
                <c:pt idx="0">
                  <c:v>2020</c:v>
                </c:pt>
                <c:pt idx="1">
                  <c:v>enero</c:v>
                </c:pt>
                <c:pt idx="2">
                  <c:v>febrero</c:v>
                </c:pt>
                <c:pt idx="3">
                  <c:v>marzo</c:v>
                </c:pt>
                <c:pt idx="4">
                  <c:v>abril</c:v>
                </c:pt>
                <c:pt idx="5">
                  <c:v>mayo</c:v>
                </c:pt>
                <c:pt idx="6">
                  <c:v>junio</c:v>
                </c:pt>
                <c:pt idx="7">
                  <c:v>julio</c:v>
                </c:pt>
                <c:pt idx="8">
                  <c:v>agosto</c:v>
                </c:pt>
                <c:pt idx="9">
                  <c:v>Septiembre</c:v>
                </c:pt>
                <c:pt idx="10">
                  <c:v>Octubre</c:v>
                </c:pt>
                <c:pt idx="11">
                  <c:v>Noviembre</c:v>
                </c:pt>
                <c:pt idx="12">
                  <c:v>Diciembre</c:v>
                </c:pt>
              </c:strCache>
            </c:strRef>
          </c:cat>
          <c:val>
            <c:numRef>
              <c:f>'[1]Capital de Trabajo'!$D$16:$P$16</c:f>
              <c:numCache>
                <c:formatCode>General</c:formatCode>
                <c:ptCount val="13"/>
                <c:pt idx="0">
                  <c:v>6361.5314500000022</c:v>
                </c:pt>
                <c:pt idx="1">
                  <c:v>8037.8817800000006</c:v>
                </c:pt>
                <c:pt idx="2">
                  <c:v>8329.664420000001</c:v>
                </c:pt>
                <c:pt idx="3">
                  <c:v>7947.7966799999995</c:v>
                </c:pt>
                <c:pt idx="4">
                  <c:v>8104.3103200000005</c:v>
                </c:pt>
                <c:pt idx="5">
                  <c:v>8986.5076200000003</c:v>
                </c:pt>
                <c:pt idx="6">
                  <c:v>8523.0178100000012</c:v>
                </c:pt>
                <c:pt idx="7">
                  <c:v>9549.6455699999988</c:v>
                </c:pt>
                <c:pt idx="8">
                  <c:v>8604.3103700000011</c:v>
                </c:pt>
                <c:pt idx="9">
                  <c:v>8587.8385800000015</c:v>
                </c:pt>
                <c:pt idx="10">
                  <c:v>8916.0705300000027</c:v>
                </c:pt>
                <c:pt idx="11">
                  <c:v>8957.1315700000032</c:v>
                </c:pt>
                <c:pt idx="12">
                  <c:v>8664.1192000000028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EA23-4394-98A9-A2B5A3404918}"/>
            </c:ext>
          </c:extLst>
        </c:ser>
        <c:ser>
          <c:idx val="7"/>
          <c:order val="7"/>
          <c:tx>
            <c:strRef>
              <c:f>'[1]Capital de Trabajo'!$C$17</c:f>
              <c:strCache>
                <c:ptCount val="1"/>
                <c:pt idx="0">
                  <c:v>Costo Capital%</c:v>
                </c:pt>
              </c:strCache>
            </c:strRef>
          </c:tx>
          <c:cat>
            <c:strRef>
              <c:f>'[1]Capital de Trabajo'!$D$8:$P$8</c:f>
              <c:strCache>
                <c:ptCount val="13"/>
                <c:pt idx="0">
                  <c:v>2020</c:v>
                </c:pt>
                <c:pt idx="1">
                  <c:v>enero</c:v>
                </c:pt>
                <c:pt idx="2">
                  <c:v>febrero</c:v>
                </c:pt>
                <c:pt idx="3">
                  <c:v>marzo</c:v>
                </c:pt>
                <c:pt idx="4">
                  <c:v>abril</c:v>
                </c:pt>
                <c:pt idx="5">
                  <c:v>mayo</c:v>
                </c:pt>
                <c:pt idx="6">
                  <c:v>junio</c:v>
                </c:pt>
                <c:pt idx="7">
                  <c:v>julio</c:v>
                </c:pt>
                <c:pt idx="8">
                  <c:v>agosto</c:v>
                </c:pt>
                <c:pt idx="9">
                  <c:v>Septiembre</c:v>
                </c:pt>
                <c:pt idx="10">
                  <c:v>Octubre</c:v>
                </c:pt>
                <c:pt idx="11">
                  <c:v>Noviembre</c:v>
                </c:pt>
                <c:pt idx="12">
                  <c:v>Diciembre</c:v>
                </c:pt>
              </c:strCache>
            </c:strRef>
          </c:cat>
          <c:val>
            <c:numRef>
              <c:f>'[1]Capital de Trabajo'!$D$17:$P$17</c:f>
              <c:numCache>
                <c:formatCode>General</c:formatCode>
                <c:ptCount val="13"/>
                <c:pt idx="0">
                  <c:v>0.29190252004488354</c:v>
                </c:pt>
                <c:pt idx="1">
                  <c:v>0.26570759860296084</c:v>
                </c:pt>
                <c:pt idx="2">
                  <c:v>0.27535303339665751</c:v>
                </c:pt>
                <c:pt idx="3">
                  <c:v>0.26272966284251381</c:v>
                </c:pt>
                <c:pt idx="4">
                  <c:v>0.26790352140018575</c:v>
                </c:pt>
                <c:pt idx="5">
                  <c:v>0.29706624517403751</c:v>
                </c:pt>
                <c:pt idx="6">
                  <c:v>0.28174470054788076</c:v>
                </c:pt>
                <c:pt idx="7">
                  <c:v>0.31568185018940437</c:v>
                </c:pt>
                <c:pt idx="8">
                  <c:v>0.2844319820348557</c:v>
                </c:pt>
                <c:pt idx="9">
                  <c:v>0.28388747542411125</c:v>
                </c:pt>
                <c:pt idx="10">
                  <c:v>0.29473781206830951</c:v>
                </c:pt>
                <c:pt idx="11">
                  <c:v>0.2960951634990916</c:v>
                </c:pt>
                <c:pt idx="12">
                  <c:v>0.28640907762166751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EA23-4394-98A9-A2B5A34049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063852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270000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EC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EC"/>
          </a:p>
        </c:txPr>
        <c:crossAx val="1063852704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EC"/>
          </a:p>
        </c:txPr>
        <c:crossAx val="3"/>
        <c:crosses val="max"/>
        <c:crossBetween val="between"/>
      </c:valAx>
    </c:plotArea>
    <c:legend>
      <c:legendPos val="b"/>
      <c:layout>
        <c:manualLayout>
          <c:xMode val="edge"/>
          <c:yMode val="edge"/>
          <c:x val="6.6668755957744089E-2"/>
          <c:y val="0.92595630407310192"/>
          <c:w val="0.86370914456588443"/>
          <c:h val="5.1853553028093691E-2"/>
        </c:manualLayout>
      </c:layout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EC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255796150481189"/>
          <c:y val="0.13486614173228345"/>
          <c:w val="0.83410870516185476"/>
          <c:h val="0.7492862350539516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'[1]Cambio en venta Acum'!$A$48:$B$48</c:f>
              <c:strCache>
                <c:ptCount val="1"/>
                <c:pt idx="0">
                  <c:v>Venta 2016</c:v>
                </c:pt>
              </c:strCache>
            </c:strRef>
          </c:tx>
          <c:invertIfNegative val="0"/>
          <c:dPt>
            <c:idx val="1"/>
            <c:invertIfNegative val="0"/>
            <c:bubble3D val="0"/>
            <c:spPr>
              <a:noFill/>
            </c:spPr>
            <c:extLst>
              <c:ext xmlns:c16="http://schemas.microsoft.com/office/drawing/2014/chart" uri="{C3380CC4-5D6E-409C-BE32-E72D297353CC}">
                <c16:uniqueId val="{00000001-AEE7-4250-9FB5-E3B691C09AB2}"/>
              </c:ext>
            </c:extLst>
          </c:dPt>
          <c:dPt>
            <c:idx val="2"/>
            <c:invertIfNegative val="0"/>
            <c:bubble3D val="0"/>
            <c:spPr>
              <a:noFill/>
            </c:spPr>
            <c:extLst>
              <c:ext xmlns:c16="http://schemas.microsoft.com/office/drawing/2014/chart" uri="{C3380CC4-5D6E-409C-BE32-E72D297353CC}">
                <c16:uniqueId val="{00000003-AEE7-4250-9FB5-E3B691C09AB2}"/>
              </c:ext>
            </c:extLst>
          </c:dPt>
          <c:dLbls>
            <c:dLbl>
              <c:idx val="0"/>
              <c:layout>
                <c:manualLayout>
                  <c:x val="2.7775590551181104E-3"/>
                  <c:y val="-0.36296287964004498"/>
                </c:manualLayout>
              </c:layout>
              <c:spPr/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s-EC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EE7-4250-9FB5-E3B691C09AB2}"/>
                </c:ext>
              </c:extLst>
            </c:dLbl>
            <c:dLbl>
              <c:idx val="1"/>
              <c:layout>
                <c:manualLayout>
                  <c:x val="4.0449889152204752E-3"/>
                  <c:y val="-0.32435232785984403"/>
                </c:manualLayout>
              </c:layout>
              <c:tx>
                <c:rich>
                  <a:bodyPr/>
                  <a:lstStyle/>
                  <a:p>
                    <a:pPr>
                      <a:defRPr sz="1000" b="1" i="0" u="none" strike="noStrike" baseline="0">
                        <a:solidFill>
                          <a:srgbClr val="000000"/>
                        </a:solidFill>
                        <a:latin typeface="Calibri"/>
                        <a:ea typeface="Calibri"/>
                        <a:cs typeface="Calibri"/>
                      </a:defRPr>
                    </a:pPr>
                    <a:r>
                      <a:rPr lang="en-US"/>
                      <a:t>$1566</a:t>
                    </a:r>
                  </a:p>
                </c:rich>
              </c:tx>
              <c:spPr/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AEE7-4250-9FB5-E3B691C09AB2}"/>
                </c:ext>
              </c:extLst>
            </c:dLbl>
            <c:dLbl>
              <c:idx val="2"/>
              <c:layout>
                <c:manualLayout>
                  <c:x val="-5.5555555555555558E-3"/>
                  <c:y val="-0.43518518518518517"/>
                </c:manualLayout>
              </c:layout>
              <c:tx>
                <c:rich>
                  <a:bodyPr/>
                  <a:lstStyle/>
                  <a:p>
                    <a:pPr>
                      <a:defRPr sz="1000" b="1" i="0" u="none" strike="noStrike" baseline="0">
                        <a:solidFill>
                          <a:srgbClr val="000000"/>
                        </a:solidFill>
                        <a:latin typeface="Calibri"/>
                        <a:ea typeface="Calibri"/>
                        <a:cs typeface="Calibri"/>
                      </a:defRPr>
                    </a:pPr>
                    <a:r>
                      <a:rPr lang="en-US"/>
                      <a:t>$6744</a:t>
                    </a:r>
                  </a:p>
                </c:rich>
              </c:tx>
              <c:spPr/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AEE7-4250-9FB5-E3B691C09AB2}"/>
                </c:ext>
              </c:extLst>
            </c:dLbl>
            <c:dLbl>
              <c:idx val="3"/>
              <c:layout>
                <c:manualLayout>
                  <c:x val="-2.7777777777777779E-3"/>
                  <c:y val="-0.37619085114360706"/>
                </c:manualLayout>
              </c:layout>
              <c:spPr/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s-EC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EE7-4250-9FB5-E3B691C09AB2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EC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'[1]Cambio en venta Acum'!$C$47:$F$47</c:f>
              <c:strCache>
                <c:ptCount val="4"/>
                <c:pt idx="0">
                  <c:v>2020</c:v>
                </c:pt>
                <c:pt idx="1">
                  <c:v>Volumen</c:v>
                </c:pt>
                <c:pt idx="2">
                  <c:v>Precio/Mix</c:v>
                </c:pt>
                <c:pt idx="3">
                  <c:v>2021</c:v>
                </c:pt>
              </c:strCache>
            </c:strRef>
          </c:cat>
          <c:val>
            <c:numRef>
              <c:f>'[1]Cambio en venta Acum'!$C$48:$F$48</c:f>
              <c:numCache>
                <c:formatCode>General</c:formatCode>
                <c:ptCount val="4"/>
                <c:pt idx="0">
                  <c:v>21792.606795999996</c:v>
                </c:pt>
                <c:pt idx="1">
                  <c:v>21792.606795999996</c:v>
                </c:pt>
                <c:pt idx="2">
                  <c:v>21941.606795999996</c:v>
                </c:pt>
                <c:pt idx="3">
                  <c:v>30265.084684999994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EE7-4250-9FB5-E3B691C09AB2}"/>
            </c:ext>
          </c:extLst>
        </c:ser>
        <c:ser>
          <c:idx val="1"/>
          <c:order val="1"/>
          <c:tx>
            <c:strRef>
              <c:f>'[1]Cambio en venta Acum'!$A$49:$B$49</c:f>
              <c:strCache>
                <c:ptCount val="1"/>
                <c:pt idx="0">
                  <c:v>Volumen</c:v>
                </c:pt>
              </c:strCache>
            </c:strRef>
          </c:tx>
          <c:spPr>
            <a:solidFill>
              <a:srgbClr val="C00000"/>
            </a:solidFill>
          </c:spPr>
          <c:invertIfNegative val="0"/>
          <c:dPt>
            <c:idx val="1"/>
            <c:invertIfNegative val="0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8-AEE7-4250-9FB5-E3B691C09AB2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A-AEE7-4250-9FB5-E3B691C09AB2}"/>
              </c:ext>
            </c:extLst>
          </c:dPt>
          <c:cat>
            <c:strRef>
              <c:f>'[1]Cambio en venta Acum'!$C$47:$F$47</c:f>
              <c:strCache>
                <c:ptCount val="4"/>
                <c:pt idx="0">
                  <c:v>2020</c:v>
                </c:pt>
                <c:pt idx="1">
                  <c:v>Volumen</c:v>
                </c:pt>
                <c:pt idx="2">
                  <c:v>Precio/Mix</c:v>
                </c:pt>
                <c:pt idx="3">
                  <c:v>2021</c:v>
                </c:pt>
              </c:strCache>
            </c:strRef>
          </c:cat>
          <c:val>
            <c:numRef>
              <c:f>'[1]Cambio en venta Acum'!$C$49:$F$49</c:f>
              <c:numCache>
                <c:formatCode>General</c:formatCode>
                <c:ptCount val="4"/>
                <c:pt idx="1">
                  <c:v>1573.3985831565681</c:v>
                </c:pt>
                <c:pt idx="2">
                  <c:v>6899.0793058434292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EE7-4250-9FB5-E3B691C09A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63867680"/>
        <c:axId val="1"/>
      </c:barChart>
      <c:catAx>
        <c:axId val="1063867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EC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in val="-1000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EC"/>
          </a:p>
        </c:txPr>
        <c:crossAx val="1063867680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EC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2.png"/><Relationship Id="rId5" Type="http://schemas.openxmlformats.org/officeDocument/2006/relationships/hyperlink" Target="#Menu!A1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Menu!A1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Menu!A1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hyperlink" Target="#Menu!A1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Menu!A1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Menu!A1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#Menu!A1"/><Relationship Id="rId1" Type="http://schemas.openxmlformats.org/officeDocument/2006/relationships/chart" Target="../charts/chart7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Menu!A1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#Menu!A1"/><Relationship Id="rId1" Type="http://schemas.openxmlformats.org/officeDocument/2006/relationships/chart" Target="../charts/chart8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Menu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hyperlink" Target="#Menu!A1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Menu!A1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Menu!A1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Menu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312420</xdr:colOff>
      <xdr:row>2</xdr:row>
      <xdr:rowOff>45720</xdr:rowOff>
    </xdr:from>
    <xdr:to>
      <xdr:col>8</xdr:col>
      <xdr:colOff>182880</xdr:colOff>
      <xdr:row>24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F8CB6E-EF1F-4266-B97B-59726F71AF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274320</xdr:colOff>
      <xdr:row>2</xdr:row>
      <xdr:rowOff>38100</xdr:rowOff>
    </xdr:from>
    <xdr:to>
      <xdr:col>17</xdr:col>
      <xdr:colOff>342900</xdr:colOff>
      <xdr:row>23</xdr:row>
      <xdr:rowOff>167640</xdr:rowOff>
    </xdr:to>
    <xdr:graphicFrame macro="">
      <xdr:nvGraphicFramePr>
        <xdr:cNvPr id="3" name="Chart 12">
          <a:extLst>
            <a:ext uri="{FF2B5EF4-FFF2-40B4-BE49-F238E27FC236}">
              <a16:creationId xmlns:a16="http://schemas.microsoft.com/office/drawing/2014/main" id="{B3EF8C3F-45F0-475F-86B9-2B793F8402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281940</xdr:colOff>
      <xdr:row>24</xdr:row>
      <xdr:rowOff>91440</xdr:rowOff>
    </xdr:from>
    <xdr:to>
      <xdr:col>17</xdr:col>
      <xdr:colOff>350520</xdr:colOff>
      <xdr:row>46</xdr:row>
      <xdr:rowOff>45720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3DC1453E-3BF1-40DE-85E3-5B6CF39F6F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312420</xdr:colOff>
      <xdr:row>24</xdr:row>
      <xdr:rowOff>91440</xdr:rowOff>
    </xdr:from>
    <xdr:to>
      <xdr:col>8</xdr:col>
      <xdr:colOff>182880</xdr:colOff>
      <xdr:row>46</xdr:row>
      <xdr:rowOff>45720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7714383-52A8-4159-816F-46BE0D2135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480797</xdr:colOff>
      <xdr:row>1</xdr:row>
      <xdr:rowOff>76200</xdr:rowOff>
    </xdr:from>
    <xdr:to>
      <xdr:col>1</xdr:col>
      <xdr:colOff>69425</xdr:colOff>
      <xdr:row>3</xdr:row>
      <xdr:rowOff>104987</xdr:rowOff>
    </xdr:to>
    <xdr:pic>
      <xdr:nvPicPr>
        <xdr:cNvPr id="6" name="Imagen 5" descr="Grafimpac S.A. en Guayaquil, GUAYAS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316636D7-9D9C-4393-B129-05BBC2E02E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797" y="525780"/>
          <a:ext cx="381108" cy="3945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</xdr:row>
      <xdr:rowOff>0</xdr:rowOff>
    </xdr:from>
    <xdr:to>
      <xdr:col>2</xdr:col>
      <xdr:colOff>135151</xdr:colOff>
      <xdr:row>7</xdr:row>
      <xdr:rowOff>22649</xdr:rowOff>
    </xdr:to>
    <xdr:pic>
      <xdr:nvPicPr>
        <xdr:cNvPr id="2" name="Imagen 1" descr="Grafimpac S.A. en Guayaquil, GUAYAS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8E8C3F4-F51C-4CD7-A613-0C821C552F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1460" y="274320"/>
          <a:ext cx="386611" cy="3960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8</xdr:row>
      <xdr:rowOff>0</xdr:rowOff>
    </xdr:from>
    <xdr:to>
      <xdr:col>1</xdr:col>
      <xdr:colOff>382801</xdr:colOff>
      <xdr:row>10</xdr:row>
      <xdr:rowOff>35984</xdr:rowOff>
    </xdr:to>
    <xdr:pic>
      <xdr:nvPicPr>
        <xdr:cNvPr id="2" name="Imagen 1" descr="Grafimpac S.A. en Guayaquil, GUAYAS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D953182-2DA6-43F6-B166-D1E4CFF728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1460" y="739140"/>
          <a:ext cx="382801" cy="40174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</xdr:row>
      <xdr:rowOff>0</xdr:rowOff>
    </xdr:from>
    <xdr:to>
      <xdr:col>3</xdr:col>
      <xdr:colOff>146581</xdr:colOff>
      <xdr:row>4</xdr:row>
      <xdr:rowOff>32174</xdr:rowOff>
    </xdr:to>
    <xdr:pic>
      <xdr:nvPicPr>
        <xdr:cNvPr id="2" name="Imagen 1" descr="Grafimpac S.A. en Guayaquil, GUAYAS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FBA2766-2700-48D7-BFED-75DFBFFF7D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8140" y="548640"/>
          <a:ext cx="382801" cy="3979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38100</xdr:colOff>
      <xdr:row>1</xdr:row>
      <xdr:rowOff>0</xdr:rowOff>
    </xdr:from>
    <xdr:to>
      <xdr:col>3</xdr:col>
      <xdr:colOff>1365885</xdr:colOff>
      <xdr:row>5</xdr:row>
      <xdr:rowOff>3810</xdr:rowOff>
    </xdr:to>
    <xdr:pic>
      <xdr:nvPicPr>
        <xdr:cNvPr id="3" name="Picture 2" descr="http://grupoherosa.com/wp-content/themes/onepress/img/clientes/cliente-grafimpac.png">
          <a:extLst>
            <a:ext uri="{FF2B5EF4-FFF2-40B4-BE49-F238E27FC236}">
              <a16:creationId xmlns:a16="http://schemas.microsoft.com/office/drawing/2014/main" id="{ED6EF374-25D2-46F6-B743-CC92DD1DAC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2460" y="190500"/>
          <a:ext cx="1335405" cy="7353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38100</xdr:colOff>
      <xdr:row>1</xdr:row>
      <xdr:rowOff>0</xdr:rowOff>
    </xdr:from>
    <xdr:to>
      <xdr:col>3</xdr:col>
      <xdr:colOff>1365885</xdr:colOff>
      <xdr:row>5</xdr:row>
      <xdr:rowOff>3810</xdr:rowOff>
    </xdr:to>
    <xdr:pic>
      <xdr:nvPicPr>
        <xdr:cNvPr id="4" name="Picture 2" descr="http://grupoherosa.com/wp-content/themes/onepress/img/clientes/cliente-grafimpac.png">
          <a:extLst>
            <a:ext uri="{FF2B5EF4-FFF2-40B4-BE49-F238E27FC236}">
              <a16:creationId xmlns:a16="http://schemas.microsoft.com/office/drawing/2014/main" id="{0CD3F3BF-9BF2-4252-BC30-22C9106740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2460" y="190500"/>
          <a:ext cx="1335405" cy="7353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</xdr:row>
      <xdr:rowOff>0</xdr:rowOff>
    </xdr:from>
    <xdr:to>
      <xdr:col>1</xdr:col>
      <xdr:colOff>382801</xdr:colOff>
      <xdr:row>8</xdr:row>
      <xdr:rowOff>32174</xdr:rowOff>
    </xdr:to>
    <xdr:pic>
      <xdr:nvPicPr>
        <xdr:cNvPr id="2" name="Imagen 1" descr="Grafimpac S.A. en Guayaquil, GUAYAS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4AF7DC3-7327-40A6-93DE-6E533893DA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5740" y="1501140"/>
          <a:ext cx="382801" cy="3979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0</xdr:col>
      <xdr:colOff>382801</xdr:colOff>
      <xdr:row>4</xdr:row>
      <xdr:rowOff>16934</xdr:rowOff>
    </xdr:to>
    <xdr:pic>
      <xdr:nvPicPr>
        <xdr:cNvPr id="2" name="Imagen 1" descr="Grafimpac S.A. en Guayaquil, GUAYAS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CCB8B0D-A599-44FE-99D8-51B5444009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5280"/>
          <a:ext cx="382801" cy="3979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190500</xdr:colOff>
      <xdr:row>3</xdr:row>
      <xdr:rowOff>83820</xdr:rowOff>
    </xdr:from>
    <xdr:to>
      <xdr:col>30</xdr:col>
      <xdr:colOff>38100</xdr:colOff>
      <xdr:row>26</xdr:row>
      <xdr:rowOff>106680</xdr:rowOff>
    </xdr:to>
    <xdr:graphicFrame macro="">
      <xdr:nvGraphicFramePr>
        <xdr:cNvPr id="2" name="3 Gráfico">
          <a:extLst>
            <a:ext uri="{FF2B5EF4-FFF2-40B4-BE49-F238E27FC236}">
              <a16:creationId xmlns:a16="http://schemas.microsoft.com/office/drawing/2014/main" id="{7D9EB10A-B3ED-4FE5-859A-6C4F8BC6D3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19</xdr:col>
      <xdr:colOff>0</xdr:colOff>
      <xdr:row>4</xdr:row>
      <xdr:rowOff>0</xdr:rowOff>
    </xdr:from>
    <xdr:to>
      <xdr:col>19</xdr:col>
      <xdr:colOff>382801</xdr:colOff>
      <xdr:row>6</xdr:row>
      <xdr:rowOff>32174</xdr:rowOff>
    </xdr:to>
    <xdr:pic>
      <xdr:nvPicPr>
        <xdr:cNvPr id="3" name="Imagen 2" descr="Grafimpac S.A. en Guayaquil, GUAYAS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D6B3A105-5701-4149-ABEF-167609B509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060" y="167640"/>
          <a:ext cx="382801" cy="3979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0</xdr:col>
      <xdr:colOff>382801</xdr:colOff>
      <xdr:row>3</xdr:row>
      <xdr:rowOff>85514</xdr:rowOff>
    </xdr:to>
    <xdr:pic>
      <xdr:nvPicPr>
        <xdr:cNvPr id="2" name="Imagen 1" descr="Grafimpac S.A. en Guayaquil, GUAYAS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8838EB9-3B23-40DB-AFC8-95561DFCD9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5300"/>
          <a:ext cx="382801" cy="3979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167640</xdr:colOff>
      <xdr:row>5</xdr:row>
      <xdr:rowOff>7620</xdr:rowOff>
    </xdr:from>
    <xdr:to>
      <xdr:col>20</xdr:col>
      <xdr:colOff>373380</xdr:colOff>
      <xdr:row>21</xdr:row>
      <xdr:rowOff>91440</xdr:rowOff>
    </xdr:to>
    <xdr:graphicFrame macro="">
      <xdr:nvGraphicFramePr>
        <xdr:cNvPr id="2" name="3 Gráfico">
          <a:extLst>
            <a:ext uri="{FF2B5EF4-FFF2-40B4-BE49-F238E27FC236}">
              <a16:creationId xmlns:a16="http://schemas.microsoft.com/office/drawing/2014/main" id="{9D51E5A9-7AB3-4BC6-88E8-641024A8F3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1409700</xdr:colOff>
      <xdr:row>1</xdr:row>
      <xdr:rowOff>190500</xdr:rowOff>
    </xdr:from>
    <xdr:to>
      <xdr:col>0</xdr:col>
      <xdr:colOff>1792501</xdr:colOff>
      <xdr:row>4</xdr:row>
      <xdr:rowOff>70274</xdr:rowOff>
    </xdr:to>
    <xdr:pic>
      <xdr:nvPicPr>
        <xdr:cNvPr id="3" name="Imagen 2" descr="Grafimpac S.A. en Guayaquil, GUAYAS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2F025DD4-8731-4203-903E-EE0CC91BB7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381000"/>
          <a:ext cx="382801" cy="458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4</xdr:row>
      <xdr:rowOff>60960</xdr:rowOff>
    </xdr:from>
    <xdr:to>
      <xdr:col>0</xdr:col>
      <xdr:colOff>459001</xdr:colOff>
      <xdr:row>6</xdr:row>
      <xdr:rowOff>138854</xdr:rowOff>
    </xdr:to>
    <xdr:pic>
      <xdr:nvPicPr>
        <xdr:cNvPr id="2" name="Imagen 1" descr="Grafimpac S.A. en Guayaquil, GUAYAS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ACB7A51-E161-4808-B2F9-0655F2BB0C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739140"/>
          <a:ext cx="382801" cy="458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0.04112</cdr:x>
      <cdr:y>0.41581</cdr:y>
    </cdr:from>
    <cdr:to>
      <cdr:x>0.09986</cdr:x>
      <cdr:y>0.48497</cdr:y>
    </cdr:to>
    <cdr:sp macro="" textlink="">
      <cdr:nvSpPr>
        <cdr:cNvPr id="6146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93639" y="1328462"/>
          <a:ext cx="275713" cy="22542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36576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C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% 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0.01053</cdr:x>
      <cdr:y>0.01466</cdr:y>
    </cdr:from>
    <cdr:to>
      <cdr:x>0.01053</cdr:x>
      <cdr:y>0.01466</cdr:y>
    </cdr:to>
    <cdr:pic>
      <cdr:nvPicPr>
        <cdr:cNvPr id="14337" name="Picture 1" descr="kcsigsm">
          <a:extLst xmlns:a="http://schemas.openxmlformats.org/drawingml/2006/main">
            <a:ext uri="{FF2B5EF4-FFF2-40B4-BE49-F238E27FC236}">
              <a16:creationId xmlns:a16="http://schemas.microsoft.com/office/drawing/2014/main" id="{DC954943-5B93-4BE0-9403-74A8CA88136C}"/>
            </a:ext>
          </a:extLst>
        </cdr:cNvPr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50800" y="50800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</cdr:spPr>
    </cdr:pic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266700</xdr:colOff>
      <xdr:row>3</xdr:row>
      <xdr:rowOff>99060</xdr:rowOff>
    </xdr:from>
    <xdr:to>
      <xdr:col>17</xdr:col>
      <xdr:colOff>205740</xdr:colOff>
      <xdr:row>23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D7523D-A33E-47DB-9586-1D40A9C459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22860</xdr:colOff>
      <xdr:row>3</xdr:row>
      <xdr:rowOff>91440</xdr:rowOff>
    </xdr:from>
    <xdr:to>
      <xdr:col>9</xdr:col>
      <xdr:colOff>198120</xdr:colOff>
      <xdr:row>23</xdr:row>
      <xdr:rowOff>76200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8AFB72D4-B3A9-4D62-A169-04B359E3D8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382801</xdr:colOff>
      <xdr:row>4</xdr:row>
      <xdr:rowOff>28787</xdr:rowOff>
    </xdr:to>
    <xdr:pic>
      <xdr:nvPicPr>
        <xdr:cNvPr id="4" name="Imagen 3" descr="Grafimpac S.A. en Guayaquil, GUAYAS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6C6A9D6A-48B1-4C53-8CE8-379FDFE991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" y="449580"/>
          <a:ext cx="382801" cy="3945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0.32287</cdr:x>
      <cdr:y>0.00693</cdr:y>
    </cdr:from>
    <cdr:to>
      <cdr:x>0.71601</cdr:x>
      <cdr:y>0.09934</cdr:y>
    </cdr:to>
    <cdr:sp macro="" textlink="">
      <cdr:nvSpPr>
        <cdr:cNvPr id="2" name="1 CuadroTexto"/>
        <cdr:cNvSpPr txBox="1"/>
      </cdr:nvSpPr>
      <cdr:spPr>
        <a:xfrm xmlns:a="http://schemas.openxmlformats.org/drawingml/2006/main">
          <a:off x="1619970" y="21166"/>
          <a:ext cx="1842290" cy="2963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s-ES" sz="1200" b="1"/>
            <a:t>Precio</a:t>
          </a:r>
          <a:r>
            <a:rPr lang="es-ES" sz="1200" b="1" baseline="0"/>
            <a:t> por tonelada USD</a:t>
          </a:r>
          <a:endParaRPr lang="es-ES" sz="1200" b="1"/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0.46037</cdr:x>
      <cdr:y>0.00669</cdr:y>
    </cdr:from>
    <cdr:to>
      <cdr:x>0.65843</cdr:x>
      <cdr:y>0.10128</cdr:y>
    </cdr:to>
    <cdr:sp macro="" textlink="">
      <cdr:nvSpPr>
        <cdr:cNvPr id="2" name="1 CuadroTexto"/>
        <cdr:cNvSpPr txBox="1"/>
      </cdr:nvSpPr>
      <cdr:spPr>
        <a:xfrm xmlns:a="http://schemas.openxmlformats.org/drawingml/2006/main">
          <a:off x="2276137" y="21165"/>
          <a:ext cx="930613" cy="2963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s-ES" sz="1200" b="1"/>
            <a:t>Toneladas</a:t>
          </a: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0</xdr:col>
      <xdr:colOff>382801</xdr:colOff>
      <xdr:row>4</xdr:row>
      <xdr:rowOff>16934</xdr:rowOff>
    </xdr:to>
    <xdr:pic>
      <xdr:nvPicPr>
        <xdr:cNvPr id="2" name="Imagen 1" descr="Grafimpac S.A. en Guayaquil, GUAYAS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4BB3A53-275B-4B50-93D9-A59ABB0998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1480"/>
          <a:ext cx="382801" cy="3979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</xdr:row>
      <xdr:rowOff>0</xdr:rowOff>
    </xdr:from>
    <xdr:to>
      <xdr:col>4</xdr:col>
      <xdr:colOff>382801</xdr:colOff>
      <xdr:row>8</xdr:row>
      <xdr:rowOff>0</xdr:rowOff>
    </xdr:to>
    <xdr:pic>
      <xdr:nvPicPr>
        <xdr:cNvPr id="2" name="Imagen 1" descr="Grafimpac S.A. en Guayaquil, GUAYAS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1202810-8EEE-493E-A9BD-A631FA0A51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7200"/>
          <a:ext cx="382801" cy="3979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4</xdr:col>
      <xdr:colOff>382801</xdr:colOff>
      <xdr:row>3</xdr:row>
      <xdr:rowOff>175260</xdr:rowOff>
    </xdr:to>
    <xdr:pic>
      <xdr:nvPicPr>
        <xdr:cNvPr id="2" name="Imagen 1" descr="Grafimpac S.A. en Guayaquil, GUAYAS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BA97631-BF0A-4D34-9CCC-C3ECDAD054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"/>
          <a:ext cx="382801" cy="3979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espaldo/documentos/c/2018/Carpeta%20financiera/Carpeta%20Financiera%20Enero%20202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lmmorales\Desktop\Carpeta%20Financiera%20-%20Marzo%202015%20rev%2015%20abr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Cabecera"/>
      <sheetName val="% macroeco"/>
      <sheetName val="Materia Prima"/>
      <sheetName val="Balance General"/>
      <sheetName val="Comparativo PG Mes"/>
      <sheetName val="PG Mensual 2021"/>
      <sheetName val="Base PG 2021"/>
      <sheetName val="PG Mensual 2020"/>
      <sheetName val="Comparativo PG Mes 000"/>
      <sheetName val="Comparativo PG Acumulado 000"/>
      <sheetName val="Comparativo real 2020"/>
      <sheetName val="Presupuesto 2021"/>
      <sheetName val="Financial Ratios"/>
      <sheetName val="Cartera"/>
      <sheetName val="Inventario "/>
      <sheetName val="Base Balance 2021"/>
      <sheetName val="Base Inventario"/>
      <sheetName val="Capital de Trabajo"/>
      <sheetName val="Analisis de Gastos Mensual"/>
      <sheetName val="Analisis de Gastos Acumulado"/>
      <sheetName val=" BenchMark PG"/>
      <sheetName val="Cambio en venta Acum"/>
      <sheetName val="Madera"/>
      <sheetName val="DATA Macroecono"/>
      <sheetName val="Data Materia Prima"/>
      <sheetName val="Base cartera"/>
      <sheetName val="Base PG 2020"/>
      <sheetName val="Base Balance 2020"/>
      <sheetName val="Comparativo PG Acumulado"/>
      <sheetName val="Ind P&amp;L Run D."/>
      <sheetName val="Base Datos Ind. P&amp;L Runday"/>
      <sheetName val="Evolucion de Gastos Fabrica"/>
      <sheetName val="Input gastos"/>
      <sheetName val="Hoja10"/>
      <sheetName val="Hoja5"/>
      <sheetName val="Cambio en venta Mes"/>
      <sheetName val="AOC"/>
      <sheetName val="Ventas"/>
      <sheetName val="Administracion"/>
      <sheetName val="Distribucion 03"/>
      <sheetName val="Mercadeo 03"/>
      <sheetName val="Ventas 03"/>
      <sheetName val="Administracion 03"/>
      <sheetName val="BG"/>
      <sheetName val="Pivot Cecos"/>
      <sheetName val="Roic Analysis"/>
      <sheetName val="DATA ROIC"/>
      <sheetName val="Margenes"/>
      <sheetName val="P&amp;L Plastico"/>
      <sheetName val="P&amp;L Juguetes"/>
      <sheetName val="Produccion Inyeccion"/>
      <sheetName val="Hoja18"/>
      <sheetName val="Base Super Cia"/>
      <sheetName val="Seleccion Bench"/>
      <sheetName val="Macros"/>
      <sheetName val="Base de gastos"/>
    </sheetNames>
    <sheetDataSet>
      <sheetData sheetId="0"/>
      <sheetData sheetId="1">
        <row r="6">
          <cell r="B6">
            <v>44171</v>
          </cell>
          <cell r="C6">
            <v>57</v>
          </cell>
          <cell r="D6">
            <v>24</v>
          </cell>
        </row>
        <row r="7">
          <cell r="B7">
            <v>44531</v>
          </cell>
          <cell r="C7">
            <v>117</v>
          </cell>
          <cell r="D7">
            <v>48</v>
          </cell>
        </row>
        <row r="8">
          <cell r="B8">
            <v>12</v>
          </cell>
          <cell r="C8">
            <v>30</v>
          </cell>
          <cell r="D8">
            <v>28</v>
          </cell>
          <cell r="E8">
            <v>360</v>
          </cell>
        </row>
        <row r="9">
          <cell r="B9">
            <v>29</v>
          </cell>
        </row>
        <row r="10">
          <cell r="B10" t="str">
            <v>Real</v>
          </cell>
        </row>
        <row r="11">
          <cell r="B11" t="str">
            <v>Estimado</v>
          </cell>
        </row>
      </sheetData>
      <sheetData sheetId="2"/>
      <sheetData sheetId="3"/>
      <sheetData sheetId="4">
        <row r="3">
          <cell r="B3">
            <v>44531</v>
          </cell>
        </row>
        <row r="9">
          <cell r="D9">
            <v>5689.7716400000018</v>
          </cell>
          <cell r="F9">
            <v>6464.3623100000013</v>
          </cell>
        </row>
        <row r="14">
          <cell r="D14">
            <v>19780.780569999999</v>
          </cell>
          <cell r="F14">
            <v>12331.958140000002</v>
          </cell>
        </row>
        <row r="19">
          <cell r="D19">
            <v>27594.86407</v>
          </cell>
          <cell r="F19">
            <v>19058.316380000004</v>
          </cell>
        </row>
        <row r="23">
          <cell r="D23">
            <v>11703.995940000001</v>
          </cell>
          <cell r="F23">
            <v>7198.3957599999985</v>
          </cell>
        </row>
        <row r="30">
          <cell r="D30">
            <v>13251.281660000001</v>
          </cell>
          <cell r="F30">
            <v>8220.2632099999973</v>
          </cell>
        </row>
        <row r="38">
          <cell r="D38">
            <v>14058.86038</v>
          </cell>
          <cell r="F38">
            <v>8972.3136699999977</v>
          </cell>
        </row>
        <row r="40">
          <cell r="D40">
            <v>13536.003690000005</v>
          </cell>
          <cell r="F40">
            <v>10086.002709999992</v>
          </cell>
        </row>
      </sheetData>
      <sheetData sheetId="5"/>
      <sheetData sheetId="6">
        <row r="1">
          <cell r="H1">
            <v>4</v>
          </cell>
          <cell r="J1">
            <v>5</v>
          </cell>
          <cell r="L1">
            <v>6</v>
          </cell>
          <cell r="N1">
            <v>7</v>
          </cell>
          <cell r="P1">
            <v>8</v>
          </cell>
          <cell r="R1">
            <v>9</v>
          </cell>
          <cell r="T1">
            <v>10</v>
          </cell>
          <cell r="V1">
            <v>11</v>
          </cell>
          <cell r="X1">
            <v>12</v>
          </cell>
          <cell r="Z1">
            <v>13</v>
          </cell>
          <cell r="AB1">
            <v>14</v>
          </cell>
          <cell r="AD1">
            <v>15</v>
          </cell>
        </row>
        <row r="5">
          <cell r="E5" t="str">
            <v xml:space="preserve">Expresado en $ Miles 000´ USD </v>
          </cell>
          <cell r="H5" t="str">
            <v>Real</v>
          </cell>
          <cell r="J5" t="str">
            <v>Real</v>
          </cell>
          <cell r="L5" t="str">
            <v>Real</v>
          </cell>
          <cell r="N5" t="str">
            <v>Real</v>
          </cell>
          <cell r="P5" t="str">
            <v>Real</v>
          </cell>
          <cell r="R5" t="str">
            <v>Real</v>
          </cell>
          <cell r="T5" t="str">
            <v>Real</v>
          </cell>
          <cell r="V5" t="str">
            <v>Real</v>
          </cell>
          <cell r="X5" t="str">
            <v>Real</v>
          </cell>
          <cell r="Z5" t="str">
            <v>Real</v>
          </cell>
          <cell r="AB5" t="str">
            <v>Real</v>
          </cell>
          <cell r="AD5" t="str">
            <v>Real</v>
          </cell>
          <cell r="AG5" t="str">
            <v>YTD</v>
          </cell>
          <cell r="AI5" t="str">
            <v>TOTAL 2021</v>
          </cell>
        </row>
        <row r="6">
          <cell r="H6">
            <v>1</v>
          </cell>
          <cell r="J6">
            <v>2</v>
          </cell>
          <cell r="L6">
            <v>3</v>
          </cell>
          <cell r="N6">
            <v>4</v>
          </cell>
          <cell r="P6">
            <v>5</v>
          </cell>
          <cell r="R6">
            <v>6</v>
          </cell>
          <cell r="T6">
            <v>7</v>
          </cell>
          <cell r="V6">
            <v>8</v>
          </cell>
          <cell r="X6">
            <v>9</v>
          </cell>
          <cell r="Z6">
            <v>10</v>
          </cell>
          <cell r="AB6">
            <v>11</v>
          </cell>
          <cell r="AD6">
            <v>12</v>
          </cell>
          <cell r="AG6">
            <v>12</v>
          </cell>
          <cell r="AI6">
            <v>12</v>
          </cell>
        </row>
        <row r="7">
          <cell r="H7" t="str">
            <v>Enero</v>
          </cell>
          <cell r="I7" t="str">
            <v>%</v>
          </cell>
          <cell r="J7" t="str">
            <v>Febrero</v>
          </cell>
          <cell r="K7" t="str">
            <v>%</v>
          </cell>
          <cell r="L7" t="str">
            <v>Marzo</v>
          </cell>
          <cell r="M7" t="str">
            <v>%</v>
          </cell>
          <cell r="N7" t="str">
            <v>Abril</v>
          </cell>
          <cell r="O7" t="str">
            <v>%</v>
          </cell>
          <cell r="P7" t="str">
            <v>Mayo</v>
          </cell>
          <cell r="Q7" t="str">
            <v>%</v>
          </cell>
          <cell r="R7" t="str">
            <v>Junio</v>
          </cell>
          <cell r="S7" t="str">
            <v>%</v>
          </cell>
          <cell r="T7" t="str">
            <v>Julio</v>
          </cell>
          <cell r="U7" t="str">
            <v>%</v>
          </cell>
          <cell r="V7" t="str">
            <v>Agosto</v>
          </cell>
          <cell r="W7" t="str">
            <v>%</v>
          </cell>
          <cell r="X7" t="str">
            <v>Septiembre</v>
          </cell>
          <cell r="Y7" t="str">
            <v>%</v>
          </cell>
          <cell r="Z7" t="str">
            <v>Octubre</v>
          </cell>
          <cell r="AA7" t="str">
            <v>%</v>
          </cell>
          <cell r="AB7" t="str">
            <v>Noviembre</v>
          </cell>
          <cell r="AC7" t="str">
            <v>%</v>
          </cell>
          <cell r="AD7" t="str">
            <v>Diciembre</v>
          </cell>
          <cell r="AE7" t="str">
            <v>%</v>
          </cell>
          <cell r="AG7">
            <v>2021</v>
          </cell>
          <cell r="AH7" t="str">
            <v>%</v>
          </cell>
          <cell r="AI7">
            <v>2021</v>
          </cell>
          <cell r="AJ7" t="str">
            <v>%</v>
          </cell>
        </row>
        <row r="10">
          <cell r="E10" t="str">
            <v>Venta Bruta</v>
          </cell>
          <cell r="H10">
            <v>23295.174230000001</v>
          </cell>
          <cell r="J10">
            <v>25005.447170000003</v>
          </cell>
          <cell r="L10">
            <v>0</v>
          </cell>
          <cell r="N10">
            <v>0</v>
          </cell>
          <cell r="P10">
            <v>-6.8396015011156557E-5</v>
          </cell>
          <cell r="R10">
            <v>0</v>
          </cell>
          <cell r="T10">
            <v>0</v>
          </cell>
          <cell r="V10">
            <v>0</v>
          </cell>
          <cell r="X10">
            <v>0</v>
          </cell>
          <cell r="Z10">
            <v>0</v>
          </cell>
          <cell r="AB10">
            <v>0</v>
          </cell>
          <cell r="AD10">
            <v>0</v>
          </cell>
          <cell r="AG10">
            <v>0</v>
          </cell>
          <cell r="AI10">
            <v>0</v>
          </cell>
        </row>
        <row r="11">
          <cell r="E11" t="str">
            <v>Descuentos</v>
          </cell>
          <cell r="H11">
            <v>6191.4813600000007</v>
          </cell>
          <cell r="J11">
            <v>6560.7468399999998</v>
          </cell>
          <cell r="L11">
            <v>0</v>
          </cell>
          <cell r="N11">
            <v>0</v>
          </cell>
          <cell r="P11">
            <v>-5.6284061709047654E-5</v>
          </cell>
          <cell r="R11">
            <v>0</v>
          </cell>
          <cell r="T11">
            <v>0</v>
          </cell>
          <cell r="V11">
            <v>0</v>
          </cell>
          <cell r="X11">
            <v>0</v>
          </cell>
          <cell r="Z11">
            <v>0</v>
          </cell>
          <cell r="AB11">
            <v>0</v>
          </cell>
          <cell r="AD11">
            <v>0</v>
          </cell>
          <cell r="AG11">
            <v>0</v>
          </cell>
          <cell r="AI11">
            <v>0</v>
          </cell>
        </row>
        <row r="12">
          <cell r="A12">
            <v>41010101</v>
          </cell>
          <cell r="B12">
            <v>41010105</v>
          </cell>
          <cell r="C12">
            <v>410102</v>
          </cell>
          <cell r="E12" t="str">
            <v>Venta Local</v>
          </cell>
          <cell r="H12">
            <v>1584.0394499999998</v>
          </cell>
          <cell r="I12">
            <v>0.91467120147506464</v>
          </cell>
          <cell r="J12">
            <v>1572.3457700000001</v>
          </cell>
          <cell r="K12">
            <v>0.90960633767802002</v>
          </cell>
          <cell r="L12">
            <v>1656.5038300000001</v>
          </cell>
          <cell r="M12">
            <v>0.93813724375292096</v>
          </cell>
          <cell r="N12">
            <v>1657.1496100000002</v>
          </cell>
          <cell r="O12">
            <v>0.90084900152648861</v>
          </cell>
          <cell r="P12">
            <v>1535.7092500000001</v>
          </cell>
          <cell r="Q12">
            <v>0.88844488895926055</v>
          </cell>
          <cell r="R12">
            <v>1901.90346</v>
          </cell>
          <cell r="S12">
            <v>0.95037292437786614</v>
          </cell>
          <cell r="T12">
            <v>2367.8686699999998</v>
          </cell>
          <cell r="U12">
            <v>0.94382729499352691</v>
          </cell>
          <cell r="V12">
            <v>2947.0764300000001</v>
          </cell>
          <cell r="W12">
            <v>0.95580371227582839</v>
          </cell>
          <cell r="X12">
            <v>2975.65283</v>
          </cell>
          <cell r="Y12">
            <v>0.94864455506518153</v>
          </cell>
          <cell r="Z12">
            <v>3876.8332799999998</v>
          </cell>
          <cell r="AA12">
            <v>0.94389322867284708</v>
          </cell>
          <cell r="AB12">
            <v>4054.95964</v>
          </cell>
          <cell r="AC12">
            <v>0.90900543951579005</v>
          </cell>
          <cell r="AD12">
            <v>1956.12213</v>
          </cell>
          <cell r="AE12">
            <v>0.90629699761161175</v>
          </cell>
          <cell r="AG12">
            <v>28086.164349999999</v>
          </cell>
          <cell r="AH12">
            <v>0.92844203083148458</v>
          </cell>
          <cell r="AI12">
            <v>28086.164349999999</v>
          </cell>
          <cell r="AJ12">
            <v>0.92844203083148458</v>
          </cell>
          <cell r="AL12">
            <v>24782.639499999997</v>
          </cell>
        </row>
        <row r="13">
          <cell r="A13">
            <v>41010103</v>
          </cell>
          <cell r="B13">
            <v>410101030031</v>
          </cell>
          <cell r="E13" t="str">
            <v>Exportaciones</v>
          </cell>
          <cell r="H13">
            <v>147.77351999999999</v>
          </cell>
          <cell r="I13">
            <v>8.5328798524935412E-2</v>
          </cell>
          <cell r="J13">
            <v>156.25451000000001</v>
          </cell>
          <cell r="K13">
            <v>9.0393662321979956E-2</v>
          </cell>
          <cell r="L13">
            <v>109.23336999999998</v>
          </cell>
          <cell r="M13">
            <v>6.1862756247079112E-2</v>
          </cell>
          <cell r="N13">
            <v>182.39243000000005</v>
          </cell>
          <cell r="O13">
            <v>9.9150998473511387E-2</v>
          </cell>
          <cell r="P13">
            <v>192.82705999999999</v>
          </cell>
          <cell r="Q13">
            <v>0.11155511104073941</v>
          </cell>
          <cell r="R13">
            <v>99.314599999999999</v>
          </cell>
          <cell r="S13">
            <v>4.9627075622133851E-2</v>
          </cell>
          <cell r="T13">
            <v>140.92577000000003</v>
          </cell>
          <cell r="U13">
            <v>5.6172705006473166E-2</v>
          </cell>
          <cell r="V13">
            <v>136.27257999999998</v>
          </cell>
          <cell r="W13">
            <v>4.4196287724171703E-2</v>
          </cell>
          <cell r="X13">
            <v>161.08876000000001</v>
          </cell>
          <cell r="Y13">
            <v>5.1355444934818494E-2</v>
          </cell>
          <cell r="Z13">
            <v>230.44619</v>
          </cell>
          <cell r="AA13">
            <v>5.6106771327152964E-2</v>
          </cell>
          <cell r="AB13">
            <v>405.91535999999996</v>
          </cell>
          <cell r="AC13">
            <v>9.0994560484209924E-2</v>
          </cell>
          <cell r="AD13">
            <v>202.24553</v>
          </cell>
          <cell r="AE13">
            <v>9.3703002388388273E-2</v>
          </cell>
          <cell r="AG13">
            <v>2164.6896800000004</v>
          </cell>
          <cell r="AH13">
            <v>7.1557969168515423E-2</v>
          </cell>
          <cell r="AI13">
            <v>2164.6896800000004</v>
          </cell>
          <cell r="AJ13">
            <v>7.1557969168515423E-2</v>
          </cell>
        </row>
        <row r="14">
          <cell r="E14" t="str">
            <v>Venta Neta</v>
          </cell>
          <cell r="H14">
            <v>1731.8129699999997</v>
          </cell>
          <cell r="I14">
            <v>1</v>
          </cell>
          <cell r="J14">
            <v>1728.6002800000001</v>
          </cell>
          <cell r="K14">
            <v>1</v>
          </cell>
          <cell r="L14">
            <v>1765.7372</v>
          </cell>
          <cell r="M14">
            <v>1</v>
          </cell>
          <cell r="N14">
            <v>1839.5420400000003</v>
          </cell>
          <cell r="O14">
            <v>1</v>
          </cell>
          <cell r="P14">
            <v>1728.5363100000002</v>
          </cell>
          <cell r="Q14">
            <v>1</v>
          </cell>
          <cell r="R14">
            <v>2001.2180599999999</v>
          </cell>
          <cell r="S14">
            <v>1</v>
          </cell>
          <cell r="T14">
            <v>2508.7944399999997</v>
          </cell>
          <cell r="U14">
            <v>1</v>
          </cell>
          <cell r="V14">
            <v>3083.3490099999999</v>
          </cell>
          <cell r="W14">
            <v>1</v>
          </cell>
          <cell r="X14">
            <v>3136.7415900000001</v>
          </cell>
          <cell r="Y14">
            <v>1</v>
          </cell>
          <cell r="Z14">
            <v>4107.2794699999995</v>
          </cell>
          <cell r="AA14">
            <v>1</v>
          </cell>
          <cell r="AB14">
            <v>4460.875</v>
          </cell>
          <cell r="AC14">
            <v>1</v>
          </cell>
          <cell r="AD14">
            <v>2158.3676599999999</v>
          </cell>
          <cell r="AE14">
            <v>1</v>
          </cell>
          <cell r="AG14">
            <v>30250.854029999999</v>
          </cell>
          <cell r="AH14">
            <v>1</v>
          </cell>
          <cell r="AI14">
            <v>30250.854029999999</v>
          </cell>
          <cell r="AJ14">
            <v>1</v>
          </cell>
        </row>
        <row r="16">
          <cell r="A16">
            <v>5101</v>
          </cell>
          <cell r="B16">
            <v>5102</v>
          </cell>
          <cell r="C16">
            <v>5103</v>
          </cell>
          <cell r="D16">
            <v>510101010031</v>
          </cell>
          <cell r="E16" t="str">
            <v>Costo de Venta Local</v>
          </cell>
          <cell r="H16">
            <v>1167.0046100000002</v>
          </cell>
          <cell r="I16">
            <v>0.73672698618711818</v>
          </cell>
          <cell r="J16">
            <v>1176.37652</v>
          </cell>
          <cell r="K16">
            <v>0.74816655626580142</v>
          </cell>
          <cell r="L16">
            <v>1239.4319100000002</v>
          </cell>
          <cell r="M16">
            <v>0.74822157821391821</v>
          </cell>
          <cell r="N16">
            <v>1242.33061</v>
          </cell>
          <cell r="O16">
            <v>0.74967920971239277</v>
          </cell>
          <cell r="P16">
            <v>1239.7678699999999</v>
          </cell>
          <cell r="Q16">
            <v>0.80729335321773954</v>
          </cell>
          <cell r="R16">
            <v>1588.1342399999999</v>
          </cell>
          <cell r="S16">
            <v>0.83502358211178596</v>
          </cell>
          <cell r="T16">
            <v>1832.6583200000005</v>
          </cell>
          <cell r="U16">
            <v>0.77396957999364069</v>
          </cell>
          <cell r="V16">
            <v>2165.6389800000006</v>
          </cell>
          <cell r="W16">
            <v>0.7348431679459364</v>
          </cell>
          <cell r="X16">
            <v>2251.83313</v>
          </cell>
          <cell r="Y16">
            <v>0.75675263837818074</v>
          </cell>
          <cell r="Z16">
            <v>2280.2648400000003</v>
          </cell>
          <cell r="AA16">
            <v>0.58817717330367125</v>
          </cell>
          <cell r="AB16">
            <v>2548.9243799999995</v>
          </cell>
          <cell r="AC16">
            <v>0.6285942663537829</v>
          </cell>
          <cell r="AD16">
            <v>4299.0358799999995</v>
          </cell>
          <cell r="AE16">
            <v>2.1977338807572302</v>
          </cell>
          <cell r="AG16">
            <v>23031.401289999998</v>
          </cell>
          <cell r="AH16">
            <v>0.82002657974192183</v>
          </cell>
          <cell r="AI16">
            <v>23031.401289999998</v>
          </cell>
          <cell r="AJ16">
            <v>0.82002657974192183</v>
          </cell>
        </row>
        <row r="17">
          <cell r="A17">
            <v>510101010010</v>
          </cell>
          <cell r="E17" t="str">
            <v>Costo de Venta Exportacion</v>
          </cell>
          <cell r="H17">
            <v>100.1648</v>
          </cell>
          <cell r="I17">
            <v>0.67782644684920546</v>
          </cell>
          <cell r="J17">
            <v>92.151949999999999</v>
          </cell>
          <cell r="K17">
            <v>0.58975545729848045</v>
          </cell>
          <cell r="L17">
            <v>41.688420000000001</v>
          </cell>
          <cell r="M17">
            <v>0.38164546237106856</v>
          </cell>
          <cell r="N17">
            <v>151.19839999999999</v>
          </cell>
          <cell r="O17">
            <v>0.82897300068867963</v>
          </cell>
          <cell r="P17">
            <v>57.663059999999994</v>
          </cell>
          <cell r="Q17">
            <v>0.29904029029950463</v>
          </cell>
          <cell r="R17">
            <v>69.83005</v>
          </cell>
          <cell r="S17">
            <v>0.70311968230250133</v>
          </cell>
          <cell r="T17">
            <v>266.91773999999998</v>
          </cell>
          <cell r="U17">
            <v>1.8940307368907754</v>
          </cell>
          <cell r="V17">
            <v>85.552480000000003</v>
          </cell>
          <cell r="W17">
            <v>0.62780406740666406</v>
          </cell>
          <cell r="X17">
            <v>95.316670000000002</v>
          </cell>
          <cell r="Y17">
            <v>0.5917027978860846</v>
          </cell>
          <cell r="Z17">
            <v>119.39964999999999</v>
          </cell>
          <cell r="AA17">
            <v>0.51812377544623323</v>
          </cell>
          <cell r="AB17">
            <v>311.25749999999999</v>
          </cell>
          <cell r="AC17">
            <v>0.76680394651732331</v>
          </cell>
          <cell r="AD17">
            <v>270.50939</v>
          </cell>
          <cell r="AE17">
            <v>1.3375296353892221</v>
          </cell>
          <cell r="AG17">
            <v>1661.6501099999998</v>
          </cell>
          <cell r="AH17">
            <v>0.76761585060081194</v>
          </cell>
          <cell r="AI17">
            <v>1661.6501099999998</v>
          </cell>
          <cell r="AJ17">
            <v>0.76761585060081194</v>
          </cell>
          <cell r="AO17">
            <v>2.4408750000000001</v>
          </cell>
        </row>
        <row r="19">
          <cell r="E19" t="str">
            <v>Utilidad Bruta</v>
          </cell>
          <cell r="H19">
            <v>464.64355999999952</v>
          </cell>
          <cell r="I19">
            <v>0.26829892606705652</v>
          </cell>
          <cell r="J19">
            <v>460.07181000000008</v>
          </cell>
          <cell r="K19">
            <v>0.26615280312230427</v>
          </cell>
          <cell r="L19">
            <v>484.61686999999978</v>
          </cell>
          <cell r="M19">
            <v>0.27445583068646895</v>
          </cell>
          <cell r="N19">
            <v>446.0130300000003</v>
          </cell>
          <cell r="O19">
            <v>0.24245873173955854</v>
          </cell>
          <cell r="P19">
            <v>431.10538000000031</v>
          </cell>
          <cell r="Q19">
            <v>0.24940487365290015</v>
          </cell>
          <cell r="R19">
            <v>343.25377000000003</v>
          </cell>
          <cell r="S19">
            <v>0.17152242269890372</v>
          </cell>
          <cell r="T19">
            <v>409.21837999999923</v>
          </cell>
          <cell r="U19">
            <v>0.16311355505076744</v>
          </cell>
          <cell r="V19">
            <v>832.15754999999922</v>
          </cell>
          <cell r="W19">
            <v>0.26988756293923383</v>
          </cell>
          <cell r="X19">
            <v>789.59179000000006</v>
          </cell>
          <cell r="Y19">
            <v>0.25172356961671172</v>
          </cell>
          <cell r="Z19">
            <v>1707.6149799999992</v>
          </cell>
          <cell r="AA19">
            <v>0.41575329667060601</v>
          </cell>
          <cell r="AB19">
            <v>1600.6931200000006</v>
          </cell>
          <cell r="AC19">
            <v>0.35882940454507256</v>
          </cell>
          <cell r="AD19">
            <v>-2411.1776099999997</v>
          </cell>
          <cell r="AE19">
            <v>-1.1171301602990102</v>
          </cell>
          <cell r="AG19">
            <v>5557.802630000001</v>
          </cell>
          <cell r="AH19">
            <v>0.18372382559805706</v>
          </cell>
          <cell r="AI19">
            <v>5557.802630000001</v>
          </cell>
          <cell r="AJ19">
            <v>0.18372382559805706</v>
          </cell>
          <cell r="AO19">
            <v>166.66666666666666</v>
          </cell>
        </row>
        <row r="21">
          <cell r="A21">
            <v>5201</v>
          </cell>
          <cell r="E21" t="str">
            <v>Gastos de ventas</v>
          </cell>
          <cell r="H21">
            <v>31.08324</v>
          </cell>
          <cell r="I21">
            <v>1.7948381573790851E-2</v>
          </cell>
          <cell r="J21">
            <v>31.330369999999998</v>
          </cell>
          <cell r="K21">
            <v>1.8124704920214403E-2</v>
          </cell>
          <cell r="L21">
            <v>33.318629999999999</v>
          </cell>
          <cell r="M21">
            <v>1.8869529395427586E-2</v>
          </cell>
          <cell r="N21">
            <v>36.582889999999999</v>
          </cell>
          <cell r="O21">
            <v>1.9886955124983167E-2</v>
          </cell>
          <cell r="P21">
            <v>35.036910000000006</v>
          </cell>
          <cell r="Q21">
            <v>2.0269698586777157E-2</v>
          </cell>
          <cell r="R21">
            <v>40.170679999999997</v>
          </cell>
          <cell r="S21">
            <v>2.0073114870850204E-2</v>
          </cell>
          <cell r="T21">
            <v>36.01182</v>
          </cell>
          <cell r="U21">
            <v>1.4354233023571276E-2</v>
          </cell>
          <cell r="V21">
            <v>35.436589999999995</v>
          </cell>
          <cell r="W21">
            <v>1.1492889674529577E-2</v>
          </cell>
          <cell r="X21">
            <v>38.596530000000001</v>
          </cell>
          <cell r="Y21">
            <v>1.2304657203209397E-2</v>
          </cell>
          <cell r="Z21">
            <v>49.697470000000003</v>
          </cell>
          <cell r="AA21">
            <v>1.2099851096813729E-2</v>
          </cell>
          <cell r="AB21">
            <v>47.040860000000002</v>
          </cell>
          <cell r="AC21">
            <v>1.0545209179813378E-2</v>
          </cell>
          <cell r="AD21">
            <v>39.758470000000003</v>
          </cell>
          <cell r="AE21">
            <v>1.8420619775224027E-2</v>
          </cell>
          <cell r="AG21">
            <v>454.06446000000005</v>
          </cell>
          <cell r="AH21">
            <v>1.5009971604428124E-2</v>
          </cell>
          <cell r="AI21">
            <v>454.06446000000005</v>
          </cell>
          <cell r="AJ21">
            <v>1.5009971604428124E-2</v>
          </cell>
          <cell r="AM21">
            <v>90</v>
          </cell>
        </row>
        <row r="22">
          <cell r="A22">
            <v>5202</v>
          </cell>
          <cell r="E22" t="str">
            <v>Gastos Administrativos</v>
          </cell>
          <cell r="H22">
            <v>106.61497</v>
          </cell>
          <cell r="I22">
            <v>6.1562635138366018E-2</v>
          </cell>
          <cell r="J22">
            <v>89.193029999999993</v>
          </cell>
          <cell r="K22">
            <v>5.1598412329309576E-2</v>
          </cell>
          <cell r="L22">
            <v>127.37639999999999</v>
          </cell>
          <cell r="M22">
            <v>7.2137801706845153E-2</v>
          </cell>
          <cell r="N22">
            <v>89.190359999999998</v>
          </cell>
          <cell r="O22">
            <v>4.8485089256236832E-2</v>
          </cell>
          <cell r="P22">
            <v>87.014350000000007</v>
          </cell>
          <cell r="Q22">
            <v>5.0339902897382584E-2</v>
          </cell>
          <cell r="R22">
            <v>124.98963999999999</v>
          </cell>
          <cell r="S22">
            <v>6.2456781946091375E-2</v>
          </cell>
          <cell r="T22">
            <v>122.64789</v>
          </cell>
          <cell r="U22">
            <v>4.8887181844998039E-2</v>
          </cell>
          <cell r="V22">
            <v>162.34774999999999</v>
          </cell>
          <cell r="W22">
            <v>5.2653056619107803E-2</v>
          </cell>
          <cell r="X22">
            <v>129.85905</v>
          </cell>
          <cell r="Y22">
            <v>4.1399345873435495E-2</v>
          </cell>
          <cell r="Z22">
            <v>116.83918</v>
          </cell>
          <cell r="AA22">
            <v>2.844685414114273E-2</v>
          </cell>
          <cell r="AB22">
            <v>568.69432999999992</v>
          </cell>
          <cell r="AC22">
            <v>0.12748492840530162</v>
          </cell>
          <cell r="AD22">
            <v>989.53747999999996</v>
          </cell>
          <cell r="AE22">
            <v>0.45846567215522493</v>
          </cell>
          <cell r="AG22">
            <v>2714.3044299999997</v>
          </cell>
          <cell r="AH22">
            <v>8.9726538870876296E-2</v>
          </cell>
          <cell r="AI22">
            <v>2714.3044299999997</v>
          </cell>
          <cell r="AJ22">
            <v>8.9726538870876296E-2</v>
          </cell>
          <cell r="AM22">
            <v>720</v>
          </cell>
        </row>
        <row r="23">
          <cell r="A23">
            <v>520101030002</v>
          </cell>
          <cell r="E23" t="str">
            <v>Marketing y Publicidad</v>
          </cell>
          <cell r="H23">
            <v>0</v>
          </cell>
          <cell r="I23">
            <v>0</v>
          </cell>
          <cell r="J23">
            <v>0.39750000000000002</v>
          </cell>
          <cell r="K23">
            <v>2.2995483953062879E-4</v>
          </cell>
          <cell r="L23">
            <v>0.39750000000000002</v>
          </cell>
          <cell r="M23">
            <v>2.2511843778338022E-4</v>
          </cell>
          <cell r="N23">
            <v>0.39750000000000002</v>
          </cell>
          <cell r="O23">
            <v>2.1608639071929008E-4</v>
          </cell>
          <cell r="P23">
            <v>0.39750000000000002</v>
          </cell>
          <cell r="Q23">
            <v>2.2996334974299728E-4</v>
          </cell>
          <cell r="R23">
            <v>0.39750000000000002</v>
          </cell>
          <cell r="S23">
            <v>1.9862902896249099E-4</v>
          </cell>
          <cell r="T23">
            <v>0.39750000000000002</v>
          </cell>
          <cell r="U23">
            <v>1.5844263430366979E-4</v>
          </cell>
          <cell r="V23">
            <v>0.39750000000000002</v>
          </cell>
          <cell r="W23">
            <v>1.2891826345665618E-4</v>
          </cell>
          <cell r="X23">
            <v>2.9375</v>
          </cell>
          <cell r="Y23">
            <v>9.3648135038117695E-4</v>
          </cell>
          <cell r="Z23">
            <v>0</v>
          </cell>
          <cell r="AA23">
            <v>0</v>
          </cell>
          <cell r="AB23">
            <v>1.5</v>
          </cell>
          <cell r="AC23">
            <v>3.3625690027180768E-4</v>
          </cell>
          <cell r="AD23">
            <v>0</v>
          </cell>
          <cell r="AE23">
            <v>0</v>
          </cell>
          <cell r="AG23">
            <v>7.2200000000000006</v>
          </cell>
          <cell r="AH23">
            <v>2.3867094769753846E-4</v>
          </cell>
          <cell r="AI23">
            <v>7.2200000000000006</v>
          </cell>
          <cell r="AJ23">
            <v>2.3867094769753846E-4</v>
          </cell>
          <cell r="AM23">
            <v>1300</v>
          </cell>
        </row>
        <row r="24">
          <cell r="A24">
            <v>510202050010</v>
          </cell>
          <cell r="E24" t="str">
            <v>Distribucion</v>
          </cell>
          <cell r="H24">
            <v>10.685</v>
          </cell>
          <cell r="I24">
            <v>6.1698348407680549E-3</v>
          </cell>
          <cell r="J24">
            <v>0.7</v>
          </cell>
          <cell r="K24">
            <v>4.0495191867028965E-4</v>
          </cell>
          <cell r="L24">
            <v>9.4749999999999996</v>
          </cell>
          <cell r="M24">
            <v>5.3660306867862329E-3</v>
          </cell>
          <cell r="N24">
            <v>0</v>
          </cell>
          <cell r="O24">
            <v>0</v>
          </cell>
          <cell r="P24">
            <v>9.1829999999999998</v>
          </cell>
          <cell r="Q24">
            <v>5.3125872721759594E-3</v>
          </cell>
          <cell r="R24">
            <v>8.51</v>
          </cell>
          <cell r="S24">
            <v>4.2524101546435175E-3</v>
          </cell>
          <cell r="T24">
            <v>9.9700000000000006</v>
          </cell>
          <cell r="U24">
            <v>3.9740202868115424E-3</v>
          </cell>
          <cell r="V24">
            <v>12.595000000000001</v>
          </cell>
          <cell r="W24">
            <v>4.0848440961926656E-3</v>
          </cell>
          <cell r="X24">
            <v>7.6</v>
          </cell>
          <cell r="Y24">
            <v>2.4228964299223641E-3</v>
          </cell>
          <cell r="Z24">
            <v>8.940100000000001</v>
          </cell>
          <cell r="AA24">
            <v>2.1766475997797153E-3</v>
          </cell>
          <cell r="AB24">
            <v>11.8</v>
          </cell>
          <cell r="AC24">
            <v>2.6452209488048873E-3</v>
          </cell>
          <cell r="AD24">
            <v>0.13</v>
          </cell>
          <cell r="AE24">
            <v>6.0230702307687474E-5</v>
          </cell>
          <cell r="AG24">
            <v>89.588099999999983</v>
          </cell>
          <cell r="AH24">
            <v>2.9615064722190916E-3</v>
          </cell>
          <cell r="AI24">
            <v>89.588099999999983</v>
          </cell>
          <cell r="AJ24">
            <v>2.9615064722190916E-3</v>
          </cell>
          <cell r="AL24">
            <v>600000</v>
          </cell>
          <cell r="AM24">
            <v>200</v>
          </cell>
        </row>
        <row r="25">
          <cell r="E25" t="str">
            <v>Gastos Generales de Fábrica</v>
          </cell>
          <cell r="H25">
            <v>148.38320999999999</v>
          </cell>
          <cell r="I25">
            <v>8.5680851552924917E-2</v>
          </cell>
          <cell r="J25">
            <v>121.62089999999999</v>
          </cell>
          <cell r="K25">
            <v>7.0358024007724895E-2</v>
          </cell>
          <cell r="L25">
            <v>170.56752999999998</v>
          </cell>
          <cell r="M25">
            <v>9.6598480226842351E-2</v>
          </cell>
          <cell r="N25">
            <v>126.17074999999998</v>
          </cell>
          <cell r="O25">
            <v>6.8588130771939287E-2</v>
          </cell>
          <cell r="P25">
            <v>131.63176000000001</v>
          </cell>
          <cell r="Q25">
            <v>7.6152152106078702E-2</v>
          </cell>
          <cell r="R25">
            <v>174.06781999999998</v>
          </cell>
          <cell r="S25">
            <v>8.6980936000547585E-2</v>
          </cell>
          <cell r="T25">
            <v>169.02721000000003</v>
          </cell>
          <cell r="U25">
            <v>6.7373877789684539E-2</v>
          </cell>
          <cell r="V25">
            <v>210.77683999999999</v>
          </cell>
          <cell r="W25">
            <v>6.8359708653286708E-2</v>
          </cell>
          <cell r="X25">
            <v>178.99307999999999</v>
          </cell>
          <cell r="Y25">
            <v>5.7063380856948433E-2</v>
          </cell>
          <cell r="Z25">
            <v>175.47675000000001</v>
          </cell>
          <cell r="AA25">
            <v>4.2723352837736171E-2</v>
          </cell>
          <cell r="AB25">
            <v>629.03518999999983</v>
          </cell>
          <cell r="AC25">
            <v>0.14101161543419169</v>
          </cell>
          <cell r="AD25">
            <v>1029.4259500000001</v>
          </cell>
          <cell r="AE25">
            <v>0.47694652263275672</v>
          </cell>
          <cell r="AG25">
            <v>3265.1769899999995</v>
          </cell>
          <cell r="AH25">
            <v>0.10793668789522104</v>
          </cell>
          <cell r="AI25">
            <v>3265.1769899999995</v>
          </cell>
          <cell r="AJ25">
            <v>0.10793668789522104</v>
          </cell>
        </row>
        <row r="27">
          <cell r="E27" t="str">
            <v>Utilidad Operacional</v>
          </cell>
          <cell r="H27">
            <v>316.26034999999956</v>
          </cell>
          <cell r="I27">
            <v>0.18261807451413165</v>
          </cell>
          <cell r="J27">
            <v>338.45091000000008</v>
          </cell>
          <cell r="K27">
            <v>0.19579477911457938</v>
          </cell>
          <cell r="L27">
            <v>314.0493399999998</v>
          </cell>
          <cell r="M27">
            <v>0.17785735045962661</v>
          </cell>
          <cell r="N27">
            <v>319.8422800000003</v>
          </cell>
          <cell r="O27">
            <v>0.17387060096761922</v>
          </cell>
          <cell r="P27">
            <v>299.47362000000032</v>
          </cell>
          <cell r="Q27">
            <v>0.17325272154682148</v>
          </cell>
          <cell r="R27">
            <v>169.18595000000005</v>
          </cell>
          <cell r="S27">
            <v>8.4541486698356122E-2</v>
          </cell>
          <cell r="T27">
            <v>240.1911699999992</v>
          </cell>
          <cell r="U27">
            <v>9.5739677261082914E-2</v>
          </cell>
          <cell r="V27">
            <v>621.38070999999923</v>
          </cell>
          <cell r="W27">
            <v>0.20152785428594711</v>
          </cell>
          <cell r="X27">
            <v>610.5987100000001</v>
          </cell>
          <cell r="Y27">
            <v>0.19466018875976329</v>
          </cell>
          <cell r="Z27">
            <v>1532.1382299999991</v>
          </cell>
          <cell r="AA27">
            <v>0.3730299438328698</v>
          </cell>
          <cell r="AB27">
            <v>971.65793000000076</v>
          </cell>
          <cell r="AC27">
            <v>0.21781778911088087</v>
          </cell>
          <cell r="AD27">
            <v>-3440.6035599999996</v>
          </cell>
          <cell r="AE27">
            <v>-1.594076682931767</v>
          </cell>
          <cell r="AG27">
            <v>2292.6256400000016</v>
          </cell>
          <cell r="AH27">
            <v>7.5787137702836016E-2</v>
          </cell>
          <cell r="AI27">
            <v>2292.6256400000016</v>
          </cell>
          <cell r="AJ27">
            <v>7.5787137702836016E-2</v>
          </cell>
        </row>
        <row r="29">
          <cell r="A29">
            <v>5203</v>
          </cell>
          <cell r="E29" t="str">
            <v>Gastos Financieros</v>
          </cell>
          <cell r="H29">
            <v>1.3818599999999999</v>
          </cell>
          <cell r="I29">
            <v>7.9792681076871715E-4</v>
          </cell>
          <cell r="J29">
            <v>0.66063000000000005</v>
          </cell>
          <cell r="K29">
            <v>3.821762657587907E-4</v>
          </cell>
          <cell r="L29">
            <v>1.16625</v>
          </cell>
          <cell r="M29">
            <v>6.6048900142104947E-4</v>
          </cell>
          <cell r="N29">
            <v>0.85047000000000006</v>
          </cell>
          <cell r="O29">
            <v>4.6232702569820036E-4</v>
          </cell>
          <cell r="P29">
            <v>0.50348999999999999</v>
          </cell>
          <cell r="Q29">
            <v>2.9128112443296025E-4</v>
          </cell>
          <cell r="R29">
            <v>1.01373</v>
          </cell>
          <cell r="S29">
            <v>5.065564918997383E-4</v>
          </cell>
          <cell r="T29">
            <v>13.185709999999998</v>
          </cell>
          <cell r="U29">
            <v>5.2557952894697899E-3</v>
          </cell>
          <cell r="V29">
            <v>22.570900000000002</v>
          </cell>
          <cell r="W29">
            <v>7.3202546733429968E-3</v>
          </cell>
          <cell r="X29">
            <v>1.3366600000000002</v>
          </cell>
          <cell r="Y29">
            <v>4.2613009763421418E-4</v>
          </cell>
          <cell r="Z29">
            <v>0.88200000000000001</v>
          </cell>
          <cell r="AA29">
            <v>2.1474068332632843E-4</v>
          </cell>
          <cell r="AB29">
            <v>1.0890199999999999</v>
          </cell>
          <cell r="AC29">
            <v>2.441269930226693E-4</v>
          </cell>
          <cell r="AD29">
            <v>1.42808</v>
          </cell>
          <cell r="AE29">
            <v>6.6164816424278715E-4</v>
          </cell>
          <cell r="AG29">
            <v>46.068799999999996</v>
          </cell>
          <cell r="AH29">
            <v>1.5228925422837061E-3</v>
          </cell>
          <cell r="AI29">
            <v>46.068799999999996</v>
          </cell>
          <cell r="AJ29">
            <v>1.5228925422837061E-3</v>
          </cell>
        </row>
        <row r="30">
          <cell r="A30">
            <v>54</v>
          </cell>
          <cell r="B30">
            <v>42</v>
          </cell>
          <cell r="E30" t="str">
            <v>Otros Ingresos</v>
          </cell>
          <cell r="H30">
            <v>-8.6999999999999994E-2</v>
          </cell>
          <cell r="I30">
            <v>-5.0236371656230298E-5</v>
          </cell>
          <cell r="J30">
            <v>-9.1000000000000011E-4</v>
          </cell>
          <cell r="K30">
            <v>-5.2643749427137666E-7</v>
          </cell>
          <cell r="L30">
            <v>-1.4386300000000001</v>
          </cell>
          <cell r="M30">
            <v>-8.1474751735422467E-4</v>
          </cell>
          <cell r="N30">
            <v>-2.3962899999999934</v>
          </cell>
          <cell r="O30">
            <v>-1.3026557414257264E-3</v>
          </cell>
          <cell r="P30">
            <v>-0.69176000000000004</v>
          </cell>
          <cell r="Q30">
            <v>-4.0019986620934791E-4</v>
          </cell>
          <cell r="R30">
            <v>-3.3364099999999866</v>
          </cell>
          <cell r="S30">
            <v>-1.6671896314987217E-3</v>
          </cell>
          <cell r="T30">
            <v>-0.72789999999999999</v>
          </cell>
          <cell r="U30">
            <v>-2.9013935474123581E-4</v>
          </cell>
          <cell r="V30">
            <v>-11.060979999999999</v>
          </cell>
          <cell r="W30">
            <v>-3.5873266257328419E-3</v>
          </cell>
          <cell r="X30">
            <v>-1.29626</v>
          </cell>
          <cell r="Y30">
            <v>-4.1325049029620575E-4</v>
          </cell>
          <cell r="Z30">
            <v>-2.8749999999999996</v>
          </cell>
          <cell r="AA30">
            <v>-6.9997671719183017E-4</v>
          </cell>
          <cell r="AB30">
            <v>-6.9568000000000003</v>
          </cell>
          <cell r="AC30">
            <v>-1.5595146692072744E-3</v>
          </cell>
          <cell r="AD30">
            <v>-12.029570000000001</v>
          </cell>
          <cell r="AE30">
            <v>-5.5734573043037545E-3</v>
          </cell>
          <cell r="AG30">
            <v>-42.897509999999983</v>
          </cell>
          <cell r="AH30">
            <v>-1.4180594689147685E-3</v>
          </cell>
          <cell r="AI30">
            <v>-42.897509999999983</v>
          </cell>
          <cell r="AJ30">
            <v>-1.4180594689147685E-3</v>
          </cell>
          <cell r="AL30">
            <v>-177</v>
          </cell>
        </row>
        <row r="31">
          <cell r="A31">
            <v>54010104</v>
          </cell>
          <cell r="E31" t="str">
            <v>Otros Egresos</v>
          </cell>
          <cell r="H31">
            <v>2.9999999999999997E-5</v>
          </cell>
          <cell r="I31">
            <v>1.7322886778010445E-8</v>
          </cell>
          <cell r="J31">
            <v>1.5200000000000001E-3</v>
          </cell>
          <cell r="K31">
            <v>8.7932416625548619E-7</v>
          </cell>
          <cell r="L31">
            <v>1.1E-4</v>
          </cell>
          <cell r="M31">
            <v>6.2296926179048618E-8</v>
          </cell>
          <cell r="N31">
            <v>102.12742999999999</v>
          </cell>
          <cell r="O31">
            <v>5.55178559550615E-2</v>
          </cell>
          <cell r="P31">
            <v>5.0000000000000002E-5</v>
          </cell>
          <cell r="Q31">
            <v>2.8926207514842425E-8</v>
          </cell>
          <cell r="R31">
            <v>77.913210000000007</v>
          </cell>
          <cell r="S31">
            <v>3.8932893699750046E-2</v>
          </cell>
          <cell r="T31">
            <v>8.3000000000000001E-4</v>
          </cell>
          <cell r="U31">
            <v>3.3083619238250549E-7</v>
          </cell>
          <cell r="V31">
            <v>5.9999999999999995E-5</v>
          </cell>
          <cell r="W31">
            <v>1.9459360521759423E-8</v>
          </cell>
          <cell r="X31">
            <v>4.0000000000000003E-5</v>
          </cell>
          <cell r="Y31">
            <v>1.2752086473275601E-8</v>
          </cell>
          <cell r="Z31">
            <v>1.1E-4</v>
          </cell>
          <cell r="AA31">
            <v>2.6781717875165678E-8</v>
          </cell>
          <cell r="AB31">
            <v>5.4000000000000001E-4</v>
          </cell>
          <cell r="AC31">
            <v>1.2105248409785075E-7</v>
          </cell>
          <cell r="AD31">
            <v>6.0999999999999997E-4</v>
          </cell>
          <cell r="AE31">
            <v>2.8262098775145656E-7</v>
          </cell>
          <cell r="AG31">
            <v>180.04454000000001</v>
          </cell>
          <cell r="AH31">
            <v>5.9517175885827386E-3</v>
          </cell>
          <cell r="AI31">
            <v>180.04454000000001</v>
          </cell>
          <cell r="AJ31">
            <v>5.9517175885827386E-3</v>
          </cell>
        </row>
        <row r="33">
          <cell r="E33" t="str">
            <v>Resultado antes del 15% e Imp. Rta</v>
          </cell>
          <cell r="H33">
            <v>314.96545999999955</v>
          </cell>
          <cell r="I33">
            <v>0.18187036675213236</v>
          </cell>
          <cell r="J33">
            <v>337.78967</v>
          </cell>
          <cell r="K33">
            <v>0.19541224996214857</v>
          </cell>
          <cell r="L33">
            <v>314.32160999999979</v>
          </cell>
          <cell r="M33">
            <v>0.17801154667863359</v>
          </cell>
          <cell r="N33">
            <v>219.26067000000035</v>
          </cell>
          <cell r="O33">
            <v>0.11919307372828528</v>
          </cell>
          <cell r="P33">
            <v>299.66184000000032</v>
          </cell>
          <cell r="Q33">
            <v>0.17336161136239034</v>
          </cell>
          <cell r="R33">
            <v>93.595420000000033</v>
          </cell>
          <cell r="S33">
            <v>4.6769226138205069E-2</v>
          </cell>
          <cell r="T33">
            <v>227.7325299999992</v>
          </cell>
          <cell r="U33">
            <v>9.0773690490161971E-2</v>
          </cell>
          <cell r="V33">
            <v>609.87072999999918</v>
          </cell>
          <cell r="W33">
            <v>0.1977949067789764</v>
          </cell>
          <cell r="X33">
            <v>610.55826999999999</v>
          </cell>
          <cell r="Y33">
            <v>0.19464729640033879</v>
          </cell>
          <cell r="Z33">
            <v>1534.1311199999991</v>
          </cell>
          <cell r="AA33">
            <v>0.37351515308501743</v>
          </cell>
          <cell r="AB33">
            <v>977.5251700000008</v>
          </cell>
          <cell r="AC33">
            <v>0.21913305573458139</v>
          </cell>
          <cell r="AD33">
            <v>-3430.0026799999996</v>
          </cell>
          <cell r="AE33">
            <v>-1.5891651564126938</v>
          </cell>
          <cell r="AG33">
            <v>2109.4098100000015</v>
          </cell>
          <cell r="AH33">
            <v>6.9730587040884334E-2</v>
          </cell>
          <cell r="AI33">
            <v>2109.4098100000015</v>
          </cell>
          <cell r="AJ33">
            <v>6.9730587040884334E-2</v>
          </cell>
          <cell r="AL33">
            <v>1815953.5</v>
          </cell>
          <cell r="AM33">
            <v>1815.9535000000001</v>
          </cell>
          <cell r="AN33">
            <v>293.45631000000139</v>
          </cell>
        </row>
        <row r="35">
          <cell r="E35" t="str">
            <v>15% Participacion de Trabajadores</v>
          </cell>
          <cell r="H35">
            <v>47.244818999999929</v>
          </cell>
          <cell r="I35">
            <v>2.7280555012819851E-2</v>
          </cell>
          <cell r="J35">
            <v>50.668450499999999</v>
          </cell>
          <cell r="K35">
            <v>2.9311837494322281E-2</v>
          </cell>
          <cell r="L35">
            <v>47.148241499999969</v>
          </cell>
          <cell r="M35">
            <v>2.6701732001795039E-2</v>
          </cell>
          <cell r="N35">
            <v>32.889100500000048</v>
          </cell>
          <cell r="O35">
            <v>1.787896105924279E-2</v>
          </cell>
          <cell r="P35">
            <v>44.949276000000047</v>
          </cell>
          <cell r="Q35">
            <v>2.6004241704358552E-2</v>
          </cell>
          <cell r="R35">
            <v>14.039313000000005</v>
          </cell>
          <cell r="S35">
            <v>7.0153839207307599E-3</v>
          </cell>
          <cell r="T35">
            <v>34.159879499999882</v>
          </cell>
          <cell r="U35">
            <v>1.3616053573524297E-2</v>
          </cell>
          <cell r="V35">
            <v>91.480609499999872</v>
          </cell>
          <cell r="W35">
            <v>2.966923601684646E-2</v>
          </cell>
          <cell r="X35">
            <v>91.58374049999999</v>
          </cell>
          <cell r="Y35">
            <v>2.9197094460050817E-2</v>
          </cell>
          <cell r="Z35">
            <v>230.11966799999985</v>
          </cell>
          <cell r="AA35">
            <v>5.602727296275261E-2</v>
          </cell>
          <cell r="AB35">
            <v>146.6287755000001</v>
          </cell>
          <cell r="AC35">
            <v>3.2869958360187204E-2</v>
          </cell>
          <cell r="AD35">
            <v>-514.50040199999989</v>
          </cell>
          <cell r="AE35">
            <v>-0.23837477346190403</v>
          </cell>
          <cell r="AG35">
            <v>316.41147149999972</v>
          </cell>
          <cell r="AH35">
            <v>1.0459588056132634E-2</v>
          </cell>
          <cell r="AI35">
            <v>316.41147149999972</v>
          </cell>
          <cell r="AJ35">
            <v>1.0459588056132634E-2</v>
          </cell>
          <cell r="AN35">
            <v>146.7281550000007</v>
          </cell>
        </row>
        <row r="36">
          <cell r="E36" t="str">
            <v>25% Impuesto a la Renta Causado</v>
          </cell>
          <cell r="H36">
            <v>66.930160249999901</v>
          </cell>
          <cell r="I36">
            <v>3.8647452934828123E-2</v>
          </cell>
          <cell r="J36">
            <v>71.780304874999999</v>
          </cell>
          <cell r="K36">
            <v>4.152510311695657E-2</v>
          </cell>
          <cell r="L36">
            <v>66.793342124999953</v>
          </cell>
          <cell r="M36">
            <v>3.7827453669209636E-2</v>
          </cell>
          <cell r="N36">
            <v>46.592892375000076</v>
          </cell>
          <cell r="O36">
            <v>2.5328528167260625E-2</v>
          </cell>
          <cell r="P36">
            <v>63.678141000000068</v>
          </cell>
          <cell r="Q36">
            <v>3.6839342414507946E-2</v>
          </cell>
          <cell r="R36">
            <v>19.889026750000006</v>
          </cell>
          <cell r="S36">
            <v>9.9384605543685767E-3</v>
          </cell>
          <cell r="T36">
            <v>48.393162624999832</v>
          </cell>
          <cell r="U36">
            <v>1.9289409229159421E-2</v>
          </cell>
          <cell r="V36">
            <v>129.59753012499982</v>
          </cell>
          <cell r="W36">
            <v>4.2031417690532487E-2</v>
          </cell>
          <cell r="X36">
            <v>129.743632375</v>
          </cell>
          <cell r="Y36">
            <v>4.1362550485071994E-2</v>
          </cell>
          <cell r="Z36">
            <v>326.00286299999982</v>
          </cell>
          <cell r="AA36">
            <v>7.9371970030566202E-2</v>
          </cell>
          <cell r="AB36">
            <v>207.72409862500018</v>
          </cell>
          <cell r="AC36">
            <v>4.656577434359855E-2</v>
          </cell>
          <cell r="AD36">
            <v>-728.87556949999998</v>
          </cell>
          <cell r="AE36">
            <v>-0.33769759573769748</v>
          </cell>
          <cell r="AG36">
            <v>448.2495846249999</v>
          </cell>
          <cell r="AH36">
            <v>1.4817749746187906E-2</v>
          </cell>
          <cell r="AI36">
            <v>448.2495846249999</v>
          </cell>
          <cell r="AJ36">
            <v>1.4817749746187906E-2</v>
          </cell>
        </row>
        <row r="38">
          <cell r="E38" t="str">
            <v>Resultado Neto</v>
          </cell>
          <cell r="H38">
            <v>200.79048074999969</v>
          </cell>
          <cell r="I38">
            <v>0.11594235880448436</v>
          </cell>
          <cell r="J38">
            <v>215.34091462499998</v>
          </cell>
          <cell r="K38">
            <v>0.12457530935086969</v>
          </cell>
          <cell r="L38">
            <v>200.38002637499986</v>
          </cell>
          <cell r="M38">
            <v>0.11348236100762892</v>
          </cell>
          <cell r="N38">
            <v>139.77867712500023</v>
          </cell>
          <cell r="O38">
            <v>7.5985584501781875E-2</v>
          </cell>
          <cell r="P38">
            <v>191.0344230000002</v>
          </cell>
          <cell r="Q38">
            <v>0.11051802724352384</v>
          </cell>
          <cell r="R38">
            <v>59.667080250000019</v>
          </cell>
          <cell r="S38">
            <v>2.9815381663105728E-2</v>
          </cell>
          <cell r="T38">
            <v>145.1794878749995</v>
          </cell>
          <cell r="U38">
            <v>5.7868227687478256E-2</v>
          </cell>
          <cell r="V38">
            <v>388.79259037499946</v>
          </cell>
          <cell r="W38">
            <v>0.12609425307159747</v>
          </cell>
          <cell r="X38">
            <v>389.23089712500001</v>
          </cell>
          <cell r="Y38">
            <v>0.12408765145521598</v>
          </cell>
          <cell r="Z38">
            <v>978.00858899999946</v>
          </cell>
          <cell r="AA38">
            <v>0.23811591009169863</v>
          </cell>
          <cell r="AB38">
            <v>623.1722958750006</v>
          </cell>
          <cell r="AC38">
            <v>0.13969732303079566</v>
          </cell>
          <cell r="AD38">
            <v>-2186.6267084999999</v>
          </cell>
          <cell r="AE38">
            <v>-1.0130927872130924</v>
          </cell>
          <cell r="AG38">
            <v>1344.748753875002</v>
          </cell>
          <cell r="AH38">
            <v>4.4453249238563794E-2</v>
          </cell>
          <cell r="AI38">
            <v>1344.748753875002</v>
          </cell>
          <cell r="AJ38">
            <v>4.4453249238563794E-2</v>
          </cell>
        </row>
        <row r="40">
          <cell r="E40" t="str">
            <v>EBITDA</v>
          </cell>
          <cell r="H40">
            <v>318.7206409999996</v>
          </cell>
          <cell r="I40">
            <v>0.18403871926193027</v>
          </cell>
          <cell r="J40">
            <v>338.1212195</v>
          </cell>
          <cell r="K40">
            <v>0.19560405225666166</v>
          </cell>
          <cell r="L40">
            <v>318.17336849999981</v>
          </cell>
          <cell r="M40">
            <v>0.18019293499621564</v>
          </cell>
          <cell r="N40">
            <v>237.37156950000031</v>
          </cell>
          <cell r="O40">
            <v>0.12903840430849858</v>
          </cell>
          <cell r="P40">
            <v>305.71256400000027</v>
          </cell>
          <cell r="Q40">
            <v>0.17686210132317107</v>
          </cell>
          <cell r="R40">
            <v>130.55610700000003</v>
          </cell>
          <cell r="S40">
            <v>6.5238321405114652E-2</v>
          </cell>
          <cell r="T40">
            <v>244.57265049999933</v>
          </cell>
          <cell r="U40">
            <v>9.7486125846165131E-2</v>
          </cell>
          <cell r="V40">
            <v>569.39012049999928</v>
          </cell>
          <cell r="W40">
            <v>0.18466612720562545</v>
          </cell>
          <cell r="X40">
            <v>569.97452950000002</v>
          </cell>
          <cell r="Y40">
            <v>0.18170911219371438</v>
          </cell>
          <cell r="Z40">
            <v>1355.0114519999993</v>
          </cell>
          <cell r="AA40">
            <v>0.32990485840984163</v>
          </cell>
          <cell r="AB40">
            <v>881.89639450000072</v>
          </cell>
          <cell r="AC40">
            <v>0.19769583198363566</v>
          </cell>
          <cell r="AD40">
            <v>-2864.5022779999999</v>
          </cell>
          <cell r="AE40">
            <v>-1.3271614151223894</v>
          </cell>
          <cell r="AG40">
            <v>2404.9983384999987</v>
          </cell>
          <cell r="AH40">
            <v>7.9501832778504158E-2</v>
          </cell>
          <cell r="AI40">
            <v>2404.9983384999987</v>
          </cell>
          <cell r="AJ40">
            <v>7.9501832778504158E-2</v>
          </cell>
        </row>
        <row r="42">
          <cell r="H42">
            <v>1584.0394499999998</v>
          </cell>
          <cell r="J42">
            <v>1572.3457700000001</v>
          </cell>
          <cell r="L42">
            <v>1656.5038300000001</v>
          </cell>
          <cell r="N42">
            <v>1657.1496100000002</v>
          </cell>
          <cell r="P42">
            <v>1535.7092500000001</v>
          </cell>
          <cell r="R42">
            <v>1901.90346</v>
          </cell>
          <cell r="T42">
            <v>2367.8686699999998</v>
          </cell>
          <cell r="V42">
            <v>2947.0764300000001</v>
          </cell>
          <cell r="X42">
            <v>2975.65283</v>
          </cell>
          <cell r="Z42">
            <v>3876.8332799999998</v>
          </cell>
          <cell r="AB42">
            <v>4054.95964</v>
          </cell>
          <cell r="AD42">
            <v>1956.12213</v>
          </cell>
        </row>
        <row r="43">
          <cell r="H43">
            <v>147.77351999999999</v>
          </cell>
          <cell r="J43">
            <v>156.25451000000001</v>
          </cell>
          <cell r="L43">
            <v>109.23336999999998</v>
          </cell>
          <cell r="N43">
            <v>182.39243000000005</v>
          </cell>
          <cell r="P43">
            <v>192.82705999999999</v>
          </cell>
          <cell r="R43">
            <v>99.314599999999999</v>
          </cell>
          <cell r="T43">
            <v>140.92577000000003</v>
          </cell>
          <cell r="V43">
            <v>136.27257999999998</v>
          </cell>
          <cell r="X43">
            <v>161.08876000000001</v>
          </cell>
          <cell r="Z43">
            <v>230.44619</v>
          </cell>
          <cell r="AB43">
            <v>405.91535999999996</v>
          </cell>
          <cell r="AD43">
            <v>202.24553</v>
          </cell>
        </row>
        <row r="44">
          <cell r="H44">
            <v>1731.8129699999997</v>
          </cell>
          <cell r="J44">
            <v>1728.6002800000001</v>
          </cell>
          <cell r="L44">
            <v>1765.7372</v>
          </cell>
          <cell r="N44">
            <v>1839.5420400000003</v>
          </cell>
          <cell r="P44">
            <v>1728.5363100000002</v>
          </cell>
          <cell r="R44">
            <v>2001.2180599999999</v>
          </cell>
          <cell r="T44">
            <v>2508.7944399999997</v>
          </cell>
          <cell r="V44">
            <v>3083.3490099999999</v>
          </cell>
          <cell r="X44">
            <v>3136.7415900000001</v>
          </cell>
          <cell r="Z44">
            <v>4107.2794699999995</v>
          </cell>
          <cell r="AB44">
            <v>4460.875</v>
          </cell>
          <cell r="AD44">
            <v>2158.3676599999999</v>
          </cell>
        </row>
        <row r="45">
          <cell r="H45">
            <v>0</v>
          </cell>
          <cell r="J45">
            <v>0</v>
          </cell>
          <cell r="L45">
            <v>0</v>
          </cell>
          <cell r="N45">
            <v>0</v>
          </cell>
          <cell r="P45">
            <v>0</v>
          </cell>
          <cell r="R45">
            <v>0</v>
          </cell>
          <cell r="T45">
            <v>0</v>
          </cell>
          <cell r="V45">
            <v>0</v>
          </cell>
          <cell r="X45">
            <v>0</v>
          </cell>
          <cell r="Z45">
            <v>0</v>
          </cell>
          <cell r="AB45">
            <v>0</v>
          </cell>
          <cell r="AD45">
            <v>0</v>
          </cell>
        </row>
        <row r="46">
          <cell r="H46">
            <v>1167.0046100000002</v>
          </cell>
          <cell r="J46">
            <v>1176.37652</v>
          </cell>
          <cell r="L46">
            <v>1239.4319100000002</v>
          </cell>
          <cell r="N46">
            <v>1242.33061</v>
          </cell>
          <cell r="P46">
            <v>1239.7678699999999</v>
          </cell>
          <cell r="R46">
            <v>1588.1342399999999</v>
          </cell>
          <cell r="T46">
            <v>1832.6583200000005</v>
          </cell>
          <cell r="V46">
            <v>2165.6389800000006</v>
          </cell>
          <cell r="X46">
            <v>2251.83313</v>
          </cell>
          <cell r="Z46">
            <v>2280.2648400000003</v>
          </cell>
          <cell r="AB46">
            <v>2548.9243799999995</v>
          </cell>
          <cell r="AD46">
            <v>4299.0358799999995</v>
          </cell>
        </row>
        <row r="47">
          <cell r="H47">
            <v>100.1648</v>
          </cell>
          <cell r="J47">
            <v>92.151949999999999</v>
          </cell>
          <cell r="L47">
            <v>41.688420000000001</v>
          </cell>
          <cell r="N47">
            <v>151.19839999999999</v>
          </cell>
          <cell r="P47">
            <v>57.663059999999994</v>
          </cell>
          <cell r="R47">
            <v>69.83005</v>
          </cell>
          <cell r="T47">
            <v>266.91773999999998</v>
          </cell>
          <cell r="V47">
            <v>85.552480000000003</v>
          </cell>
          <cell r="X47">
            <v>95.316670000000002</v>
          </cell>
          <cell r="Z47">
            <v>119.39964999999999</v>
          </cell>
          <cell r="AB47">
            <v>311.25749999999999</v>
          </cell>
          <cell r="AD47">
            <v>270.50939</v>
          </cell>
        </row>
        <row r="48">
          <cell r="H48">
            <v>0</v>
          </cell>
          <cell r="J48">
            <v>0</v>
          </cell>
          <cell r="L48">
            <v>0</v>
          </cell>
          <cell r="N48">
            <v>0</v>
          </cell>
          <cell r="P48">
            <v>0</v>
          </cell>
          <cell r="R48">
            <v>0</v>
          </cell>
          <cell r="T48">
            <v>0</v>
          </cell>
          <cell r="V48">
            <v>0</v>
          </cell>
          <cell r="X48">
            <v>0</v>
          </cell>
          <cell r="Z48">
            <v>0</v>
          </cell>
          <cell r="AB48">
            <v>0</v>
          </cell>
          <cell r="AD48">
            <v>0</v>
          </cell>
        </row>
        <row r="49">
          <cell r="H49">
            <v>464.64355999999952</v>
          </cell>
          <cell r="J49">
            <v>460.07181000000008</v>
          </cell>
          <cell r="L49">
            <v>484.61686999999978</v>
          </cell>
          <cell r="N49">
            <v>446.0130300000003</v>
          </cell>
          <cell r="P49">
            <v>431.10538000000031</v>
          </cell>
          <cell r="R49">
            <v>343.25377000000003</v>
          </cell>
          <cell r="T49">
            <v>409.21837999999923</v>
          </cell>
          <cell r="V49">
            <v>832.15754999999922</v>
          </cell>
          <cell r="X49">
            <v>789.59179000000006</v>
          </cell>
          <cell r="Z49">
            <v>1707.6149799999992</v>
          </cell>
          <cell r="AB49">
            <v>1600.6931200000006</v>
          </cell>
          <cell r="AD49">
            <v>-2411.1776099999997</v>
          </cell>
        </row>
        <row r="50">
          <cell r="H50">
            <v>0</v>
          </cell>
          <cell r="J50">
            <v>0</v>
          </cell>
          <cell r="L50">
            <v>0</v>
          </cell>
          <cell r="N50">
            <v>0</v>
          </cell>
          <cell r="P50">
            <v>0</v>
          </cell>
          <cell r="R50">
            <v>0</v>
          </cell>
          <cell r="T50">
            <v>0</v>
          </cell>
          <cell r="V50">
            <v>0</v>
          </cell>
          <cell r="X50">
            <v>0</v>
          </cell>
          <cell r="Z50">
            <v>0</v>
          </cell>
          <cell r="AB50">
            <v>0</v>
          </cell>
          <cell r="AD50">
            <v>0</v>
          </cell>
        </row>
        <row r="51">
          <cell r="H51">
            <v>31.08324</v>
          </cell>
          <cell r="J51">
            <v>31.330369999999998</v>
          </cell>
          <cell r="L51">
            <v>33.318629999999999</v>
          </cell>
          <cell r="N51">
            <v>36.582889999999999</v>
          </cell>
          <cell r="P51">
            <v>35.036910000000006</v>
          </cell>
          <cell r="R51">
            <v>40.170679999999997</v>
          </cell>
          <cell r="T51">
            <v>36.01182</v>
          </cell>
          <cell r="V51">
            <v>35.436589999999995</v>
          </cell>
          <cell r="X51">
            <v>38.596530000000001</v>
          </cell>
          <cell r="Z51">
            <v>49.697470000000003</v>
          </cell>
          <cell r="AB51">
            <v>47.040860000000002</v>
          </cell>
          <cell r="AD51">
            <v>39.758470000000003</v>
          </cell>
        </row>
        <row r="52">
          <cell r="H52">
            <v>106.61497</v>
          </cell>
          <cell r="J52">
            <v>89.193029999999993</v>
          </cell>
          <cell r="L52">
            <v>127.37639999999999</v>
          </cell>
          <cell r="N52">
            <v>89.190359999999998</v>
          </cell>
          <cell r="P52">
            <v>87.014350000000007</v>
          </cell>
          <cell r="R52">
            <v>124.98963999999999</v>
          </cell>
          <cell r="T52">
            <v>122.64789</v>
          </cell>
          <cell r="V52">
            <v>162.34774999999999</v>
          </cell>
          <cell r="X52">
            <v>129.85905</v>
          </cell>
          <cell r="Z52">
            <v>116.83918</v>
          </cell>
          <cell r="AB52">
            <v>568.69432999999992</v>
          </cell>
          <cell r="AD52">
            <v>989.53747999999996</v>
          </cell>
        </row>
        <row r="53">
          <cell r="H53">
            <v>0</v>
          </cell>
          <cell r="J53">
            <v>0.39750000000000002</v>
          </cell>
          <cell r="L53">
            <v>0.39750000000000002</v>
          </cell>
          <cell r="N53">
            <v>0.39750000000000002</v>
          </cell>
          <cell r="P53">
            <v>0.39750000000000002</v>
          </cell>
          <cell r="R53">
            <v>0.39750000000000002</v>
          </cell>
          <cell r="T53">
            <v>0.39750000000000002</v>
          </cell>
          <cell r="V53">
            <v>0.39750000000000002</v>
          </cell>
          <cell r="X53">
            <v>2.9375</v>
          </cell>
          <cell r="Z53">
            <v>0</v>
          </cell>
          <cell r="AB53">
            <v>1.5</v>
          </cell>
          <cell r="AD53">
            <v>0</v>
          </cell>
        </row>
        <row r="54">
          <cell r="H54">
            <v>10.685</v>
          </cell>
          <cell r="J54">
            <v>0.7</v>
          </cell>
          <cell r="L54">
            <v>9.4749999999999996</v>
          </cell>
          <cell r="N54">
            <v>0</v>
          </cell>
          <cell r="P54">
            <v>9.1829999999999998</v>
          </cell>
          <cell r="R54">
            <v>8.51</v>
          </cell>
          <cell r="T54">
            <v>9.9700000000000006</v>
          </cell>
          <cell r="V54">
            <v>12.595000000000001</v>
          </cell>
          <cell r="X54">
            <v>7.6</v>
          </cell>
          <cell r="Z54">
            <v>8.940100000000001</v>
          </cell>
          <cell r="AB54">
            <v>11.8</v>
          </cell>
          <cell r="AD54">
            <v>0.13</v>
          </cell>
        </row>
        <row r="55">
          <cell r="H55">
            <v>148.38320999999999</v>
          </cell>
          <cell r="J55">
            <v>121.62089999999999</v>
          </cell>
          <cell r="L55">
            <v>170.56752999999998</v>
          </cell>
          <cell r="N55">
            <v>126.17074999999998</v>
          </cell>
          <cell r="P55">
            <v>131.63176000000001</v>
          </cell>
          <cell r="R55">
            <v>174.06781999999998</v>
          </cell>
          <cell r="T55">
            <v>169.02721000000003</v>
          </cell>
          <cell r="V55">
            <v>210.77683999999999</v>
          </cell>
          <cell r="X55">
            <v>178.99307999999999</v>
          </cell>
          <cell r="Z55">
            <v>175.47675000000001</v>
          </cell>
          <cell r="AB55">
            <v>629.03518999999983</v>
          </cell>
          <cell r="AD55">
            <v>1029.4259500000001</v>
          </cell>
        </row>
        <row r="56">
          <cell r="H56">
            <v>0</v>
          </cell>
          <cell r="J56">
            <v>0</v>
          </cell>
          <cell r="L56">
            <v>0</v>
          </cell>
          <cell r="N56">
            <v>0</v>
          </cell>
          <cell r="P56">
            <v>0</v>
          </cell>
          <cell r="R56">
            <v>0</v>
          </cell>
          <cell r="T56">
            <v>0</v>
          </cell>
          <cell r="V56">
            <v>0</v>
          </cell>
          <cell r="X56">
            <v>0</v>
          </cell>
          <cell r="Z56">
            <v>0</v>
          </cell>
          <cell r="AB56">
            <v>0</v>
          </cell>
          <cell r="AD56">
            <v>0</v>
          </cell>
        </row>
        <row r="57">
          <cell r="H57">
            <v>316.26034999999956</v>
          </cell>
          <cell r="J57">
            <v>338.45091000000008</v>
          </cell>
          <cell r="L57">
            <v>314.0493399999998</v>
          </cell>
          <cell r="N57">
            <v>319.8422800000003</v>
          </cell>
          <cell r="P57">
            <v>299.47362000000032</v>
          </cell>
          <cell r="R57">
            <v>169.18595000000005</v>
          </cell>
          <cell r="T57">
            <v>240.1911699999992</v>
          </cell>
          <cell r="V57">
            <v>621.38070999999923</v>
          </cell>
          <cell r="X57">
            <v>610.5987100000001</v>
          </cell>
          <cell r="Z57">
            <v>1532.1382299999991</v>
          </cell>
          <cell r="AB57">
            <v>971.65793000000076</v>
          </cell>
          <cell r="AD57">
            <v>-3440.6035599999996</v>
          </cell>
        </row>
        <row r="58">
          <cell r="H58">
            <v>0</v>
          </cell>
          <cell r="J58">
            <v>0</v>
          </cell>
          <cell r="L58">
            <v>0</v>
          </cell>
          <cell r="N58">
            <v>0</v>
          </cell>
          <cell r="P58">
            <v>0</v>
          </cell>
          <cell r="R58">
            <v>0</v>
          </cell>
          <cell r="T58">
            <v>0</v>
          </cell>
          <cell r="V58">
            <v>0</v>
          </cell>
          <cell r="X58">
            <v>0</v>
          </cell>
          <cell r="Z58">
            <v>0</v>
          </cell>
          <cell r="AB58">
            <v>0</v>
          </cell>
          <cell r="AD58">
            <v>0</v>
          </cell>
        </row>
        <row r="59">
          <cell r="H59">
            <v>1.3818599999999999</v>
          </cell>
          <cell r="J59">
            <v>0.66063000000000005</v>
          </cell>
          <cell r="L59">
            <v>1.16625</v>
          </cell>
          <cell r="N59">
            <v>0.85047000000000006</v>
          </cell>
          <cell r="P59">
            <v>0.50348999999999999</v>
          </cell>
          <cell r="R59">
            <v>1.01373</v>
          </cell>
          <cell r="T59">
            <v>13.185709999999998</v>
          </cell>
          <cell r="V59">
            <v>22.570900000000002</v>
          </cell>
          <cell r="X59">
            <v>1.3366600000000002</v>
          </cell>
          <cell r="Z59">
            <v>0.88200000000000001</v>
          </cell>
          <cell r="AB59">
            <v>1.0890199999999999</v>
          </cell>
          <cell r="AD59">
            <v>1.42808</v>
          </cell>
        </row>
        <row r="60">
          <cell r="H60">
            <v>-8.6999999999999994E-2</v>
          </cell>
          <cell r="J60">
            <v>-9.1000000000000011E-4</v>
          </cell>
          <cell r="L60">
            <v>-1.4386300000000001</v>
          </cell>
          <cell r="N60">
            <v>-2.3962899999999934</v>
          </cell>
          <cell r="P60">
            <v>-0.69176000000000004</v>
          </cell>
          <cell r="R60">
            <v>-3.3364099999999866</v>
          </cell>
          <cell r="T60">
            <v>-0.72789999999999999</v>
          </cell>
          <cell r="V60">
            <v>-11.060979999999999</v>
          </cell>
          <cell r="X60">
            <v>-1.29626</v>
          </cell>
          <cell r="Z60">
            <v>-2.8749999999999996</v>
          </cell>
          <cell r="AB60">
            <v>-6.9568000000000003</v>
          </cell>
          <cell r="AD60">
            <v>-12.029570000000001</v>
          </cell>
        </row>
        <row r="61">
          <cell r="H61">
            <v>2.9999999999999997E-5</v>
          </cell>
          <cell r="J61">
            <v>1.5200000000000001E-3</v>
          </cell>
          <cell r="L61">
            <v>1.1E-4</v>
          </cell>
          <cell r="N61">
            <v>102.12742999999999</v>
          </cell>
          <cell r="P61">
            <v>5.0000000000000002E-5</v>
          </cell>
          <cell r="R61">
            <v>77.913210000000007</v>
          </cell>
          <cell r="T61">
            <v>8.3000000000000001E-4</v>
          </cell>
          <cell r="V61">
            <v>5.9999999999999995E-5</v>
          </cell>
          <cell r="X61">
            <v>4.0000000000000003E-5</v>
          </cell>
          <cell r="Z61">
            <v>1.1E-4</v>
          </cell>
          <cell r="AB61">
            <v>5.4000000000000001E-4</v>
          </cell>
          <cell r="AD61">
            <v>6.0999999999999997E-4</v>
          </cell>
        </row>
        <row r="62">
          <cell r="H62">
            <v>0</v>
          </cell>
          <cell r="J62">
            <v>0</v>
          </cell>
          <cell r="L62">
            <v>0</v>
          </cell>
          <cell r="N62">
            <v>0</v>
          </cell>
          <cell r="P62">
            <v>0</v>
          </cell>
          <cell r="R62">
            <v>0</v>
          </cell>
          <cell r="T62">
            <v>0</v>
          </cell>
          <cell r="V62">
            <v>0</v>
          </cell>
          <cell r="X62">
            <v>0</v>
          </cell>
          <cell r="Z62">
            <v>0</v>
          </cell>
          <cell r="AB62">
            <v>0</v>
          </cell>
          <cell r="AD62">
            <v>0</v>
          </cell>
        </row>
        <row r="63">
          <cell r="H63">
            <v>314.96545999999955</v>
          </cell>
          <cell r="J63">
            <v>337.78967</v>
          </cell>
          <cell r="L63">
            <v>314.32160999999979</v>
          </cell>
          <cell r="N63">
            <v>219.26067000000035</v>
          </cell>
          <cell r="P63">
            <v>299.66184000000032</v>
          </cell>
          <cell r="R63">
            <v>93.595420000000033</v>
          </cell>
          <cell r="T63">
            <v>227.7325299999992</v>
          </cell>
          <cell r="V63">
            <v>609.87072999999918</v>
          </cell>
          <cell r="X63">
            <v>610.55826999999999</v>
          </cell>
          <cell r="Z63">
            <v>1534.1311199999991</v>
          </cell>
          <cell r="AB63">
            <v>977.5251700000008</v>
          </cell>
          <cell r="AD63">
            <v>-3430.0026799999996</v>
          </cell>
        </row>
        <row r="64">
          <cell r="H64">
            <v>0</v>
          </cell>
          <cell r="J64">
            <v>0</v>
          </cell>
          <cell r="L64">
            <v>0</v>
          </cell>
          <cell r="N64">
            <v>0</v>
          </cell>
          <cell r="P64">
            <v>0</v>
          </cell>
          <cell r="R64">
            <v>0</v>
          </cell>
          <cell r="T64">
            <v>0</v>
          </cell>
          <cell r="V64">
            <v>0</v>
          </cell>
          <cell r="X64">
            <v>0</v>
          </cell>
          <cell r="Z64">
            <v>0</v>
          </cell>
          <cell r="AB64">
            <v>0</v>
          </cell>
          <cell r="AD64">
            <v>0</v>
          </cell>
        </row>
        <row r="65">
          <cell r="H65">
            <v>47.244818999999929</v>
          </cell>
          <cell r="J65">
            <v>50.668450499999999</v>
          </cell>
          <cell r="L65">
            <v>47.148241499999969</v>
          </cell>
          <cell r="N65">
            <v>32.889100500000048</v>
          </cell>
          <cell r="P65">
            <v>44.949276000000047</v>
          </cell>
          <cell r="R65">
            <v>14.039313000000005</v>
          </cell>
          <cell r="T65">
            <v>34.159879499999882</v>
          </cell>
          <cell r="V65">
            <v>91.480609499999872</v>
          </cell>
          <cell r="X65">
            <v>91.58374049999999</v>
          </cell>
          <cell r="Z65">
            <v>230.11966799999985</v>
          </cell>
          <cell r="AB65">
            <v>146.6287755000001</v>
          </cell>
          <cell r="AD65">
            <v>-514.50040199999989</v>
          </cell>
        </row>
        <row r="66">
          <cell r="H66">
            <v>66.930160249999901</v>
          </cell>
          <cell r="J66">
            <v>71.780304874999999</v>
          </cell>
          <cell r="L66">
            <v>66.793342124999953</v>
          </cell>
          <cell r="N66">
            <v>46.592892375000076</v>
          </cell>
          <cell r="P66">
            <v>63.678141000000068</v>
          </cell>
          <cell r="R66">
            <v>19.889026750000006</v>
          </cell>
          <cell r="T66">
            <v>48.393162624999832</v>
          </cell>
          <cell r="V66">
            <v>129.59753012499982</v>
          </cell>
          <cell r="X66">
            <v>129.743632375</v>
          </cell>
          <cell r="Z66">
            <v>326.00286299999982</v>
          </cell>
          <cell r="AB66">
            <v>207.72409862500018</v>
          </cell>
          <cell r="AD66">
            <v>-728.87556949999998</v>
          </cell>
        </row>
        <row r="67">
          <cell r="H67">
            <v>0</v>
          </cell>
          <cell r="J67">
            <v>0</v>
          </cell>
          <cell r="L67">
            <v>0</v>
          </cell>
          <cell r="N67">
            <v>0</v>
          </cell>
          <cell r="P67">
            <v>0</v>
          </cell>
          <cell r="R67">
            <v>0</v>
          </cell>
          <cell r="T67">
            <v>0</v>
          </cell>
          <cell r="V67">
            <v>0</v>
          </cell>
          <cell r="X67">
            <v>0</v>
          </cell>
          <cell r="Z67">
            <v>0</v>
          </cell>
          <cell r="AB67">
            <v>0</v>
          </cell>
          <cell r="AD67">
            <v>0</v>
          </cell>
        </row>
        <row r="68">
          <cell r="H68">
            <v>200.79048074999969</v>
          </cell>
          <cell r="J68">
            <v>215.34091462499998</v>
          </cell>
          <cell r="L68">
            <v>200.38002637499986</v>
          </cell>
          <cell r="N68">
            <v>139.77867712500023</v>
          </cell>
          <cell r="P68">
            <v>191.0344230000002</v>
          </cell>
          <cell r="R68">
            <v>59.667080250000019</v>
          </cell>
          <cell r="T68">
            <v>145.1794878749995</v>
          </cell>
          <cell r="V68">
            <v>388.79259037499946</v>
          </cell>
          <cell r="X68">
            <v>389.23089712500001</v>
          </cell>
          <cell r="Z68">
            <v>978.00858899999946</v>
          </cell>
          <cell r="AB68">
            <v>623.1722958750006</v>
          </cell>
          <cell r="AD68">
            <v>-2186.6267084999999</v>
          </cell>
        </row>
        <row r="69">
          <cell r="H69">
            <v>0</v>
          </cell>
          <cell r="J69">
            <v>0</v>
          </cell>
          <cell r="L69">
            <v>0</v>
          </cell>
          <cell r="N69">
            <v>0</v>
          </cell>
          <cell r="P69">
            <v>0</v>
          </cell>
          <cell r="R69">
            <v>0</v>
          </cell>
          <cell r="T69">
            <v>0</v>
          </cell>
          <cell r="V69">
            <v>0</v>
          </cell>
          <cell r="X69">
            <v>0</v>
          </cell>
          <cell r="Z69">
            <v>0</v>
          </cell>
          <cell r="AB69">
            <v>0</v>
          </cell>
          <cell r="AD69">
            <v>0</v>
          </cell>
        </row>
        <row r="70">
          <cell r="H70">
            <v>318.7206409999996</v>
          </cell>
          <cell r="J70">
            <v>338.1212195</v>
          </cell>
          <cell r="L70">
            <v>318.17336849999981</v>
          </cell>
          <cell r="N70">
            <v>237.37156950000031</v>
          </cell>
          <cell r="P70">
            <v>305.71256400000027</v>
          </cell>
          <cell r="R70">
            <v>130.55610700000003</v>
          </cell>
          <cell r="T70">
            <v>244.57265049999933</v>
          </cell>
          <cell r="V70">
            <v>569.39012049999928</v>
          </cell>
          <cell r="X70">
            <v>569.97452950000002</v>
          </cell>
          <cell r="Z70">
            <v>1355.0114519999993</v>
          </cell>
          <cell r="AB70">
            <v>881.89639450000072</v>
          </cell>
          <cell r="AD70">
            <v>-2864.5022779999999</v>
          </cell>
        </row>
        <row r="71">
          <cell r="H71">
            <v>0</v>
          </cell>
          <cell r="J71">
            <v>0</v>
          </cell>
          <cell r="L71">
            <v>0</v>
          </cell>
          <cell r="N71">
            <v>0</v>
          </cell>
          <cell r="P71">
            <v>0</v>
          </cell>
          <cell r="R71">
            <v>0</v>
          </cell>
          <cell r="T71">
            <v>0</v>
          </cell>
          <cell r="V71">
            <v>0</v>
          </cell>
          <cell r="X71">
            <v>0</v>
          </cell>
          <cell r="Z71">
            <v>0</v>
          </cell>
          <cell r="AB71">
            <v>0</v>
          </cell>
          <cell r="AD71">
            <v>0</v>
          </cell>
        </row>
        <row r="72">
          <cell r="H72">
            <v>1584.0394499999998</v>
          </cell>
          <cell r="J72">
            <v>1572.3457700000001</v>
          </cell>
          <cell r="L72">
            <v>1656.5038300000001</v>
          </cell>
          <cell r="N72">
            <v>1657.1496100000002</v>
          </cell>
          <cell r="P72">
            <v>1535.7092500000001</v>
          </cell>
          <cell r="R72">
            <v>1901.90346</v>
          </cell>
          <cell r="T72">
            <v>2367.8686699999998</v>
          </cell>
          <cell r="V72">
            <v>2947.0764300000001</v>
          </cell>
          <cell r="X72">
            <v>2975.65283</v>
          </cell>
          <cell r="Z72">
            <v>3876.8332799999998</v>
          </cell>
          <cell r="AB72">
            <v>4054.95964</v>
          </cell>
          <cell r="AD72">
            <v>1956.12213</v>
          </cell>
        </row>
        <row r="73">
          <cell r="H73">
            <v>147.77351999999999</v>
          </cell>
          <cell r="J73">
            <v>156.25451000000001</v>
          </cell>
          <cell r="L73">
            <v>109.23336999999998</v>
          </cell>
          <cell r="N73">
            <v>182.39243000000005</v>
          </cell>
          <cell r="P73">
            <v>192.82705999999999</v>
          </cell>
          <cell r="R73">
            <v>99.314599999999999</v>
          </cell>
          <cell r="T73">
            <v>140.92577000000003</v>
          </cell>
          <cell r="V73">
            <v>136.27257999999998</v>
          </cell>
          <cell r="X73">
            <v>161.08876000000001</v>
          </cell>
          <cell r="Z73">
            <v>230.44619</v>
          </cell>
          <cell r="AB73">
            <v>405.91535999999996</v>
          </cell>
          <cell r="AD73">
            <v>202.24553</v>
          </cell>
        </row>
        <row r="74">
          <cell r="H74">
            <v>1731.8129699999997</v>
          </cell>
          <cell r="J74">
            <v>1728.6002800000001</v>
          </cell>
          <cell r="L74">
            <v>1765.7372</v>
          </cell>
          <cell r="N74">
            <v>1839.5420400000003</v>
          </cell>
          <cell r="P74">
            <v>1728.5363100000002</v>
          </cell>
          <cell r="R74">
            <v>2001.2180599999999</v>
          </cell>
          <cell r="T74">
            <v>2508.7944399999997</v>
          </cell>
          <cell r="V74">
            <v>3083.3490099999999</v>
          </cell>
          <cell r="X74">
            <v>3136.7415900000001</v>
          </cell>
          <cell r="Z74">
            <v>4107.2794699999995</v>
          </cell>
          <cell r="AB74">
            <v>4460.875</v>
          </cell>
          <cell r="AD74">
            <v>2158.3676599999999</v>
          </cell>
        </row>
        <row r="75">
          <cell r="H75">
            <v>0</v>
          </cell>
          <cell r="J75">
            <v>0</v>
          </cell>
          <cell r="L75">
            <v>0</v>
          </cell>
          <cell r="N75">
            <v>0</v>
          </cell>
          <cell r="P75">
            <v>0</v>
          </cell>
          <cell r="R75">
            <v>0</v>
          </cell>
          <cell r="T75">
            <v>0</v>
          </cell>
          <cell r="V75">
            <v>0</v>
          </cell>
          <cell r="X75">
            <v>0</v>
          </cell>
          <cell r="Z75">
            <v>0</v>
          </cell>
          <cell r="AB75">
            <v>0</v>
          </cell>
          <cell r="AD75">
            <v>0</v>
          </cell>
        </row>
        <row r="76">
          <cell r="H76">
            <v>1167.0046100000002</v>
          </cell>
          <cell r="J76">
            <v>1176.37652</v>
          </cell>
          <cell r="L76">
            <v>1239.4319100000002</v>
          </cell>
          <cell r="N76">
            <v>1242.33061</v>
          </cell>
          <cell r="P76">
            <v>1239.7678699999999</v>
          </cell>
          <cell r="R76">
            <v>1588.1342399999999</v>
          </cell>
          <cell r="T76">
            <v>1832.6583200000005</v>
          </cell>
          <cell r="V76">
            <v>2165.6389800000006</v>
          </cell>
          <cell r="X76">
            <v>2251.83313</v>
          </cell>
          <cell r="Z76">
            <v>2280.2648400000003</v>
          </cell>
          <cell r="AB76">
            <v>2548.9243799999995</v>
          </cell>
          <cell r="AD76">
            <v>4299.0358799999995</v>
          </cell>
        </row>
        <row r="77">
          <cell r="H77">
            <v>100.1648</v>
          </cell>
          <cell r="J77">
            <v>92.151949999999999</v>
          </cell>
          <cell r="L77">
            <v>41.688420000000001</v>
          </cell>
          <cell r="N77">
            <v>151.19839999999999</v>
          </cell>
          <cell r="P77">
            <v>57.663059999999994</v>
          </cell>
          <cell r="R77">
            <v>69.83005</v>
          </cell>
          <cell r="T77">
            <v>266.91773999999998</v>
          </cell>
          <cell r="V77">
            <v>85.552480000000003</v>
          </cell>
          <cell r="X77">
            <v>95.316670000000002</v>
          </cell>
          <cell r="Z77">
            <v>119.39964999999999</v>
          </cell>
          <cell r="AB77">
            <v>311.25749999999999</v>
          </cell>
          <cell r="AD77">
            <v>270.50939</v>
          </cell>
        </row>
        <row r="78">
          <cell r="H78">
            <v>0</v>
          </cell>
          <cell r="J78">
            <v>0</v>
          </cell>
          <cell r="L78">
            <v>0</v>
          </cell>
          <cell r="N78">
            <v>0</v>
          </cell>
          <cell r="P78">
            <v>0</v>
          </cell>
          <cell r="R78">
            <v>0</v>
          </cell>
          <cell r="T78">
            <v>0</v>
          </cell>
          <cell r="V78">
            <v>0</v>
          </cell>
          <cell r="X78">
            <v>0</v>
          </cell>
          <cell r="Z78">
            <v>0</v>
          </cell>
          <cell r="AB78">
            <v>0</v>
          </cell>
          <cell r="AD78">
            <v>0</v>
          </cell>
        </row>
        <row r="79">
          <cell r="H79">
            <v>464.64355999999952</v>
          </cell>
          <cell r="J79">
            <v>460.07181000000008</v>
          </cell>
          <cell r="L79">
            <v>484.61686999999978</v>
          </cell>
          <cell r="N79">
            <v>446.0130300000003</v>
          </cell>
          <cell r="P79">
            <v>431.10538000000031</v>
          </cell>
          <cell r="R79">
            <v>343.25377000000003</v>
          </cell>
          <cell r="T79">
            <v>409.21837999999923</v>
          </cell>
          <cell r="V79">
            <v>832.15754999999922</v>
          </cell>
          <cell r="X79">
            <v>789.59179000000006</v>
          </cell>
          <cell r="Z79">
            <v>1707.6149799999992</v>
          </cell>
          <cell r="AB79">
            <v>1600.6931200000006</v>
          </cell>
          <cell r="AD79">
            <v>-2411.1776099999997</v>
          </cell>
        </row>
        <row r="80">
          <cell r="H80">
            <v>0</v>
          </cell>
          <cell r="J80">
            <v>0</v>
          </cell>
          <cell r="L80">
            <v>0</v>
          </cell>
          <cell r="N80">
            <v>0</v>
          </cell>
          <cell r="P80">
            <v>0</v>
          </cell>
          <cell r="R80">
            <v>0</v>
          </cell>
          <cell r="T80">
            <v>0</v>
          </cell>
          <cell r="V80">
            <v>0</v>
          </cell>
          <cell r="X80">
            <v>0</v>
          </cell>
          <cell r="Z80">
            <v>0</v>
          </cell>
          <cell r="AB80">
            <v>0</v>
          </cell>
          <cell r="AD80">
            <v>0</v>
          </cell>
        </row>
        <row r="81">
          <cell r="H81">
            <v>31.08324</v>
          </cell>
          <cell r="J81">
            <v>31.330369999999998</v>
          </cell>
          <cell r="L81">
            <v>33.318629999999999</v>
          </cell>
          <cell r="N81">
            <v>36.582889999999999</v>
          </cell>
          <cell r="P81">
            <v>35.036910000000006</v>
          </cell>
          <cell r="R81">
            <v>40.170679999999997</v>
          </cell>
          <cell r="T81">
            <v>36.01182</v>
          </cell>
          <cell r="V81">
            <v>35.436589999999995</v>
          </cell>
          <cell r="X81">
            <v>38.596530000000001</v>
          </cell>
          <cell r="Z81">
            <v>49.697470000000003</v>
          </cell>
          <cell r="AB81">
            <v>47.040860000000002</v>
          </cell>
          <cell r="AD81">
            <v>39.758470000000003</v>
          </cell>
        </row>
        <row r="82">
          <cell r="H82">
            <v>106.61497</v>
          </cell>
          <cell r="J82">
            <v>89.193029999999993</v>
          </cell>
          <cell r="L82">
            <v>127.37639999999999</v>
          </cell>
          <cell r="N82">
            <v>89.190359999999998</v>
          </cell>
          <cell r="P82">
            <v>87.014350000000007</v>
          </cell>
          <cell r="R82">
            <v>124.98963999999999</v>
          </cell>
          <cell r="T82">
            <v>122.64789</v>
          </cell>
          <cell r="V82">
            <v>162.34774999999999</v>
          </cell>
          <cell r="X82">
            <v>129.85905</v>
          </cell>
          <cell r="Z82">
            <v>116.83918</v>
          </cell>
          <cell r="AB82">
            <v>568.69432999999992</v>
          </cell>
          <cell r="AD82">
            <v>989.53747999999996</v>
          </cell>
        </row>
        <row r="83">
          <cell r="H83">
            <v>0</v>
          </cell>
          <cell r="J83">
            <v>0.39750000000000002</v>
          </cell>
          <cell r="L83">
            <v>0.39750000000000002</v>
          </cell>
          <cell r="N83">
            <v>0.39750000000000002</v>
          </cell>
          <cell r="P83">
            <v>0.39750000000000002</v>
          </cell>
          <cell r="R83">
            <v>0.39750000000000002</v>
          </cell>
          <cell r="T83">
            <v>0.39750000000000002</v>
          </cell>
          <cell r="V83">
            <v>0.39750000000000002</v>
          </cell>
          <cell r="X83">
            <v>2.9375</v>
          </cell>
          <cell r="Z83">
            <v>0</v>
          </cell>
          <cell r="AB83">
            <v>1.5</v>
          </cell>
          <cell r="AD83">
            <v>0</v>
          </cell>
        </row>
        <row r="84">
          <cell r="H84">
            <v>10.685</v>
          </cell>
          <cell r="J84">
            <v>0.7</v>
          </cell>
          <cell r="L84">
            <v>9.4749999999999996</v>
          </cell>
          <cell r="N84">
            <v>0</v>
          </cell>
          <cell r="P84">
            <v>9.1829999999999998</v>
          </cell>
          <cell r="R84">
            <v>8.51</v>
          </cell>
          <cell r="T84">
            <v>9.9700000000000006</v>
          </cell>
          <cell r="V84">
            <v>12.595000000000001</v>
          </cell>
          <cell r="X84">
            <v>7.6</v>
          </cell>
          <cell r="Z84">
            <v>8.940100000000001</v>
          </cell>
          <cell r="AB84">
            <v>11.8</v>
          </cell>
          <cell r="AD84">
            <v>0.13</v>
          </cell>
        </row>
        <row r="85">
          <cell r="H85">
            <v>148.38320999999999</v>
          </cell>
          <cell r="J85">
            <v>121.62089999999999</v>
          </cell>
          <cell r="L85">
            <v>170.56752999999998</v>
          </cell>
          <cell r="N85">
            <v>126.17074999999998</v>
          </cell>
          <cell r="P85">
            <v>131.63176000000001</v>
          </cell>
          <cell r="R85">
            <v>174.06781999999998</v>
          </cell>
          <cell r="T85">
            <v>169.02721000000003</v>
          </cell>
          <cell r="V85">
            <v>210.77683999999999</v>
          </cell>
          <cell r="X85">
            <v>178.99307999999999</v>
          </cell>
          <cell r="Z85">
            <v>175.47675000000001</v>
          </cell>
          <cell r="AB85">
            <v>629.03518999999983</v>
          </cell>
          <cell r="AD85">
            <v>1029.4259500000001</v>
          </cell>
        </row>
        <row r="86">
          <cell r="H86">
            <v>0</v>
          </cell>
          <cell r="J86">
            <v>0</v>
          </cell>
          <cell r="L86">
            <v>0</v>
          </cell>
          <cell r="N86">
            <v>0</v>
          </cell>
          <cell r="P86">
            <v>0</v>
          </cell>
          <cell r="R86">
            <v>0</v>
          </cell>
          <cell r="T86">
            <v>0</v>
          </cell>
          <cell r="V86">
            <v>0</v>
          </cell>
          <cell r="X86">
            <v>0</v>
          </cell>
          <cell r="Z86">
            <v>0</v>
          </cell>
          <cell r="AB86">
            <v>0</v>
          </cell>
          <cell r="AD86">
            <v>0</v>
          </cell>
        </row>
        <row r="87">
          <cell r="H87">
            <v>316.26034999999956</v>
          </cell>
          <cell r="J87">
            <v>338.45091000000008</v>
          </cell>
          <cell r="L87">
            <v>314.0493399999998</v>
          </cell>
          <cell r="N87">
            <v>319.8422800000003</v>
          </cell>
          <cell r="P87">
            <v>299.47362000000032</v>
          </cell>
          <cell r="R87">
            <v>169.18595000000005</v>
          </cell>
          <cell r="T87">
            <v>240.1911699999992</v>
          </cell>
          <cell r="V87">
            <v>621.38070999999923</v>
          </cell>
          <cell r="X87">
            <v>610.5987100000001</v>
          </cell>
          <cell r="Z87">
            <v>1532.1382299999991</v>
          </cell>
          <cell r="AB87">
            <v>971.65793000000076</v>
          </cell>
          <cell r="AD87">
            <v>-3440.6035599999996</v>
          </cell>
        </row>
        <row r="88">
          <cell r="H88">
            <v>0</v>
          </cell>
          <cell r="J88">
            <v>0</v>
          </cell>
          <cell r="L88">
            <v>0</v>
          </cell>
          <cell r="N88">
            <v>0</v>
          </cell>
          <cell r="P88">
            <v>0</v>
          </cell>
          <cell r="R88">
            <v>0</v>
          </cell>
          <cell r="T88">
            <v>0</v>
          </cell>
          <cell r="V88">
            <v>0</v>
          </cell>
          <cell r="X88">
            <v>0</v>
          </cell>
          <cell r="Z88">
            <v>0</v>
          </cell>
          <cell r="AB88">
            <v>0</v>
          </cell>
          <cell r="AD88">
            <v>0</v>
          </cell>
        </row>
        <row r="89">
          <cell r="H89">
            <v>1.3818599999999999</v>
          </cell>
          <cell r="J89">
            <v>0.66063000000000005</v>
          </cell>
          <cell r="L89">
            <v>1.16625</v>
          </cell>
          <cell r="N89">
            <v>0.85047000000000006</v>
          </cell>
          <cell r="P89">
            <v>0.50348999999999999</v>
          </cell>
          <cell r="R89">
            <v>1.01373</v>
          </cell>
          <cell r="T89">
            <v>13.185709999999998</v>
          </cell>
          <cell r="V89">
            <v>22.570900000000002</v>
          </cell>
          <cell r="X89">
            <v>1.3366600000000002</v>
          </cell>
          <cell r="Z89">
            <v>0.88200000000000001</v>
          </cell>
          <cell r="AB89">
            <v>1.0890199999999999</v>
          </cell>
          <cell r="AD89">
            <v>1.42808</v>
          </cell>
        </row>
        <row r="90">
          <cell r="H90">
            <v>-8.6999999999999994E-2</v>
          </cell>
          <cell r="J90">
            <v>-9.1000000000000011E-4</v>
          </cell>
          <cell r="L90">
            <v>-1.4386300000000001</v>
          </cell>
          <cell r="N90">
            <v>-2.3962899999999934</v>
          </cell>
          <cell r="P90">
            <v>-0.69176000000000004</v>
          </cell>
          <cell r="R90">
            <v>-3.3364099999999866</v>
          </cell>
          <cell r="T90">
            <v>-0.72789999999999999</v>
          </cell>
          <cell r="V90">
            <v>-11.060979999999999</v>
          </cell>
          <cell r="X90">
            <v>-1.29626</v>
          </cell>
          <cell r="Z90">
            <v>-2.8749999999999996</v>
          </cell>
          <cell r="AB90">
            <v>-6.9568000000000003</v>
          </cell>
          <cell r="AD90">
            <v>-12.029570000000001</v>
          </cell>
        </row>
        <row r="91">
          <cell r="H91">
            <v>2.9999999999999997E-5</v>
          </cell>
          <cell r="J91">
            <v>1.5200000000000001E-3</v>
          </cell>
          <cell r="L91">
            <v>1.1E-4</v>
          </cell>
          <cell r="N91">
            <v>102.12742999999999</v>
          </cell>
          <cell r="P91">
            <v>5.0000000000000002E-5</v>
          </cell>
          <cell r="R91">
            <v>77.913210000000007</v>
          </cell>
          <cell r="T91">
            <v>8.3000000000000001E-4</v>
          </cell>
          <cell r="V91">
            <v>5.9999999999999995E-5</v>
          </cell>
          <cell r="X91">
            <v>4.0000000000000003E-5</v>
          </cell>
          <cell r="Z91">
            <v>1.1E-4</v>
          </cell>
          <cell r="AB91">
            <v>5.4000000000000001E-4</v>
          </cell>
          <cell r="AD91">
            <v>6.0999999999999997E-4</v>
          </cell>
        </row>
      </sheetData>
      <sheetData sheetId="7">
        <row r="2">
          <cell r="A2" t="str">
            <v>Sistema Integrado LUCAS</v>
          </cell>
          <cell r="O2" t="str">
            <v>Fecha Imp 2021.10.20</v>
          </cell>
        </row>
        <row r="4">
          <cell r="A4" t="str">
            <v xml:space="preserve">GRAFIMPAC 2014                                                                                      </v>
          </cell>
        </row>
        <row r="5">
          <cell r="A5" t="str">
            <v xml:space="preserve">Estado Financiero </v>
          </cell>
        </row>
        <row r="6">
          <cell r="A6" t="str">
            <v>Estado de Resultado Integral</v>
          </cell>
        </row>
        <row r="7">
          <cell r="D7" t="str">
            <v>Desde  el     1 de Enero de 2021</v>
          </cell>
          <cell r="P7">
            <v>28603741.75</v>
          </cell>
          <cell r="Q7">
            <v>30665190.09</v>
          </cell>
        </row>
        <row r="8">
          <cell r="A8" t="str">
            <v>Al   31 de Octubre de 2021</v>
          </cell>
          <cell r="P8">
            <v>9076741.75</v>
          </cell>
        </row>
        <row r="10">
          <cell r="A10" t="str">
            <v>Cuenta Contable</v>
          </cell>
          <cell r="B10" t="str">
            <v>Nombre de la Cuenta</v>
          </cell>
          <cell r="C10" t="str">
            <v>Saldo Anterior</v>
          </cell>
          <cell r="D10" t="str">
            <v>Enero</v>
          </cell>
          <cell r="E10" t="str">
            <v>Febrero</v>
          </cell>
          <cell r="F10" t="str">
            <v>Marzo</v>
          </cell>
          <cell r="G10" t="str">
            <v>Abril</v>
          </cell>
          <cell r="H10" t="str">
            <v>Mayo</v>
          </cell>
          <cell r="I10" t="str">
            <v>Junio</v>
          </cell>
          <cell r="J10" t="str">
            <v>Julio</v>
          </cell>
          <cell r="K10" t="str">
            <v>Agosto</v>
          </cell>
          <cell r="L10" t="str">
            <v>Septiembre</v>
          </cell>
          <cell r="M10" t="str">
            <v>Octubre</v>
          </cell>
          <cell r="N10" t="str">
            <v>Noviembre</v>
          </cell>
          <cell r="O10" t="str">
            <v>Diciembre</v>
          </cell>
          <cell r="P10" t="str">
            <v>Saldo Actual</v>
          </cell>
        </row>
        <row r="11">
          <cell r="A11">
            <v>4</v>
          </cell>
          <cell r="B11" t="str">
            <v xml:space="preserve">INGRESOS                                                              </v>
          </cell>
          <cell r="C11">
            <v>0</v>
          </cell>
          <cell r="D11">
            <v>1731896.51</v>
          </cell>
          <cell r="E11">
            <v>1728600.28</v>
          </cell>
          <cell r="F11">
            <v>1823247.97</v>
          </cell>
          <cell r="G11">
            <v>1972013.08</v>
          </cell>
          <cell r="H11">
            <v>1766649.98</v>
          </cell>
          <cell r="I11">
            <v>2040210.33</v>
          </cell>
          <cell r="J11">
            <v>2661875.9900000002</v>
          </cell>
          <cell r="K11">
            <v>3094406.67</v>
          </cell>
          <cell r="L11">
            <v>3137547.78</v>
          </cell>
          <cell r="M11">
            <v>4110045.24</v>
          </cell>
          <cell r="N11">
            <v>4467778.2</v>
          </cell>
          <cell r="O11">
            <v>2170396.6800000002</v>
          </cell>
          <cell r="P11">
            <v>30704668.710000001</v>
          </cell>
          <cell r="Q11">
            <v>2109409.8100000024</v>
          </cell>
        </row>
        <row r="12">
          <cell r="A12">
            <v>41</v>
          </cell>
          <cell r="B12" t="str">
            <v xml:space="preserve">INGRESOS OPERACIONALES                                                </v>
          </cell>
          <cell r="C12">
            <v>0</v>
          </cell>
          <cell r="D12">
            <v>1731813.17</v>
          </cell>
          <cell r="E12">
            <v>1728600.28</v>
          </cell>
          <cell r="F12">
            <v>1821870.2</v>
          </cell>
          <cell r="G12">
            <v>1970274.19</v>
          </cell>
          <cell r="H12">
            <v>1765958.31</v>
          </cell>
          <cell r="I12">
            <v>2039018.06</v>
          </cell>
          <cell r="J12">
            <v>2661148.5099999998</v>
          </cell>
          <cell r="K12">
            <v>3083349.01</v>
          </cell>
          <cell r="L12">
            <v>3136741.59</v>
          </cell>
          <cell r="M12">
            <v>4107279.47</v>
          </cell>
          <cell r="N12">
            <v>4460875</v>
          </cell>
          <cell r="O12">
            <v>2158367.66</v>
          </cell>
          <cell r="P12">
            <v>30665295.449999999</v>
          </cell>
        </row>
        <row r="13">
          <cell r="A13">
            <v>4101</v>
          </cell>
          <cell r="B13" t="str">
            <v xml:space="preserve">INGRESO POR VENTAS DE BIENES Y SERVICIOS                              </v>
          </cell>
          <cell r="C13">
            <v>0</v>
          </cell>
          <cell r="D13">
            <v>1731813.17</v>
          </cell>
          <cell r="E13">
            <v>1728600.28</v>
          </cell>
          <cell r="F13">
            <v>1821870.2</v>
          </cell>
          <cell r="G13">
            <v>1970274.19</v>
          </cell>
          <cell r="H13">
            <v>1765958.31</v>
          </cell>
          <cell r="I13">
            <v>2039018.06</v>
          </cell>
          <cell r="J13">
            <v>2661148.5099999998</v>
          </cell>
          <cell r="K13">
            <v>3083349.01</v>
          </cell>
          <cell r="L13">
            <v>3136741.59</v>
          </cell>
          <cell r="M13">
            <v>4107279.47</v>
          </cell>
          <cell r="N13">
            <v>4460875</v>
          </cell>
          <cell r="O13">
            <v>2158367.66</v>
          </cell>
          <cell r="P13">
            <v>30665295.449999999</v>
          </cell>
        </row>
        <row r="14">
          <cell r="A14">
            <v>410101</v>
          </cell>
          <cell r="B14" t="str">
            <v xml:space="preserve">VENTAS DE BIENES                                                      </v>
          </cell>
          <cell r="C14">
            <v>0</v>
          </cell>
          <cell r="D14">
            <v>1731784.6</v>
          </cell>
          <cell r="E14">
            <v>1728600.28</v>
          </cell>
          <cell r="F14">
            <v>1821870.2</v>
          </cell>
          <cell r="G14">
            <v>1970274.19</v>
          </cell>
          <cell r="H14">
            <v>1765958.31</v>
          </cell>
          <cell r="I14">
            <v>2039018.06</v>
          </cell>
          <cell r="J14">
            <v>2661148.5099999998</v>
          </cell>
          <cell r="K14">
            <v>3083349.01</v>
          </cell>
          <cell r="L14">
            <v>3136741.59</v>
          </cell>
          <cell r="M14">
            <v>4107279.47</v>
          </cell>
          <cell r="N14">
            <v>4460875</v>
          </cell>
          <cell r="O14">
            <v>2158367.66</v>
          </cell>
          <cell r="P14">
            <v>30665266.879999999</v>
          </cell>
        </row>
        <row r="15">
          <cell r="A15">
            <v>41010101</v>
          </cell>
          <cell r="B15" t="str">
            <v xml:space="preserve">VENTA DE BIENES LOCALES                                               </v>
          </cell>
          <cell r="C15">
            <v>0</v>
          </cell>
          <cell r="D15">
            <v>1584010.88</v>
          </cell>
          <cell r="E15">
            <v>1572345.77</v>
          </cell>
          <cell r="F15">
            <v>1656503.83</v>
          </cell>
          <cell r="G15">
            <v>1657149.61</v>
          </cell>
          <cell r="H15">
            <v>1535709.25</v>
          </cell>
          <cell r="I15">
            <v>1901903.46</v>
          </cell>
          <cell r="J15">
            <v>2352868.67</v>
          </cell>
          <cell r="K15">
            <v>2947076.43</v>
          </cell>
          <cell r="L15">
            <v>2975652.83</v>
          </cell>
          <cell r="M15">
            <v>3876833.2799999998</v>
          </cell>
          <cell r="N15">
            <v>4054959.64</v>
          </cell>
          <cell r="O15">
            <v>1956122.13</v>
          </cell>
          <cell r="P15">
            <v>28071135.780000001</v>
          </cell>
        </row>
        <row r="16">
          <cell r="A16">
            <v>410101010001</v>
          </cell>
          <cell r="B16" t="str">
            <v xml:space="preserve">Venta Etiquetas                                                       </v>
          </cell>
          <cell r="C16">
            <v>0</v>
          </cell>
          <cell r="D16">
            <v>51807.82</v>
          </cell>
          <cell r="E16">
            <v>36981.360000000001</v>
          </cell>
          <cell r="F16">
            <v>54709.93</v>
          </cell>
          <cell r="G16">
            <v>59321.89</v>
          </cell>
          <cell r="H16">
            <v>41033.160000000003</v>
          </cell>
          <cell r="I16">
            <v>28140.26</v>
          </cell>
          <cell r="J16">
            <v>41104.269999999997</v>
          </cell>
          <cell r="K16">
            <v>51077.75</v>
          </cell>
          <cell r="L16">
            <v>40953.370000000003</v>
          </cell>
          <cell r="M16">
            <v>25346.6</v>
          </cell>
          <cell r="N16">
            <v>31293.72</v>
          </cell>
          <cell r="O16">
            <v>24618.11</v>
          </cell>
          <cell r="P16">
            <v>486388.24</v>
          </cell>
        </row>
        <row r="17">
          <cell r="A17">
            <v>410101010002</v>
          </cell>
          <cell r="B17" t="str">
            <v xml:space="preserve">Venta Cajas                                                           </v>
          </cell>
          <cell r="C17">
            <v>0</v>
          </cell>
          <cell r="D17">
            <v>117773.67</v>
          </cell>
          <cell r="E17">
            <v>148993.06</v>
          </cell>
          <cell r="F17">
            <v>208406.28</v>
          </cell>
          <cell r="G17">
            <v>152407.92000000001</v>
          </cell>
          <cell r="H17">
            <v>152362.79999999999</v>
          </cell>
          <cell r="I17">
            <v>197343.3</v>
          </cell>
          <cell r="J17">
            <v>146668.28</v>
          </cell>
          <cell r="K17">
            <v>161745.68</v>
          </cell>
          <cell r="L17">
            <v>135961.18</v>
          </cell>
          <cell r="M17">
            <v>185028.37</v>
          </cell>
          <cell r="N17">
            <v>285149.95</v>
          </cell>
          <cell r="O17">
            <v>217239.55</v>
          </cell>
          <cell r="P17">
            <v>2109080.04</v>
          </cell>
        </row>
        <row r="18">
          <cell r="A18">
            <v>410101010003</v>
          </cell>
          <cell r="B18" t="str">
            <v xml:space="preserve">Venta Material POP                                                    </v>
          </cell>
          <cell r="C18">
            <v>0</v>
          </cell>
          <cell r="D18">
            <v>2442.75</v>
          </cell>
          <cell r="E18">
            <v>22089.55</v>
          </cell>
          <cell r="F18">
            <v>2050</v>
          </cell>
          <cell r="G18">
            <v>0</v>
          </cell>
          <cell r="H18">
            <v>10174</v>
          </cell>
          <cell r="I18">
            <v>11092.6</v>
          </cell>
          <cell r="J18">
            <v>13662.25</v>
          </cell>
          <cell r="K18">
            <v>4180</v>
          </cell>
          <cell r="L18">
            <v>651</v>
          </cell>
          <cell r="M18">
            <v>20939.599999999999</v>
          </cell>
          <cell r="N18">
            <v>3624</v>
          </cell>
          <cell r="O18">
            <v>16743.560000000001</v>
          </cell>
          <cell r="P18">
            <v>107649.31</v>
          </cell>
        </row>
        <row r="19">
          <cell r="A19">
            <v>410101010004</v>
          </cell>
          <cell r="B19" t="str">
            <v xml:space="preserve">Venta Papeleria                                                       </v>
          </cell>
          <cell r="C19">
            <v>0</v>
          </cell>
          <cell r="D19">
            <v>3554.92</v>
          </cell>
          <cell r="E19">
            <v>1784.54</v>
          </cell>
          <cell r="F19">
            <v>0</v>
          </cell>
          <cell r="G19">
            <v>3097.38</v>
          </cell>
          <cell r="H19">
            <v>3086.37</v>
          </cell>
          <cell r="I19">
            <v>3065.41</v>
          </cell>
          <cell r="J19">
            <v>1718.39</v>
          </cell>
          <cell r="K19">
            <v>4987.45</v>
          </cell>
          <cell r="L19">
            <v>1370</v>
          </cell>
          <cell r="M19">
            <v>6198.87</v>
          </cell>
          <cell r="N19">
            <v>2642.1</v>
          </cell>
          <cell r="O19">
            <v>3357</v>
          </cell>
          <cell r="P19">
            <v>34862.43</v>
          </cell>
        </row>
        <row r="20">
          <cell r="A20">
            <v>410101010005</v>
          </cell>
          <cell r="B20" t="str">
            <v xml:space="preserve">Venta Folletos                                                        </v>
          </cell>
          <cell r="C20">
            <v>0</v>
          </cell>
          <cell r="D20">
            <v>15377.77</v>
          </cell>
          <cell r="E20">
            <v>5062.71</v>
          </cell>
          <cell r="F20">
            <v>4229.55</v>
          </cell>
          <cell r="G20">
            <v>10835.91</v>
          </cell>
          <cell r="H20">
            <v>3501.52</v>
          </cell>
          <cell r="I20">
            <v>7166.19</v>
          </cell>
          <cell r="J20">
            <v>5941.45</v>
          </cell>
          <cell r="K20">
            <v>1469.4</v>
          </cell>
          <cell r="L20">
            <v>5652.86</v>
          </cell>
          <cell r="M20">
            <v>825.5</v>
          </cell>
          <cell r="N20">
            <v>1946.13</v>
          </cell>
          <cell r="O20">
            <v>1300.5999999999999</v>
          </cell>
          <cell r="P20">
            <v>63309.59</v>
          </cell>
        </row>
        <row r="21">
          <cell r="A21">
            <v>410101010008</v>
          </cell>
          <cell r="B21" t="str">
            <v xml:space="preserve">Venta Agendas                                                         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2920</v>
          </cell>
          <cell r="P21">
            <v>2920</v>
          </cell>
        </row>
        <row r="22">
          <cell r="A22">
            <v>410101010009</v>
          </cell>
          <cell r="B22" t="str">
            <v xml:space="preserve">Venta Cajas Camaron                                                   </v>
          </cell>
          <cell r="C22">
            <v>0</v>
          </cell>
          <cell r="D22">
            <v>909673.6</v>
          </cell>
          <cell r="E22">
            <v>1114126.7</v>
          </cell>
          <cell r="F22">
            <v>1219704.58</v>
          </cell>
          <cell r="G22">
            <v>1119870.48</v>
          </cell>
          <cell r="H22">
            <v>1043697.62</v>
          </cell>
          <cell r="I22">
            <v>1539536.42</v>
          </cell>
          <cell r="J22">
            <v>1952215.61</v>
          </cell>
          <cell r="K22">
            <v>2480458.2799999998</v>
          </cell>
          <cell r="L22">
            <v>2582070.92</v>
          </cell>
          <cell r="M22">
            <v>3469715.62</v>
          </cell>
          <cell r="N22">
            <v>3460301.13</v>
          </cell>
          <cell r="O22">
            <v>1495846.78</v>
          </cell>
          <cell r="P22">
            <v>22387217.739999998</v>
          </cell>
        </row>
        <row r="23">
          <cell r="A23">
            <v>410101010012</v>
          </cell>
          <cell r="B23" t="str">
            <v xml:space="preserve">Ventas Corrugado                                                      </v>
          </cell>
          <cell r="C23">
            <v>0</v>
          </cell>
          <cell r="D23">
            <v>185711.7</v>
          </cell>
          <cell r="E23">
            <v>60209.1</v>
          </cell>
          <cell r="F23">
            <v>150392.72</v>
          </cell>
          <cell r="G23">
            <v>127661.68</v>
          </cell>
          <cell r="H23">
            <v>161602.5</v>
          </cell>
          <cell r="I23">
            <v>72047.600000000006</v>
          </cell>
          <cell r="J23">
            <v>8929.02</v>
          </cell>
          <cell r="K23">
            <v>77561.89</v>
          </cell>
          <cell r="L23">
            <v>99461.8</v>
          </cell>
          <cell r="M23">
            <v>99564.92</v>
          </cell>
          <cell r="N23">
            <v>26790.2</v>
          </cell>
          <cell r="O23">
            <v>75659.399999999994</v>
          </cell>
          <cell r="P23">
            <v>1145592.53</v>
          </cell>
        </row>
        <row r="24">
          <cell r="A24">
            <v>410101010013</v>
          </cell>
          <cell r="B24" t="str">
            <v xml:space="preserve">Venta Mat. Prima, Empaq, Suministros                                  </v>
          </cell>
          <cell r="C24">
            <v>0</v>
          </cell>
          <cell r="D24">
            <v>3240</v>
          </cell>
          <cell r="E24">
            <v>0</v>
          </cell>
          <cell r="F24">
            <v>470</v>
          </cell>
          <cell r="G24">
            <v>0</v>
          </cell>
          <cell r="H24">
            <v>10436.4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6324</v>
          </cell>
          <cell r="O24">
            <v>0</v>
          </cell>
          <cell r="P24">
            <v>20470.400000000001</v>
          </cell>
        </row>
        <row r="25">
          <cell r="A25">
            <v>410101010014</v>
          </cell>
          <cell r="B25" t="str">
            <v xml:space="preserve">Venta Cajas de Segunda                                                </v>
          </cell>
          <cell r="C25">
            <v>0</v>
          </cell>
          <cell r="D25">
            <v>1902</v>
          </cell>
          <cell r="E25">
            <v>3781.5</v>
          </cell>
          <cell r="F25">
            <v>3187.27</v>
          </cell>
          <cell r="G25">
            <v>0</v>
          </cell>
          <cell r="H25">
            <v>3640.08</v>
          </cell>
          <cell r="I25">
            <v>16205.58</v>
          </cell>
          <cell r="J25">
            <v>15188.1</v>
          </cell>
          <cell r="K25">
            <v>3781.56</v>
          </cell>
          <cell r="L25">
            <v>0</v>
          </cell>
          <cell r="M25">
            <v>0</v>
          </cell>
          <cell r="N25">
            <v>13349.7</v>
          </cell>
          <cell r="O25">
            <v>2059.1999999999998</v>
          </cell>
          <cell r="P25">
            <v>63094.99</v>
          </cell>
        </row>
        <row r="26">
          <cell r="A26">
            <v>410101010031</v>
          </cell>
          <cell r="B26" t="str">
            <v xml:space="preserve">Venta Congelados Canastillas                                          </v>
          </cell>
          <cell r="C26">
            <v>0</v>
          </cell>
          <cell r="D26">
            <v>254772.2</v>
          </cell>
          <cell r="E26">
            <v>141446</v>
          </cell>
          <cell r="F26">
            <v>7021</v>
          </cell>
          <cell r="G26">
            <v>164623.45000000001</v>
          </cell>
          <cell r="H26">
            <v>83315.3</v>
          </cell>
          <cell r="I26">
            <v>11330.6</v>
          </cell>
          <cell r="J26">
            <v>143399.29999999999</v>
          </cell>
          <cell r="K26">
            <v>138113.38</v>
          </cell>
          <cell r="L26">
            <v>82977</v>
          </cell>
          <cell r="M26">
            <v>30576</v>
          </cell>
          <cell r="N26">
            <v>184696.8</v>
          </cell>
          <cell r="O26">
            <v>95474.13</v>
          </cell>
          <cell r="P26">
            <v>1337745.1599999999</v>
          </cell>
        </row>
        <row r="27">
          <cell r="A27">
            <v>410101010032</v>
          </cell>
          <cell r="B27" t="str">
            <v xml:space="preserve">Venta Congelados Otros                                                </v>
          </cell>
          <cell r="C27">
            <v>0</v>
          </cell>
          <cell r="D27">
            <v>37754.449999999997</v>
          </cell>
          <cell r="E27">
            <v>37871.25</v>
          </cell>
          <cell r="F27">
            <v>6332.5</v>
          </cell>
          <cell r="G27">
            <v>19330.900000000001</v>
          </cell>
          <cell r="H27">
            <v>22859.5</v>
          </cell>
          <cell r="I27">
            <v>15975.5</v>
          </cell>
          <cell r="J27">
            <v>24042</v>
          </cell>
          <cell r="K27">
            <v>23701.040000000001</v>
          </cell>
          <cell r="L27">
            <v>26554.7</v>
          </cell>
          <cell r="M27">
            <v>38637.800000000003</v>
          </cell>
          <cell r="N27">
            <v>38841.910000000003</v>
          </cell>
          <cell r="O27">
            <v>20903.8</v>
          </cell>
          <cell r="P27">
            <v>312805.34999999998</v>
          </cell>
        </row>
        <row r="28">
          <cell r="A28">
            <v>41010103</v>
          </cell>
          <cell r="B28" t="str">
            <v xml:space="preserve">EXPORTACIONES                                                         </v>
          </cell>
          <cell r="C28">
            <v>0</v>
          </cell>
          <cell r="D28">
            <v>147773.72</v>
          </cell>
          <cell r="E28">
            <v>156254.51</v>
          </cell>
          <cell r="F28">
            <v>165366.37</v>
          </cell>
          <cell r="G28">
            <v>313124.58</v>
          </cell>
          <cell r="H28">
            <v>230249.06</v>
          </cell>
          <cell r="I28">
            <v>137114.6</v>
          </cell>
          <cell r="J28">
            <v>293279.84000000003</v>
          </cell>
          <cell r="K28">
            <v>136272.57999999999</v>
          </cell>
          <cell r="L28">
            <v>161088.76</v>
          </cell>
          <cell r="M28">
            <v>230446.19</v>
          </cell>
          <cell r="N28">
            <v>405915.36</v>
          </cell>
          <cell r="O28">
            <v>202245.53</v>
          </cell>
          <cell r="P28">
            <v>2579131.1</v>
          </cell>
        </row>
        <row r="29">
          <cell r="A29">
            <v>410101030010</v>
          </cell>
          <cell r="B29" t="str">
            <v xml:space="preserve">Venta Caja de Camaron Exportacion                                     </v>
          </cell>
          <cell r="C29">
            <v>0</v>
          </cell>
          <cell r="D29">
            <v>147773.51999999999</v>
          </cell>
          <cell r="E29">
            <v>155452.03</v>
          </cell>
          <cell r="F29">
            <v>108327.41</v>
          </cell>
          <cell r="G29">
            <v>182392.43</v>
          </cell>
          <cell r="H29">
            <v>166337.46</v>
          </cell>
          <cell r="I29">
            <v>98427.36</v>
          </cell>
          <cell r="J29">
            <v>108012.73</v>
          </cell>
          <cell r="K29">
            <v>135394.18</v>
          </cell>
          <cell r="L29">
            <v>161088.76</v>
          </cell>
          <cell r="M29">
            <v>229560.19</v>
          </cell>
          <cell r="N29">
            <v>405915.36</v>
          </cell>
          <cell r="O29">
            <v>202245.53</v>
          </cell>
          <cell r="P29">
            <v>2100926.96</v>
          </cell>
        </row>
        <row r="30">
          <cell r="A30">
            <v>410101030031</v>
          </cell>
          <cell r="B30" t="str">
            <v xml:space="preserve">Venta Prod. de Terceros Exportación                                   </v>
          </cell>
          <cell r="C30">
            <v>0</v>
          </cell>
          <cell r="D30">
            <v>0.2</v>
          </cell>
          <cell r="E30">
            <v>0</v>
          </cell>
          <cell r="F30">
            <v>56133</v>
          </cell>
          <cell r="G30">
            <v>130732.15</v>
          </cell>
          <cell r="H30">
            <v>37422</v>
          </cell>
          <cell r="I30">
            <v>37800</v>
          </cell>
          <cell r="J30">
            <v>152354.07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414441.42</v>
          </cell>
        </row>
        <row r="31">
          <cell r="A31">
            <v>410101030032</v>
          </cell>
          <cell r="B31" t="str">
            <v xml:space="preserve">Venta Fletes y Otros Servicios de Exportacion                         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26489.599999999999</v>
          </cell>
          <cell r="I31">
            <v>0</v>
          </cell>
          <cell r="J31">
            <v>32060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58549.599999999999</v>
          </cell>
        </row>
        <row r="32">
          <cell r="A32">
            <v>410101030033</v>
          </cell>
          <cell r="B32" t="str">
            <v xml:space="preserve">Venta Export de Productos Reciclaje                                   </v>
          </cell>
          <cell r="C32">
            <v>0</v>
          </cell>
          <cell r="D32">
            <v>0</v>
          </cell>
          <cell r="E32">
            <v>802.48</v>
          </cell>
          <cell r="F32">
            <v>905.96</v>
          </cell>
          <cell r="G32">
            <v>0</v>
          </cell>
          <cell r="H32">
            <v>0</v>
          </cell>
          <cell r="I32">
            <v>887.24</v>
          </cell>
          <cell r="J32">
            <v>853.04</v>
          </cell>
          <cell r="K32">
            <v>878.4</v>
          </cell>
          <cell r="L32">
            <v>0</v>
          </cell>
          <cell r="M32">
            <v>886</v>
          </cell>
          <cell r="N32">
            <v>0</v>
          </cell>
          <cell r="O32">
            <v>0</v>
          </cell>
          <cell r="P32">
            <v>5213.12</v>
          </cell>
        </row>
        <row r="33">
          <cell r="A33">
            <v>41010105</v>
          </cell>
          <cell r="B33" t="str">
            <v xml:space="preserve">VENTA DE ACTIVO FIJO                                                  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15000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15000</v>
          </cell>
        </row>
        <row r="34">
          <cell r="A34">
            <v>410101050001</v>
          </cell>
          <cell r="B34" t="str">
            <v xml:space="preserve">Ventas de activos fijos                                               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15000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15000</v>
          </cell>
        </row>
        <row r="35">
          <cell r="A35">
            <v>410102</v>
          </cell>
          <cell r="B35" t="str">
            <v xml:space="preserve">VENTAS DE SERVICIO                                                    </v>
          </cell>
          <cell r="C35">
            <v>0</v>
          </cell>
          <cell r="D35">
            <v>28.57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28.57</v>
          </cell>
        </row>
        <row r="36">
          <cell r="A36">
            <v>41010201</v>
          </cell>
          <cell r="B36" t="str">
            <v xml:space="preserve">VENTAS DE SERVICIOS                                                   </v>
          </cell>
          <cell r="C36">
            <v>0</v>
          </cell>
          <cell r="D36">
            <v>28.57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28.57</v>
          </cell>
        </row>
        <row r="37">
          <cell r="A37">
            <v>410102010003</v>
          </cell>
          <cell r="B37" t="str">
            <v xml:space="preserve">Venta por Reembolso de Gastos                                         </v>
          </cell>
          <cell r="C37">
            <v>0</v>
          </cell>
          <cell r="D37">
            <v>28.57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28.57</v>
          </cell>
        </row>
        <row r="38">
          <cell r="A38">
            <v>42</v>
          </cell>
          <cell r="B38" t="str">
            <v xml:space="preserve">INGRESOS FINANCIERO                                                   </v>
          </cell>
          <cell r="C38">
            <v>0</v>
          </cell>
          <cell r="D38">
            <v>83.34</v>
          </cell>
          <cell r="E38">
            <v>0</v>
          </cell>
          <cell r="F38">
            <v>1377.77</v>
          </cell>
          <cell r="G38">
            <v>1738.89</v>
          </cell>
          <cell r="H38">
            <v>691.67</v>
          </cell>
          <cell r="I38">
            <v>1192.27</v>
          </cell>
          <cell r="J38">
            <v>727.48</v>
          </cell>
          <cell r="K38">
            <v>11057.66</v>
          </cell>
          <cell r="L38">
            <v>806.19</v>
          </cell>
          <cell r="M38">
            <v>2765.77</v>
          </cell>
          <cell r="N38">
            <v>6903.2</v>
          </cell>
          <cell r="O38">
            <v>12029.02</v>
          </cell>
          <cell r="P38">
            <v>39373.26</v>
          </cell>
        </row>
        <row r="39">
          <cell r="A39">
            <v>4201</v>
          </cell>
          <cell r="B39" t="str">
            <v xml:space="preserve">INGRESOS FINANCIERO                                                   </v>
          </cell>
          <cell r="C39">
            <v>0</v>
          </cell>
          <cell r="D39">
            <v>83.34</v>
          </cell>
          <cell r="E39">
            <v>0</v>
          </cell>
          <cell r="F39">
            <v>1377.77</v>
          </cell>
          <cell r="G39">
            <v>1738.89</v>
          </cell>
          <cell r="H39">
            <v>691.67</v>
          </cell>
          <cell r="I39">
            <v>1192.27</v>
          </cell>
          <cell r="J39">
            <v>727.48</v>
          </cell>
          <cell r="K39">
            <v>11057.66</v>
          </cell>
          <cell r="L39">
            <v>806.19</v>
          </cell>
          <cell r="M39">
            <v>2765.77</v>
          </cell>
          <cell r="N39">
            <v>6903.2</v>
          </cell>
          <cell r="O39">
            <v>12029.02</v>
          </cell>
          <cell r="P39">
            <v>39373.26</v>
          </cell>
          <cell r="Q39">
            <v>1731813.17</v>
          </cell>
          <cell r="R39">
            <v>1728600.28</v>
          </cell>
          <cell r="S39">
            <v>1821870.2</v>
          </cell>
          <cell r="T39">
            <v>1970274.1900000002</v>
          </cell>
          <cell r="U39">
            <v>1765958.31</v>
          </cell>
        </row>
        <row r="40">
          <cell r="A40">
            <v>420101</v>
          </cell>
          <cell r="B40" t="str">
            <v xml:space="preserve">INGRESOS FINANCIEROS                                                  </v>
          </cell>
          <cell r="C40">
            <v>0</v>
          </cell>
          <cell r="D40">
            <v>83.34</v>
          </cell>
          <cell r="E40">
            <v>0</v>
          </cell>
          <cell r="F40">
            <v>1377.77</v>
          </cell>
          <cell r="G40">
            <v>1738.89</v>
          </cell>
          <cell r="H40">
            <v>691.67</v>
          </cell>
          <cell r="I40">
            <v>1192.27</v>
          </cell>
          <cell r="J40">
            <v>727.48</v>
          </cell>
          <cell r="K40">
            <v>11057.66</v>
          </cell>
          <cell r="L40">
            <v>806.19</v>
          </cell>
          <cell r="M40">
            <v>2765.77</v>
          </cell>
          <cell r="N40">
            <v>6903.2</v>
          </cell>
          <cell r="O40">
            <v>12029.02</v>
          </cell>
          <cell r="P40">
            <v>39373.26</v>
          </cell>
        </row>
        <row r="41">
          <cell r="A41">
            <v>42010101</v>
          </cell>
          <cell r="B41" t="str">
            <v xml:space="preserve">INGRESOS FINANCIEROS Y OTROS                                          </v>
          </cell>
          <cell r="C41">
            <v>0</v>
          </cell>
          <cell r="D41">
            <v>83.34</v>
          </cell>
          <cell r="E41">
            <v>0</v>
          </cell>
          <cell r="F41">
            <v>1377.77</v>
          </cell>
          <cell r="G41">
            <v>1738.89</v>
          </cell>
          <cell r="H41">
            <v>691.67</v>
          </cell>
          <cell r="I41">
            <v>1192.27</v>
          </cell>
          <cell r="J41">
            <v>727.48</v>
          </cell>
          <cell r="K41">
            <v>11057.66</v>
          </cell>
          <cell r="L41">
            <v>806.19</v>
          </cell>
          <cell r="M41">
            <v>2765.77</v>
          </cell>
          <cell r="N41">
            <v>6903.2</v>
          </cell>
          <cell r="O41">
            <v>12029.02</v>
          </cell>
          <cell r="P41">
            <v>39373.26</v>
          </cell>
          <cell r="S41">
            <v>162167.95999999996</v>
          </cell>
        </row>
        <row r="42">
          <cell r="A42">
            <v>420101010001</v>
          </cell>
          <cell r="B42" t="str">
            <v xml:space="preserve">Ingresos Financieros                                                  </v>
          </cell>
          <cell r="C42">
            <v>0</v>
          </cell>
          <cell r="D42">
            <v>83.34</v>
          </cell>
          <cell r="E42">
            <v>0</v>
          </cell>
          <cell r="F42">
            <v>1377.77</v>
          </cell>
          <cell r="G42">
            <v>1738.89</v>
          </cell>
          <cell r="H42">
            <v>691.67</v>
          </cell>
          <cell r="I42">
            <v>1192.27</v>
          </cell>
          <cell r="J42">
            <v>727.48</v>
          </cell>
          <cell r="K42">
            <v>11057.66</v>
          </cell>
          <cell r="L42">
            <v>806.19</v>
          </cell>
          <cell r="M42">
            <v>2765.77</v>
          </cell>
          <cell r="N42">
            <v>6903.2</v>
          </cell>
          <cell r="O42">
            <v>12029.02</v>
          </cell>
          <cell r="P42">
            <v>39373.26</v>
          </cell>
          <cell r="Q42">
            <v>28582188.439999998</v>
          </cell>
          <cell r="S42">
            <v>1346758</v>
          </cell>
        </row>
        <row r="43">
          <cell r="A43">
            <v>5</v>
          </cell>
          <cell r="B43" t="str">
            <v xml:space="preserve">COSTOS Y GASTOS                                                       </v>
          </cell>
          <cell r="C43">
            <v>0</v>
          </cell>
          <cell r="D43">
            <v>1416957.64</v>
          </cell>
          <cell r="E43">
            <v>1390810.61</v>
          </cell>
          <cell r="F43">
            <v>1508925.96</v>
          </cell>
          <cell r="G43">
            <v>1752781.25</v>
          </cell>
          <cell r="H43">
            <v>1463905.56</v>
          </cell>
          <cell r="I43">
            <v>1943705.31</v>
          </cell>
          <cell r="J43">
            <v>2440080.61</v>
          </cell>
          <cell r="K43">
            <v>2484535.94</v>
          </cell>
          <cell r="L43">
            <v>2526989.5099999998</v>
          </cell>
          <cell r="M43">
            <v>2575914.12</v>
          </cell>
          <cell r="N43">
            <v>3490253.03</v>
          </cell>
          <cell r="O43">
            <v>5600399.3600000003</v>
          </cell>
          <cell r="P43">
            <v>28595258.899999999</v>
          </cell>
          <cell r="Q43">
            <v>1414863.17</v>
          </cell>
          <cell r="R43">
            <v>1390810.61</v>
          </cell>
          <cell r="S43">
            <v>1508925.96</v>
          </cell>
          <cell r="T43">
            <v>1752781.25</v>
          </cell>
          <cell r="U43">
            <v>1455624.2</v>
          </cell>
          <cell r="V43">
            <v>1943705.31</v>
          </cell>
          <cell r="W43">
            <v>2440080.61</v>
          </cell>
          <cell r="X43">
            <v>2484535.94</v>
          </cell>
          <cell r="Y43">
            <v>2526989.5099999998</v>
          </cell>
        </row>
        <row r="44">
          <cell r="A44">
            <v>51</v>
          </cell>
          <cell r="B44" t="str">
            <v xml:space="preserve">COSTOS DE VENTA Y PRODUCCIÓN                                          </v>
          </cell>
          <cell r="C44">
            <v>0</v>
          </cell>
          <cell r="D44">
            <v>1277881.2</v>
          </cell>
          <cell r="E44">
            <v>1269228.47</v>
          </cell>
          <cell r="F44">
            <v>1346727.93</v>
          </cell>
          <cell r="G44">
            <v>1524290</v>
          </cell>
          <cell r="H44">
            <v>1340953.3500000001</v>
          </cell>
          <cell r="I44">
            <v>1701364.69</v>
          </cell>
          <cell r="J44">
            <v>2267837.2799999998</v>
          </cell>
          <cell r="K44">
            <v>2263786.46</v>
          </cell>
          <cell r="L44">
            <v>2354749.7999999998</v>
          </cell>
          <cell r="M44">
            <v>2408604.59</v>
          </cell>
          <cell r="N44">
            <v>2871981.88</v>
          </cell>
          <cell r="O44">
            <v>4569675.2699999996</v>
          </cell>
          <cell r="P44">
            <v>25197080.920000002</v>
          </cell>
          <cell r="Q44">
            <v>-13477136.83</v>
          </cell>
        </row>
        <row r="45">
          <cell r="A45">
            <v>5101</v>
          </cell>
          <cell r="B45" t="str">
            <v xml:space="preserve">COSTO DE VENTA                                                        </v>
          </cell>
          <cell r="C45">
            <v>0</v>
          </cell>
          <cell r="D45">
            <v>1278026.3899999999</v>
          </cell>
          <cell r="E45">
            <v>1269421.74</v>
          </cell>
          <cell r="F45">
            <v>1346696.75</v>
          </cell>
          <cell r="G45">
            <v>1524953.43</v>
          </cell>
          <cell r="H45">
            <v>1326490.6599999999</v>
          </cell>
          <cell r="I45">
            <v>1683757.76</v>
          </cell>
          <cell r="J45">
            <v>2248324.9900000002</v>
          </cell>
          <cell r="K45">
            <v>2253540.7400000002</v>
          </cell>
          <cell r="L45">
            <v>2364236.69</v>
          </cell>
          <cell r="M45">
            <v>2400308.41</v>
          </cell>
          <cell r="N45">
            <v>2959224.55</v>
          </cell>
          <cell r="O45">
            <v>4410286.5199999996</v>
          </cell>
          <cell r="P45">
            <v>25065268.629999999</v>
          </cell>
        </row>
        <row r="46">
          <cell r="A46">
            <v>510101</v>
          </cell>
          <cell r="B46" t="str">
            <v xml:space="preserve">COSTO DE VENTA DE PRODUCTOS VENDIDOS                                  </v>
          </cell>
          <cell r="C46">
            <v>0</v>
          </cell>
          <cell r="D46">
            <v>1278026.3899999999</v>
          </cell>
          <cell r="E46">
            <v>1269421.74</v>
          </cell>
          <cell r="F46">
            <v>1346696.75</v>
          </cell>
          <cell r="G46">
            <v>1524953.43</v>
          </cell>
          <cell r="H46">
            <v>1326490.6599999999</v>
          </cell>
          <cell r="I46">
            <v>1683757.76</v>
          </cell>
          <cell r="J46">
            <v>2248324.9900000002</v>
          </cell>
          <cell r="K46">
            <v>2253540.7400000002</v>
          </cell>
          <cell r="L46">
            <v>2364236.69</v>
          </cell>
          <cell r="M46">
            <v>2400308.41</v>
          </cell>
          <cell r="N46">
            <v>2959224.55</v>
          </cell>
          <cell r="O46">
            <v>4410286.5199999996</v>
          </cell>
          <cell r="P46">
            <v>25065268.629999999</v>
          </cell>
        </row>
        <row r="47">
          <cell r="A47">
            <v>51010101</v>
          </cell>
          <cell r="B47" t="str">
            <v xml:space="preserve">COSTO DE VENTA DE PRODUCTOS TERMINADOS                                </v>
          </cell>
          <cell r="C47">
            <v>0</v>
          </cell>
          <cell r="D47">
            <v>1278026.3899999999</v>
          </cell>
          <cell r="E47">
            <v>1269421.74</v>
          </cell>
          <cell r="F47">
            <v>1346696.75</v>
          </cell>
          <cell r="G47">
            <v>1524953.43</v>
          </cell>
          <cell r="H47">
            <v>1326490.6599999999</v>
          </cell>
          <cell r="I47">
            <v>1683757.76</v>
          </cell>
          <cell r="J47">
            <v>2248324.9900000002</v>
          </cell>
          <cell r="K47">
            <v>2253540.7400000002</v>
          </cell>
          <cell r="L47">
            <v>2364236.69</v>
          </cell>
          <cell r="M47">
            <v>2400308.41</v>
          </cell>
          <cell r="N47">
            <v>2959224.55</v>
          </cell>
          <cell r="O47">
            <v>4410286.5199999996</v>
          </cell>
          <cell r="P47">
            <v>25065268.629999999</v>
          </cell>
        </row>
        <row r="48">
          <cell r="A48">
            <v>510101010001</v>
          </cell>
          <cell r="B48" t="str">
            <v xml:space="preserve">Costo de Venta Etiquetas                                              </v>
          </cell>
          <cell r="C48">
            <v>0</v>
          </cell>
          <cell r="D48">
            <v>70209.58</v>
          </cell>
          <cell r="E48">
            <v>41439.370000000003</v>
          </cell>
          <cell r="F48">
            <v>55252.37</v>
          </cell>
          <cell r="G48">
            <v>57464.43</v>
          </cell>
          <cell r="H48">
            <v>27340.080000000002</v>
          </cell>
          <cell r="I48">
            <v>24771.200000000001</v>
          </cell>
          <cell r="J48">
            <v>41333.18</v>
          </cell>
          <cell r="K48">
            <v>44904.36</v>
          </cell>
          <cell r="L48">
            <v>33918.589999999997</v>
          </cell>
          <cell r="M48">
            <v>22430.39</v>
          </cell>
          <cell r="N48">
            <v>23748.22</v>
          </cell>
          <cell r="O48">
            <v>32052.78</v>
          </cell>
          <cell r="P48">
            <v>474864.55</v>
          </cell>
        </row>
        <row r="49">
          <cell r="A49">
            <v>510101010002</v>
          </cell>
          <cell r="B49" t="str">
            <v xml:space="preserve">Costo de Venta Cajas                                                  </v>
          </cell>
          <cell r="C49">
            <v>0</v>
          </cell>
          <cell r="D49">
            <v>134338.49</v>
          </cell>
          <cell r="E49">
            <v>148271.32</v>
          </cell>
          <cell r="F49">
            <v>233043.3</v>
          </cell>
          <cell r="G49">
            <v>142202.74</v>
          </cell>
          <cell r="H49">
            <v>148729.04</v>
          </cell>
          <cell r="I49">
            <v>184017.24</v>
          </cell>
          <cell r="J49">
            <v>131591.06</v>
          </cell>
          <cell r="K49">
            <v>130356.53</v>
          </cell>
          <cell r="L49">
            <v>109435.88</v>
          </cell>
          <cell r="M49">
            <v>157801.76999999999</v>
          </cell>
          <cell r="N49">
            <v>217782.86</v>
          </cell>
          <cell r="O49">
            <v>276428.34000000003</v>
          </cell>
          <cell r="P49">
            <v>2013998.57</v>
          </cell>
        </row>
        <row r="50">
          <cell r="A50">
            <v>510101010003</v>
          </cell>
          <cell r="B50" t="str">
            <v xml:space="preserve">Costo de Venta Material POP                                           </v>
          </cell>
          <cell r="C50">
            <v>0</v>
          </cell>
          <cell r="D50">
            <v>3349.72</v>
          </cell>
          <cell r="E50">
            <v>16472</v>
          </cell>
          <cell r="F50">
            <v>1718.26</v>
          </cell>
          <cell r="G50">
            <v>0</v>
          </cell>
          <cell r="H50">
            <v>7101.16</v>
          </cell>
          <cell r="I50">
            <v>7981.38</v>
          </cell>
          <cell r="J50">
            <v>7029.24</v>
          </cell>
          <cell r="K50">
            <v>2377.2800000000002</v>
          </cell>
          <cell r="L50">
            <v>547.57000000000005</v>
          </cell>
          <cell r="M50">
            <v>12315.17</v>
          </cell>
          <cell r="N50">
            <v>1781.04</v>
          </cell>
          <cell r="O50">
            <v>21800.12</v>
          </cell>
          <cell r="P50">
            <v>82472.94</v>
          </cell>
        </row>
        <row r="51">
          <cell r="A51">
            <v>510101010004</v>
          </cell>
          <cell r="B51" t="str">
            <v xml:space="preserve">Costo Venta Papeleria                                                 </v>
          </cell>
          <cell r="C51">
            <v>0</v>
          </cell>
          <cell r="D51">
            <v>7938.03</v>
          </cell>
          <cell r="E51">
            <v>3199.52</v>
          </cell>
          <cell r="F51">
            <v>0</v>
          </cell>
          <cell r="G51">
            <v>5572.6</v>
          </cell>
          <cell r="H51">
            <v>2423.5500000000002</v>
          </cell>
          <cell r="I51">
            <v>2788.73</v>
          </cell>
          <cell r="J51">
            <v>1736.28</v>
          </cell>
          <cell r="K51">
            <v>5680.59</v>
          </cell>
          <cell r="L51">
            <v>2622.06</v>
          </cell>
          <cell r="M51">
            <v>4108.8</v>
          </cell>
          <cell r="N51">
            <v>3462.64</v>
          </cell>
          <cell r="O51">
            <v>4370.8100000000004</v>
          </cell>
          <cell r="P51">
            <v>43903.61</v>
          </cell>
        </row>
        <row r="52">
          <cell r="A52">
            <v>510101010005</v>
          </cell>
          <cell r="B52" t="str">
            <v xml:space="preserve">Costo Venta Folletos                                                  </v>
          </cell>
          <cell r="C52">
            <v>0</v>
          </cell>
          <cell r="D52">
            <v>34118.1</v>
          </cell>
          <cell r="E52">
            <v>8728.58</v>
          </cell>
          <cell r="F52">
            <v>5172.16</v>
          </cell>
          <cell r="G52">
            <v>18441.57</v>
          </cell>
          <cell r="H52">
            <v>3741.21</v>
          </cell>
          <cell r="I52">
            <v>10704.41</v>
          </cell>
          <cell r="J52">
            <v>4717.95</v>
          </cell>
          <cell r="K52">
            <v>1911.46</v>
          </cell>
          <cell r="L52">
            <v>5547.14</v>
          </cell>
          <cell r="M52">
            <v>1969.25</v>
          </cell>
          <cell r="N52">
            <v>3010.28</v>
          </cell>
          <cell r="O52">
            <v>1693.38</v>
          </cell>
          <cell r="P52">
            <v>99755.49</v>
          </cell>
        </row>
        <row r="53">
          <cell r="A53">
            <v>510101010008</v>
          </cell>
          <cell r="B53" t="str">
            <v xml:space="preserve">Costo Venta Agendas                                                   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3801.84</v>
          </cell>
          <cell r="P53">
            <v>3801.84</v>
          </cell>
        </row>
        <row r="54">
          <cell r="A54">
            <v>510101010009</v>
          </cell>
          <cell r="B54" t="str">
            <v xml:space="preserve">Costo Venta Cajas Camarón                                             </v>
          </cell>
          <cell r="C54">
            <v>0</v>
          </cell>
          <cell r="D54">
            <v>639596.99</v>
          </cell>
          <cell r="E54">
            <v>840483.51</v>
          </cell>
          <cell r="F54">
            <v>886136.71</v>
          </cell>
          <cell r="G54">
            <v>838352.98</v>
          </cell>
          <cell r="H54">
            <v>886852.33</v>
          </cell>
          <cell r="I54">
            <v>1263469.47</v>
          </cell>
          <cell r="J54">
            <v>1744892.36</v>
          </cell>
          <cell r="K54">
            <v>1854594.48</v>
          </cell>
          <cell r="L54">
            <v>2002566.45</v>
          </cell>
          <cell r="M54">
            <v>2020140.58</v>
          </cell>
          <cell r="N54">
            <v>2256433.2999999998</v>
          </cell>
          <cell r="O54">
            <v>3549597.25</v>
          </cell>
          <cell r="P54">
            <v>18783116.41</v>
          </cell>
        </row>
        <row r="55">
          <cell r="A55">
            <v>510101010010</v>
          </cell>
          <cell r="B55" t="str">
            <v xml:space="preserve">Costo Venta Cajas Camaron Exportación                                 </v>
          </cell>
          <cell r="C55">
            <v>0</v>
          </cell>
          <cell r="D55">
            <v>100164.8</v>
          </cell>
          <cell r="E55">
            <v>92151.95</v>
          </cell>
          <cell r="F55">
            <v>41688.42</v>
          </cell>
          <cell r="G55">
            <v>151198.39999999999</v>
          </cell>
          <cell r="H55">
            <v>57663.06</v>
          </cell>
          <cell r="I55">
            <v>69830.05</v>
          </cell>
          <cell r="J55">
            <v>66917.740000000005</v>
          </cell>
          <cell r="K55">
            <v>85552.48</v>
          </cell>
          <cell r="L55">
            <v>95316.67</v>
          </cell>
          <cell r="M55">
            <v>119399.65</v>
          </cell>
          <cell r="N55">
            <v>311257.5</v>
          </cell>
          <cell r="O55">
            <v>270509.39</v>
          </cell>
          <cell r="P55">
            <v>1461650.11</v>
          </cell>
        </row>
        <row r="56">
          <cell r="A56">
            <v>510101010012</v>
          </cell>
          <cell r="B56" t="str">
            <v xml:space="preserve">Costo Venta Corrugados                                                </v>
          </cell>
          <cell r="C56">
            <v>0</v>
          </cell>
          <cell r="D56">
            <v>111162.3</v>
          </cell>
          <cell r="E56">
            <v>14543</v>
          </cell>
          <cell r="F56">
            <v>56714.83</v>
          </cell>
          <cell r="G56">
            <v>58205.77</v>
          </cell>
          <cell r="H56">
            <v>67276.56</v>
          </cell>
          <cell r="I56">
            <v>38219.980000000003</v>
          </cell>
          <cell r="J56">
            <v>6419.31</v>
          </cell>
          <cell r="K56">
            <v>47153.91</v>
          </cell>
          <cell r="L56">
            <v>56188.72</v>
          </cell>
          <cell r="M56">
            <v>25080.01</v>
          </cell>
          <cell r="N56">
            <v>12179.52</v>
          </cell>
          <cell r="O56">
            <v>98508.54</v>
          </cell>
          <cell r="P56">
            <v>591652.44999999995</v>
          </cell>
        </row>
        <row r="57">
          <cell r="A57">
            <v>510101010013</v>
          </cell>
          <cell r="B57" t="str">
            <v xml:space="preserve">Costo de Venta Mat. Prima, Empaq, Suministros                         </v>
          </cell>
          <cell r="C57">
            <v>0</v>
          </cell>
          <cell r="D57">
            <v>2094.4699999999998</v>
          </cell>
          <cell r="E57">
            <v>0</v>
          </cell>
          <cell r="F57">
            <v>0</v>
          </cell>
          <cell r="G57">
            <v>0</v>
          </cell>
          <cell r="H57">
            <v>8281.36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-688.6</v>
          </cell>
          <cell r="N57">
            <v>3383.23</v>
          </cell>
          <cell r="O57">
            <v>0</v>
          </cell>
          <cell r="P57">
            <v>13070.46</v>
          </cell>
        </row>
        <row r="58">
          <cell r="A58">
            <v>510101010031</v>
          </cell>
          <cell r="B58" t="str">
            <v xml:space="preserve">Costo de Venta Prod y serv. Terceros  al Exterior                     </v>
          </cell>
          <cell r="C58">
            <v>0</v>
          </cell>
          <cell r="D58">
            <v>26.79</v>
          </cell>
          <cell r="E58">
            <v>0</v>
          </cell>
          <cell r="F58">
            <v>56132.6</v>
          </cell>
          <cell r="G58">
            <v>130760.99</v>
          </cell>
          <cell r="H58">
            <v>34339.42</v>
          </cell>
          <cell r="I58">
            <v>34890.400000000001</v>
          </cell>
          <cell r="J58">
            <v>158291.22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414441.42</v>
          </cell>
        </row>
        <row r="59">
          <cell r="A59">
            <v>510101010032</v>
          </cell>
          <cell r="B59" t="str">
            <v xml:space="preserve">Costo de Venta Congelados Canastilla                                  </v>
          </cell>
          <cell r="C59">
            <v>0</v>
          </cell>
          <cell r="D59">
            <v>150184.68</v>
          </cell>
          <cell r="E59">
            <v>79247.87</v>
          </cell>
          <cell r="F59">
            <v>4355.7700000000004</v>
          </cell>
          <cell r="G59">
            <v>108731.16</v>
          </cell>
          <cell r="H59">
            <v>61685.55</v>
          </cell>
          <cell r="I59">
            <v>7760.8</v>
          </cell>
          <cell r="J59">
            <v>67095.7</v>
          </cell>
          <cell r="K59">
            <v>66998.259999999995</v>
          </cell>
          <cell r="L59">
            <v>42894.52</v>
          </cell>
          <cell r="M59">
            <v>14601.34</v>
          </cell>
          <cell r="N59">
            <v>100054.95</v>
          </cell>
          <cell r="O59">
            <v>124307.32</v>
          </cell>
          <cell r="P59">
            <v>827917.92</v>
          </cell>
        </row>
        <row r="60">
          <cell r="A60">
            <v>510101010033</v>
          </cell>
          <cell r="B60" t="str">
            <v xml:space="preserve">Costo de Venta Fletes y Otros Servicios de Exportacion                </v>
          </cell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26330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26330</v>
          </cell>
        </row>
        <row r="61">
          <cell r="A61">
            <v>510101010034</v>
          </cell>
          <cell r="B61" t="str">
            <v xml:space="preserve">Costo de Venta Congelados Otros                                       </v>
          </cell>
          <cell r="C61">
            <v>0</v>
          </cell>
          <cell r="D61">
            <v>24842.44</v>
          </cell>
          <cell r="E61">
            <v>24884.62</v>
          </cell>
          <cell r="F61">
            <v>6482.33</v>
          </cell>
          <cell r="G61">
            <v>14022.79</v>
          </cell>
          <cell r="H61">
            <v>21057.34</v>
          </cell>
          <cell r="I61">
            <v>12994.1</v>
          </cell>
          <cell r="J61">
            <v>18300.95</v>
          </cell>
          <cell r="K61">
            <v>14011.39</v>
          </cell>
          <cell r="L61">
            <v>15199.09</v>
          </cell>
          <cell r="M61">
            <v>23150.05</v>
          </cell>
          <cell r="N61">
            <v>26131.01</v>
          </cell>
          <cell r="O61">
            <v>27216.75</v>
          </cell>
          <cell r="P61">
            <v>228292.86</v>
          </cell>
        </row>
        <row r="62">
          <cell r="A62">
            <v>5102</v>
          </cell>
          <cell r="B62" t="str">
            <v xml:space="preserve">COSTO DE FABRICACION                                                  </v>
          </cell>
          <cell r="C62">
            <v>0</v>
          </cell>
          <cell r="D62">
            <v>-8</v>
          </cell>
          <cell r="E62">
            <v>-187.08</v>
          </cell>
          <cell r="F62">
            <v>30.54</v>
          </cell>
          <cell r="G62">
            <v>-741.87</v>
          </cell>
          <cell r="H62">
            <v>-1.34</v>
          </cell>
          <cell r="I62">
            <v>17959.02</v>
          </cell>
          <cell r="J62">
            <v>0</v>
          </cell>
          <cell r="K62">
            <v>0.02</v>
          </cell>
          <cell r="L62">
            <v>3997.51</v>
          </cell>
          <cell r="M62">
            <v>23158.76</v>
          </cell>
          <cell r="N62">
            <v>-87083.56</v>
          </cell>
          <cell r="O62">
            <v>51695.89</v>
          </cell>
          <cell r="P62">
            <v>8819.89</v>
          </cell>
        </row>
        <row r="63">
          <cell r="A63">
            <v>510201</v>
          </cell>
          <cell r="B63" t="str">
            <v xml:space="preserve">COSTOS DIRECTOS DE FABRICACION                                        </v>
          </cell>
          <cell r="C63">
            <v>0</v>
          </cell>
          <cell r="D63">
            <v>0</v>
          </cell>
          <cell r="E63">
            <v>0</v>
          </cell>
          <cell r="F63">
            <v>60.54</v>
          </cell>
          <cell r="G63">
            <v>-153.44999999999999</v>
          </cell>
          <cell r="H63">
            <v>0</v>
          </cell>
          <cell r="I63">
            <v>17959.02</v>
          </cell>
          <cell r="J63">
            <v>0</v>
          </cell>
          <cell r="K63">
            <v>0</v>
          </cell>
          <cell r="L63">
            <v>2362.0700000000002</v>
          </cell>
          <cell r="M63">
            <v>16943.28</v>
          </cell>
          <cell r="N63">
            <v>-37171.46</v>
          </cell>
          <cell r="O63">
            <v>0.02</v>
          </cell>
          <cell r="P63">
            <v>0.02</v>
          </cell>
        </row>
        <row r="64">
          <cell r="A64">
            <v>51020101</v>
          </cell>
          <cell r="B64" t="str">
            <v xml:space="preserve">MANO DE OBRA                                                          </v>
          </cell>
          <cell r="C64">
            <v>0</v>
          </cell>
          <cell r="D64">
            <v>65873.63</v>
          </cell>
          <cell r="E64">
            <v>69822.03</v>
          </cell>
          <cell r="F64">
            <v>73704.36</v>
          </cell>
          <cell r="G64">
            <v>74552.649999999994</v>
          </cell>
          <cell r="H64">
            <v>71662.81</v>
          </cell>
          <cell r="I64">
            <v>70955.5</v>
          </cell>
          <cell r="J64">
            <v>76786.64</v>
          </cell>
          <cell r="K64">
            <v>77719.41</v>
          </cell>
          <cell r="L64">
            <v>71424.929999999993</v>
          </cell>
          <cell r="M64">
            <v>79478.87</v>
          </cell>
          <cell r="N64">
            <v>78326.960000000006</v>
          </cell>
          <cell r="O64">
            <v>70090.5</v>
          </cell>
          <cell r="P64">
            <v>880398.29</v>
          </cell>
        </row>
        <row r="65">
          <cell r="A65">
            <v>510201010001</v>
          </cell>
          <cell r="B65" t="str">
            <v xml:space="preserve">Sueldos                                                               </v>
          </cell>
          <cell r="C65">
            <v>0</v>
          </cell>
          <cell r="D65">
            <v>33860</v>
          </cell>
          <cell r="E65">
            <v>33000</v>
          </cell>
          <cell r="F65">
            <v>32620</v>
          </cell>
          <cell r="G65">
            <v>32680</v>
          </cell>
          <cell r="H65">
            <v>33180</v>
          </cell>
          <cell r="I65">
            <v>34250.01</v>
          </cell>
          <cell r="J65">
            <v>32816.67</v>
          </cell>
          <cell r="K65">
            <v>31816.67</v>
          </cell>
          <cell r="L65">
            <v>31576.67</v>
          </cell>
          <cell r="M65">
            <v>31343</v>
          </cell>
          <cell r="N65">
            <v>32376.33</v>
          </cell>
          <cell r="O65">
            <v>32418.67</v>
          </cell>
          <cell r="P65">
            <v>391938.02</v>
          </cell>
        </row>
        <row r="66">
          <cell r="A66">
            <v>510201010002</v>
          </cell>
          <cell r="B66" t="str">
            <v xml:space="preserve">Sobretiempo                                                           </v>
          </cell>
          <cell r="C66">
            <v>0</v>
          </cell>
          <cell r="D66">
            <v>9378.43</v>
          </cell>
          <cell r="E66">
            <v>16336.24</v>
          </cell>
          <cell r="F66">
            <v>17419.52</v>
          </cell>
          <cell r="G66">
            <v>17610.68</v>
          </cell>
          <cell r="H66">
            <v>17815.810000000001</v>
          </cell>
          <cell r="I66">
            <v>17545.73</v>
          </cell>
          <cell r="J66">
            <v>22196.47</v>
          </cell>
          <cell r="K66">
            <v>24086.02</v>
          </cell>
          <cell r="L66">
            <v>19314.96</v>
          </cell>
          <cell r="M66">
            <v>25888.87</v>
          </cell>
          <cell r="N66">
            <v>23787.1</v>
          </cell>
          <cell r="O66">
            <v>15615.88</v>
          </cell>
          <cell r="P66">
            <v>226995.71</v>
          </cell>
        </row>
        <row r="67">
          <cell r="A67">
            <v>510201010003</v>
          </cell>
          <cell r="B67" t="str">
            <v xml:space="preserve">Aporte Patronal 12.15%                                                </v>
          </cell>
          <cell r="C67">
            <v>0</v>
          </cell>
          <cell r="D67">
            <v>5253.5</v>
          </cell>
          <cell r="E67">
            <v>5994.38</v>
          </cell>
          <cell r="F67">
            <v>6079.88</v>
          </cell>
          <cell r="G67">
            <v>6110.37</v>
          </cell>
          <cell r="H67">
            <v>6188.69</v>
          </cell>
          <cell r="I67">
            <v>6172.78</v>
          </cell>
          <cell r="J67">
            <v>6770.54</v>
          </cell>
          <cell r="K67">
            <v>6792.18</v>
          </cell>
          <cell r="L67">
            <v>6285.76</v>
          </cell>
          <cell r="M67">
            <v>6969.76</v>
          </cell>
          <cell r="N67">
            <v>6997.3</v>
          </cell>
          <cell r="O67">
            <v>5836.14</v>
          </cell>
          <cell r="P67">
            <v>75451.28</v>
          </cell>
        </row>
        <row r="68">
          <cell r="A68">
            <v>510201010005</v>
          </cell>
          <cell r="B68" t="str">
            <v xml:space="preserve">Fondo de Reserva                                                      </v>
          </cell>
          <cell r="C68">
            <v>0</v>
          </cell>
          <cell r="D68">
            <v>3401.2</v>
          </cell>
          <cell r="E68">
            <v>3870.81</v>
          </cell>
          <cell r="F68">
            <v>3934.71</v>
          </cell>
          <cell r="G68">
            <v>4049.78</v>
          </cell>
          <cell r="H68">
            <v>3989.85</v>
          </cell>
          <cell r="I68">
            <v>3939.68</v>
          </cell>
          <cell r="J68">
            <v>4257.1000000000004</v>
          </cell>
          <cell r="K68">
            <v>4311.71</v>
          </cell>
          <cell r="L68">
            <v>3934.84</v>
          </cell>
          <cell r="M68">
            <v>4483.38</v>
          </cell>
          <cell r="N68">
            <v>4310.93</v>
          </cell>
          <cell r="O68">
            <v>3634.14</v>
          </cell>
          <cell r="P68">
            <v>48118.13</v>
          </cell>
        </row>
        <row r="69">
          <cell r="A69">
            <v>510201010006</v>
          </cell>
          <cell r="B69" t="str">
            <v xml:space="preserve">Decimo Tercer Sueldo                                                  </v>
          </cell>
          <cell r="C69">
            <v>0</v>
          </cell>
          <cell r="D69">
            <v>3603.2</v>
          </cell>
          <cell r="E69">
            <v>4111.38</v>
          </cell>
          <cell r="F69">
            <v>4169.97</v>
          </cell>
          <cell r="G69">
            <v>4190.93</v>
          </cell>
          <cell r="H69">
            <v>4249.67</v>
          </cell>
          <cell r="I69">
            <v>4202.1400000000003</v>
          </cell>
          <cell r="J69">
            <v>4584.4399999999996</v>
          </cell>
          <cell r="K69">
            <v>4658.63</v>
          </cell>
          <cell r="L69">
            <v>4279.59</v>
          </cell>
          <cell r="M69">
            <v>4769.33</v>
          </cell>
          <cell r="N69">
            <v>4730.34</v>
          </cell>
          <cell r="O69">
            <v>4002.91</v>
          </cell>
          <cell r="P69">
            <v>51552.53</v>
          </cell>
        </row>
        <row r="70">
          <cell r="A70">
            <v>510201010007</v>
          </cell>
          <cell r="B70" t="str">
            <v xml:space="preserve">Decimo Cuarto Sueldo                                                  </v>
          </cell>
          <cell r="C70">
            <v>0</v>
          </cell>
          <cell r="D70">
            <v>2533.08</v>
          </cell>
          <cell r="E70">
            <v>2461.98</v>
          </cell>
          <cell r="F70">
            <v>2435.66</v>
          </cell>
          <cell r="G70">
            <v>2433.09</v>
          </cell>
          <cell r="H70">
            <v>2494.21</v>
          </cell>
          <cell r="I70">
            <v>2483.09</v>
          </cell>
          <cell r="J70">
            <v>2431.9899999999998</v>
          </cell>
          <cell r="K70">
            <v>2366.4299999999998</v>
          </cell>
          <cell r="L70">
            <v>2355.3200000000002</v>
          </cell>
          <cell r="M70">
            <v>2356.4299999999998</v>
          </cell>
          <cell r="N70">
            <v>2415.3200000000002</v>
          </cell>
          <cell r="O70">
            <v>2431.98</v>
          </cell>
          <cell r="P70">
            <v>29198.58</v>
          </cell>
        </row>
        <row r="71">
          <cell r="A71">
            <v>510201010008</v>
          </cell>
          <cell r="B71" t="str">
            <v xml:space="preserve">Vacaciones                                                            </v>
          </cell>
          <cell r="C71">
            <v>0</v>
          </cell>
          <cell r="D71">
            <v>1410.86</v>
          </cell>
          <cell r="E71">
            <v>1375</v>
          </cell>
          <cell r="F71">
            <v>4372.38</v>
          </cell>
          <cell r="G71">
            <v>4805.5600000000004</v>
          </cell>
          <cell r="H71">
            <v>1382.51</v>
          </cell>
          <cell r="I71">
            <v>0</v>
          </cell>
          <cell r="J71">
            <v>1367.37</v>
          </cell>
          <cell r="K71">
            <v>1325.71</v>
          </cell>
          <cell r="L71">
            <v>1315.72</v>
          </cell>
          <cell r="M71">
            <v>1306.02</v>
          </cell>
          <cell r="N71">
            <v>1347.56</v>
          </cell>
          <cell r="O71">
            <v>3788.7</v>
          </cell>
          <cell r="P71">
            <v>23797.39</v>
          </cell>
        </row>
        <row r="72">
          <cell r="A72">
            <v>510201010009</v>
          </cell>
          <cell r="B72" t="str">
            <v xml:space="preserve">Desahucio Planta Directos                                             </v>
          </cell>
          <cell r="C72">
            <v>0</v>
          </cell>
          <cell r="D72">
            <v>610.1</v>
          </cell>
          <cell r="E72">
            <v>610.1</v>
          </cell>
          <cell r="F72">
            <v>610.1</v>
          </cell>
          <cell r="G72">
            <v>610.1</v>
          </cell>
          <cell r="H72">
            <v>518.79999999999995</v>
          </cell>
          <cell r="I72">
            <v>518.79999999999995</v>
          </cell>
          <cell r="J72">
            <v>518.79999999999995</v>
          </cell>
          <cell r="K72">
            <v>518.79999999999995</v>
          </cell>
          <cell r="L72">
            <v>518.79999999999995</v>
          </cell>
          <cell r="M72">
            <v>518.80999999999995</v>
          </cell>
          <cell r="N72">
            <v>518.80999999999995</v>
          </cell>
          <cell r="O72">
            <v>518.80999999999995</v>
          </cell>
          <cell r="P72">
            <v>6590.83</v>
          </cell>
        </row>
        <row r="73">
          <cell r="A73">
            <v>510201010010</v>
          </cell>
          <cell r="B73" t="str">
            <v xml:space="preserve">Indemnización Planta Directos                                         </v>
          </cell>
          <cell r="C73">
            <v>0</v>
          </cell>
          <cell r="D73">
            <v>3761.12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3761.12</v>
          </cell>
        </row>
        <row r="74">
          <cell r="A74">
            <v>510201010011</v>
          </cell>
          <cell r="B74" t="str">
            <v xml:space="preserve">Jubilación Patronal Planta Directos                                   </v>
          </cell>
          <cell r="C74">
            <v>0</v>
          </cell>
          <cell r="D74">
            <v>2062.14</v>
          </cell>
          <cell r="E74">
            <v>2062.14</v>
          </cell>
          <cell r="F74">
            <v>2062.14</v>
          </cell>
          <cell r="G74">
            <v>2062.14</v>
          </cell>
          <cell r="H74">
            <v>1843.27</v>
          </cell>
          <cell r="I74">
            <v>1843.27</v>
          </cell>
          <cell r="J74">
            <v>1843.26</v>
          </cell>
          <cell r="K74">
            <v>1843.26</v>
          </cell>
          <cell r="L74">
            <v>1843.27</v>
          </cell>
          <cell r="M74">
            <v>1843.27</v>
          </cell>
          <cell r="N74">
            <v>1843.27</v>
          </cell>
          <cell r="O74">
            <v>1843.27</v>
          </cell>
          <cell r="P74">
            <v>22994.7</v>
          </cell>
        </row>
        <row r="75">
          <cell r="A75">
            <v>51020103</v>
          </cell>
          <cell r="B75" t="str">
            <v xml:space="preserve">DEPRECIACIONES DE PLANTAS Y EQUIPOS                                   </v>
          </cell>
          <cell r="C75">
            <v>0</v>
          </cell>
          <cell r="D75">
            <v>42161.69</v>
          </cell>
          <cell r="E75">
            <v>37171.46</v>
          </cell>
          <cell r="F75">
            <v>37239.86</v>
          </cell>
          <cell r="G75">
            <v>37171.46</v>
          </cell>
          <cell r="H75">
            <v>37171.46</v>
          </cell>
          <cell r="I75">
            <v>37171.46</v>
          </cell>
          <cell r="J75">
            <v>37171.46</v>
          </cell>
          <cell r="K75">
            <v>37171.46</v>
          </cell>
          <cell r="L75">
            <v>37171.46</v>
          </cell>
          <cell r="M75">
            <v>37171.46</v>
          </cell>
          <cell r="N75">
            <v>37171.46</v>
          </cell>
          <cell r="O75">
            <v>37171.230000000003</v>
          </cell>
          <cell r="P75">
            <v>451115.92</v>
          </cell>
        </row>
        <row r="76">
          <cell r="A76">
            <v>510201030001</v>
          </cell>
          <cell r="B76" t="str">
            <v xml:space="preserve">Costo de Depreciación Maquinarias y Equipos                           </v>
          </cell>
          <cell r="C76">
            <v>0</v>
          </cell>
          <cell r="D76">
            <v>42065.98</v>
          </cell>
          <cell r="E76">
            <v>37075.75</v>
          </cell>
          <cell r="F76">
            <v>37144.15</v>
          </cell>
          <cell r="G76">
            <v>37075.75</v>
          </cell>
          <cell r="H76">
            <v>37075.75</v>
          </cell>
          <cell r="I76">
            <v>37075.75</v>
          </cell>
          <cell r="J76">
            <v>37075.75</v>
          </cell>
          <cell r="K76">
            <v>37075.75</v>
          </cell>
          <cell r="L76">
            <v>37075.75</v>
          </cell>
          <cell r="M76">
            <v>37075.75</v>
          </cell>
          <cell r="N76">
            <v>37075.75</v>
          </cell>
          <cell r="O76">
            <v>37075.519999999997</v>
          </cell>
          <cell r="P76">
            <v>449967.4</v>
          </cell>
        </row>
        <row r="77">
          <cell r="A77">
            <v>510201030002</v>
          </cell>
          <cell r="B77" t="str">
            <v xml:space="preserve">Costo de Depreciación Muebles y Enseres                               </v>
          </cell>
          <cell r="C77">
            <v>0</v>
          </cell>
          <cell r="D77">
            <v>95.71</v>
          </cell>
          <cell r="E77">
            <v>95.71</v>
          </cell>
          <cell r="F77">
            <v>95.71</v>
          </cell>
          <cell r="G77">
            <v>95.71</v>
          </cell>
          <cell r="H77">
            <v>95.71</v>
          </cell>
          <cell r="I77">
            <v>95.71</v>
          </cell>
          <cell r="J77">
            <v>95.71</v>
          </cell>
          <cell r="K77">
            <v>95.71</v>
          </cell>
          <cell r="L77">
            <v>95.71</v>
          </cell>
          <cell r="M77">
            <v>95.71</v>
          </cell>
          <cell r="N77">
            <v>95.71</v>
          </cell>
          <cell r="O77">
            <v>95.71</v>
          </cell>
          <cell r="P77">
            <v>1148.52</v>
          </cell>
        </row>
        <row r="78">
          <cell r="A78">
            <v>51020105</v>
          </cell>
          <cell r="B78" t="str">
            <v xml:space="preserve">OTROS COSTOS DIRECTOS DE FABRICACION                                  </v>
          </cell>
          <cell r="C78">
            <v>0</v>
          </cell>
          <cell r="D78">
            <v>43702.78</v>
          </cell>
          <cell r="E78">
            <v>32281.919999999998</v>
          </cell>
          <cell r="F78">
            <v>43363</v>
          </cell>
          <cell r="G78">
            <v>113734.74</v>
          </cell>
          <cell r="H78">
            <v>158248.93</v>
          </cell>
          <cell r="I78">
            <v>82337.03</v>
          </cell>
          <cell r="J78">
            <v>98411.28</v>
          </cell>
          <cell r="K78">
            <v>48832.1</v>
          </cell>
          <cell r="L78">
            <v>68388.070000000007</v>
          </cell>
          <cell r="M78">
            <v>66710.13</v>
          </cell>
          <cell r="N78">
            <v>33357.93</v>
          </cell>
          <cell r="O78">
            <v>43503.45</v>
          </cell>
          <cell r="P78">
            <v>832871.36</v>
          </cell>
        </row>
        <row r="79">
          <cell r="A79">
            <v>510201050001</v>
          </cell>
          <cell r="B79" t="str">
            <v xml:space="preserve">Mantenimiento de Maq y Equipos Directos                               </v>
          </cell>
          <cell r="C79">
            <v>0</v>
          </cell>
          <cell r="D79">
            <v>3276.15</v>
          </cell>
          <cell r="E79">
            <v>2286.4</v>
          </cell>
          <cell r="F79">
            <v>2447.4899999999998</v>
          </cell>
          <cell r="G79">
            <v>10686.81</v>
          </cell>
          <cell r="H79">
            <v>8024.15</v>
          </cell>
          <cell r="I79">
            <v>8402</v>
          </cell>
          <cell r="J79">
            <v>20453.97</v>
          </cell>
          <cell r="K79">
            <v>4907.3999999999996</v>
          </cell>
          <cell r="L79">
            <v>8349.0499999999993</v>
          </cell>
          <cell r="M79">
            <v>8061.2</v>
          </cell>
          <cell r="N79">
            <v>4456.1000000000004</v>
          </cell>
          <cell r="O79">
            <v>5533.26</v>
          </cell>
          <cell r="P79">
            <v>86883.98</v>
          </cell>
        </row>
        <row r="80">
          <cell r="A80">
            <v>510201050002</v>
          </cell>
          <cell r="B80" t="str">
            <v xml:space="preserve">Suministros, Materiales y Repuestos Directos                          </v>
          </cell>
          <cell r="C80">
            <v>0</v>
          </cell>
          <cell r="D80">
            <v>20412.18</v>
          </cell>
          <cell r="E80">
            <v>11814.19</v>
          </cell>
          <cell r="F80">
            <v>18902.21</v>
          </cell>
          <cell r="G80">
            <v>72484.460000000006</v>
          </cell>
          <cell r="H80">
            <v>121464.36</v>
          </cell>
          <cell r="I80">
            <v>55410.57</v>
          </cell>
          <cell r="J80">
            <v>40380.620000000003</v>
          </cell>
          <cell r="K80">
            <v>15923.04</v>
          </cell>
          <cell r="L80">
            <v>28194.47</v>
          </cell>
          <cell r="M80">
            <v>23436.44</v>
          </cell>
          <cell r="N80">
            <v>18050.830000000002</v>
          </cell>
          <cell r="O80">
            <v>23683.72</v>
          </cell>
          <cell r="P80">
            <v>450157.09</v>
          </cell>
        </row>
        <row r="81">
          <cell r="A81">
            <v>510201050004</v>
          </cell>
          <cell r="B81" t="str">
            <v xml:space="preserve">Servicio de Manufactura Directos                                      </v>
          </cell>
          <cell r="C81">
            <v>0</v>
          </cell>
          <cell r="D81">
            <v>20014.45</v>
          </cell>
          <cell r="E81">
            <v>18181.330000000002</v>
          </cell>
          <cell r="F81">
            <v>22013.3</v>
          </cell>
          <cell r="G81">
            <v>30563.47</v>
          </cell>
          <cell r="H81">
            <v>28760.42</v>
          </cell>
          <cell r="I81">
            <v>18524.46</v>
          </cell>
          <cell r="J81">
            <v>37576.69</v>
          </cell>
          <cell r="K81">
            <v>28001.66</v>
          </cell>
          <cell r="L81">
            <v>31844.55</v>
          </cell>
          <cell r="M81">
            <v>35212.49</v>
          </cell>
          <cell r="N81">
            <v>10851</v>
          </cell>
          <cell r="O81">
            <v>14286.47</v>
          </cell>
          <cell r="P81">
            <v>295830.28999999998</v>
          </cell>
        </row>
        <row r="82">
          <cell r="A82">
            <v>51020109</v>
          </cell>
          <cell r="B82" t="str">
            <v xml:space="preserve">TRANSFERENCIA DE GASTOS DIRECTOS A COSTO PRODUCCION                   </v>
          </cell>
          <cell r="C82">
            <v>0</v>
          </cell>
          <cell r="D82">
            <v>-151738.1</v>
          </cell>
          <cell r="E82">
            <v>-139275.41</v>
          </cell>
          <cell r="F82">
            <v>-154246.68</v>
          </cell>
          <cell r="G82">
            <v>-225612.3</v>
          </cell>
          <cell r="H82">
            <v>-267083.2</v>
          </cell>
          <cell r="I82">
            <v>-172504.97</v>
          </cell>
          <cell r="J82">
            <v>-212369.38</v>
          </cell>
          <cell r="K82">
            <v>-163722.97</v>
          </cell>
          <cell r="L82">
            <v>-174622.39</v>
          </cell>
          <cell r="M82">
            <v>-166417.18</v>
          </cell>
          <cell r="N82">
            <v>-186027.81</v>
          </cell>
          <cell r="O82">
            <v>-150765.16</v>
          </cell>
          <cell r="P82">
            <v>-2164385.5499999998</v>
          </cell>
        </row>
        <row r="83">
          <cell r="A83">
            <v>510201090001</v>
          </cell>
          <cell r="B83" t="str">
            <v xml:space="preserve">Transferencia Costos Directos a Costo Producción                      </v>
          </cell>
          <cell r="C83">
            <v>0</v>
          </cell>
          <cell r="D83">
            <v>-151738.1</v>
          </cell>
          <cell r="E83">
            <v>-139275.41</v>
          </cell>
          <cell r="F83">
            <v>-154246.68</v>
          </cell>
          <cell r="G83">
            <v>-225612.3</v>
          </cell>
          <cell r="H83">
            <v>-267083.2</v>
          </cell>
          <cell r="I83">
            <v>-172504.97</v>
          </cell>
          <cell r="J83">
            <v>-212369.38</v>
          </cell>
          <cell r="K83">
            <v>-163722.97</v>
          </cell>
          <cell r="L83">
            <v>-174622.39</v>
          </cell>
          <cell r="M83">
            <v>-166417.18</v>
          </cell>
          <cell r="N83">
            <v>-186027.81</v>
          </cell>
          <cell r="O83">
            <v>-150765.16</v>
          </cell>
          <cell r="P83">
            <v>-2164385.5499999998</v>
          </cell>
        </row>
        <row r="84">
          <cell r="A84">
            <v>510202</v>
          </cell>
          <cell r="B84" t="str">
            <v xml:space="preserve">COSTOS INDIRECTOS DE FABRICACION                                      </v>
          </cell>
          <cell r="C84">
            <v>0</v>
          </cell>
          <cell r="D84">
            <v>-8</v>
          </cell>
          <cell r="E84">
            <v>-187.08</v>
          </cell>
          <cell r="F84">
            <v>-30</v>
          </cell>
          <cell r="G84">
            <v>-588.41999999999996</v>
          </cell>
          <cell r="H84">
            <v>-1.34</v>
          </cell>
          <cell r="I84">
            <v>0</v>
          </cell>
          <cell r="J84">
            <v>0</v>
          </cell>
          <cell r="K84">
            <v>0.02</v>
          </cell>
          <cell r="L84">
            <v>1635.44</v>
          </cell>
          <cell r="M84">
            <v>6215.48</v>
          </cell>
          <cell r="N84">
            <v>-49912.1</v>
          </cell>
          <cell r="O84">
            <v>51695.87</v>
          </cell>
          <cell r="P84">
            <v>8819.8700000000008</v>
          </cell>
        </row>
        <row r="85">
          <cell r="A85">
            <v>51020201</v>
          </cell>
          <cell r="B85" t="str">
            <v xml:space="preserve">MANO DE OBRA                                                          </v>
          </cell>
          <cell r="C85">
            <v>0</v>
          </cell>
          <cell r="D85">
            <v>35963.4</v>
          </cell>
          <cell r="E85">
            <v>40182.199999999997</v>
          </cell>
          <cell r="F85">
            <v>32675.25</v>
          </cell>
          <cell r="G85">
            <v>34699.72</v>
          </cell>
          <cell r="H85">
            <v>36154.22</v>
          </cell>
          <cell r="I85">
            <v>36850.879999999997</v>
          </cell>
          <cell r="J85">
            <v>38135.99</v>
          </cell>
          <cell r="K85">
            <v>47041.65</v>
          </cell>
          <cell r="L85">
            <v>38661.9</v>
          </cell>
          <cell r="M85">
            <v>43118.78</v>
          </cell>
          <cell r="N85">
            <v>42540.79</v>
          </cell>
          <cell r="O85">
            <v>38940.74</v>
          </cell>
          <cell r="P85">
            <v>464965.52</v>
          </cell>
        </row>
        <row r="86">
          <cell r="A86">
            <v>510202010001</v>
          </cell>
          <cell r="B86" t="str">
            <v xml:space="preserve">Sueldos                                                               </v>
          </cell>
          <cell r="C86">
            <v>0</v>
          </cell>
          <cell r="D86">
            <v>22032.84</v>
          </cell>
          <cell r="E86">
            <v>19495.66</v>
          </cell>
          <cell r="F86">
            <v>18342.34</v>
          </cell>
          <cell r="G86">
            <v>18399</v>
          </cell>
          <cell r="H86">
            <v>19732.32</v>
          </cell>
          <cell r="I86">
            <v>21040.62</v>
          </cell>
          <cell r="J86">
            <v>20124</v>
          </cell>
          <cell r="K86">
            <v>20331.54</v>
          </cell>
          <cell r="L86">
            <v>20092.990000000002</v>
          </cell>
          <cell r="M86">
            <v>21533.32</v>
          </cell>
          <cell r="N86">
            <v>22838.33</v>
          </cell>
          <cell r="O86">
            <v>23068.34</v>
          </cell>
          <cell r="P86">
            <v>247031.3</v>
          </cell>
        </row>
        <row r="87">
          <cell r="A87">
            <v>510202010002</v>
          </cell>
          <cell r="B87" t="str">
            <v xml:space="preserve">Sobretiempo                                                           </v>
          </cell>
          <cell r="C87">
            <v>0</v>
          </cell>
          <cell r="D87">
            <v>3194.16</v>
          </cell>
          <cell r="E87">
            <v>5173.96</v>
          </cell>
          <cell r="F87">
            <v>4971.1899999999996</v>
          </cell>
          <cell r="G87">
            <v>5935.96</v>
          </cell>
          <cell r="H87">
            <v>5842.05</v>
          </cell>
          <cell r="I87">
            <v>5940.83</v>
          </cell>
          <cell r="J87">
            <v>7041.3</v>
          </cell>
          <cell r="K87">
            <v>6933.4</v>
          </cell>
          <cell r="L87">
            <v>6152.72</v>
          </cell>
          <cell r="M87">
            <v>9719.86</v>
          </cell>
          <cell r="N87">
            <v>7769.9</v>
          </cell>
          <cell r="O87">
            <v>5441.63</v>
          </cell>
          <cell r="P87">
            <v>74116.960000000006</v>
          </cell>
        </row>
        <row r="88">
          <cell r="A88">
            <v>510202010003</v>
          </cell>
          <cell r="B88" t="str">
            <v xml:space="preserve">Aporte Patronal 12.15%                                                </v>
          </cell>
          <cell r="C88">
            <v>0</v>
          </cell>
          <cell r="D88">
            <v>3065.12</v>
          </cell>
          <cell r="E88">
            <v>2997.39</v>
          </cell>
          <cell r="F88">
            <v>2832.57</v>
          </cell>
          <cell r="G88">
            <v>2956.64</v>
          </cell>
          <cell r="H88">
            <v>3191.92</v>
          </cell>
          <cell r="I88">
            <v>3176</v>
          </cell>
          <cell r="J88">
            <v>3303.9</v>
          </cell>
          <cell r="K88">
            <v>3530.94</v>
          </cell>
          <cell r="L88">
            <v>3106.63</v>
          </cell>
          <cell r="M88">
            <v>3857.3</v>
          </cell>
          <cell r="N88">
            <v>3827.85</v>
          </cell>
          <cell r="O88">
            <v>3554.74</v>
          </cell>
          <cell r="P88">
            <v>39401</v>
          </cell>
        </row>
        <row r="89">
          <cell r="A89">
            <v>510202010004</v>
          </cell>
          <cell r="B89" t="str">
            <v xml:space="preserve">Iece y Secap                                                          </v>
          </cell>
          <cell r="C89">
            <v>0</v>
          </cell>
          <cell r="D89">
            <v>0</v>
          </cell>
          <cell r="E89">
            <v>4.5999999999999996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4.5999999999999996</v>
          </cell>
        </row>
        <row r="90">
          <cell r="A90">
            <v>510202010005</v>
          </cell>
          <cell r="B90" t="str">
            <v xml:space="preserve">Fondo de Reserva                                                      </v>
          </cell>
          <cell r="C90">
            <v>0</v>
          </cell>
          <cell r="D90">
            <v>1745.61</v>
          </cell>
          <cell r="E90">
            <v>1854.83</v>
          </cell>
          <cell r="F90">
            <v>1809.85</v>
          </cell>
          <cell r="G90">
            <v>1834.85</v>
          </cell>
          <cell r="H90">
            <v>1801.76</v>
          </cell>
          <cell r="I90">
            <v>1812.86</v>
          </cell>
          <cell r="J90">
            <v>1853.4</v>
          </cell>
          <cell r="K90">
            <v>1785.56</v>
          </cell>
          <cell r="L90">
            <v>1653.09</v>
          </cell>
          <cell r="M90">
            <v>1869.67</v>
          </cell>
          <cell r="N90">
            <v>1687.94</v>
          </cell>
          <cell r="O90">
            <v>1581.27</v>
          </cell>
          <cell r="P90">
            <v>21290.69</v>
          </cell>
        </row>
        <row r="91">
          <cell r="A91">
            <v>510202010006</v>
          </cell>
          <cell r="B91" t="str">
            <v xml:space="preserve">Decimo Tercer Sueldo                                                  </v>
          </cell>
          <cell r="C91">
            <v>0</v>
          </cell>
          <cell r="D91">
            <v>2102.2600000000002</v>
          </cell>
          <cell r="E91">
            <v>2055.81</v>
          </cell>
          <cell r="F91">
            <v>1942.8</v>
          </cell>
          <cell r="G91">
            <v>2027.92</v>
          </cell>
          <cell r="H91">
            <v>2112.3000000000002</v>
          </cell>
          <cell r="I91">
            <v>2178.34</v>
          </cell>
          <cell r="J91">
            <v>2263.77</v>
          </cell>
          <cell r="K91">
            <v>2272.09</v>
          </cell>
          <cell r="L91">
            <v>2131.85</v>
          </cell>
          <cell r="M91">
            <v>2604.4299999999998</v>
          </cell>
          <cell r="N91">
            <v>2550.6999999999998</v>
          </cell>
          <cell r="O91">
            <v>2366.96</v>
          </cell>
          <cell r="P91">
            <v>26609.23</v>
          </cell>
        </row>
        <row r="92">
          <cell r="A92">
            <v>510202010007</v>
          </cell>
          <cell r="B92" t="str">
            <v xml:space="preserve">Decimo Cuarto Sueldo                                                  </v>
          </cell>
          <cell r="C92">
            <v>0</v>
          </cell>
          <cell r="D92">
            <v>1093.22</v>
          </cell>
          <cell r="E92">
            <v>875.48</v>
          </cell>
          <cell r="F92">
            <v>964.35</v>
          </cell>
          <cell r="G92">
            <v>966.57</v>
          </cell>
          <cell r="H92">
            <v>1058.79</v>
          </cell>
          <cell r="I92">
            <v>1099.8900000000001</v>
          </cell>
          <cell r="J92">
            <v>1108.77</v>
          </cell>
          <cell r="K92">
            <v>1513.85</v>
          </cell>
          <cell r="L92">
            <v>997.68</v>
          </cell>
          <cell r="M92">
            <v>1203.21</v>
          </cell>
          <cell r="N92">
            <v>1312.1</v>
          </cell>
          <cell r="O92">
            <v>1325.43</v>
          </cell>
          <cell r="P92">
            <v>13519.34</v>
          </cell>
        </row>
        <row r="93">
          <cell r="A93">
            <v>510202010008</v>
          </cell>
          <cell r="B93" t="str">
            <v xml:space="preserve">Vacaciones                                                            </v>
          </cell>
          <cell r="C93">
            <v>0</v>
          </cell>
          <cell r="D93">
            <v>918.04</v>
          </cell>
          <cell r="E93">
            <v>812.32</v>
          </cell>
          <cell r="F93">
            <v>0</v>
          </cell>
          <cell r="G93">
            <v>766.63</v>
          </cell>
          <cell r="H93">
            <v>812.74</v>
          </cell>
          <cell r="I93">
            <v>0</v>
          </cell>
          <cell r="J93">
            <v>838.5</v>
          </cell>
          <cell r="K93">
            <v>657.28</v>
          </cell>
          <cell r="L93">
            <v>809.01</v>
          </cell>
          <cell r="M93">
            <v>728.62</v>
          </cell>
          <cell r="N93">
            <v>951.6</v>
          </cell>
          <cell r="O93">
            <v>0</v>
          </cell>
          <cell r="P93">
            <v>7294.74</v>
          </cell>
        </row>
        <row r="94">
          <cell r="A94">
            <v>510202010009</v>
          </cell>
          <cell r="B94" t="str">
            <v xml:space="preserve">Desahucio Planta Indirectos                                           </v>
          </cell>
          <cell r="C94">
            <v>0</v>
          </cell>
          <cell r="D94">
            <v>434.08</v>
          </cell>
          <cell r="E94">
            <v>434.08</v>
          </cell>
          <cell r="F94">
            <v>434.08</v>
          </cell>
          <cell r="G94">
            <v>434.08</v>
          </cell>
          <cell r="H94">
            <v>369.11</v>
          </cell>
          <cell r="I94">
            <v>369.11</v>
          </cell>
          <cell r="J94">
            <v>369.12</v>
          </cell>
          <cell r="K94">
            <v>369.12</v>
          </cell>
          <cell r="L94">
            <v>369.11</v>
          </cell>
          <cell r="M94">
            <v>369.12</v>
          </cell>
          <cell r="N94">
            <v>369.12</v>
          </cell>
          <cell r="O94">
            <v>369.12</v>
          </cell>
          <cell r="P94">
            <v>4689.25</v>
          </cell>
        </row>
        <row r="95">
          <cell r="A95">
            <v>510202010010</v>
          </cell>
          <cell r="B95" t="str">
            <v xml:space="preserve">Indemnización Planta Indirectos                                       </v>
          </cell>
          <cell r="C95">
            <v>0</v>
          </cell>
          <cell r="D95">
            <v>0</v>
          </cell>
          <cell r="E95">
            <v>5100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8414.64</v>
          </cell>
          <cell r="L95">
            <v>2115.5700000000002</v>
          </cell>
          <cell r="M95">
            <v>0</v>
          </cell>
          <cell r="N95">
            <v>0</v>
          </cell>
          <cell r="O95">
            <v>0</v>
          </cell>
          <cell r="P95">
            <v>15630.21</v>
          </cell>
        </row>
        <row r="96">
          <cell r="A96">
            <v>510202010011</v>
          </cell>
          <cell r="B96" t="str">
            <v xml:space="preserve">Jubilación Patronal Planta Indirectos                                 </v>
          </cell>
          <cell r="C96">
            <v>0</v>
          </cell>
          <cell r="D96">
            <v>1364.54</v>
          </cell>
          <cell r="E96">
            <v>1364.54</v>
          </cell>
          <cell r="F96">
            <v>1364.54</v>
          </cell>
          <cell r="G96">
            <v>1364.54</v>
          </cell>
          <cell r="H96">
            <v>1219.7</v>
          </cell>
          <cell r="I96">
            <v>1219.7</v>
          </cell>
          <cell r="J96">
            <v>1219.7</v>
          </cell>
          <cell r="K96">
            <v>1219.7</v>
          </cell>
          <cell r="L96">
            <v>1219.72</v>
          </cell>
          <cell r="M96">
            <v>1219.72</v>
          </cell>
          <cell r="N96">
            <v>1219.72</v>
          </cell>
          <cell r="O96">
            <v>1219.72</v>
          </cell>
          <cell r="P96">
            <v>15215.84</v>
          </cell>
        </row>
        <row r="97">
          <cell r="A97">
            <v>510202010014</v>
          </cell>
          <cell r="B97" t="str">
            <v xml:space="preserve">Aporte Seguro Salud - Tiempo Parcial                                  </v>
          </cell>
          <cell r="C97">
            <v>0</v>
          </cell>
          <cell r="D97">
            <v>13.53</v>
          </cell>
          <cell r="E97">
            <v>13.53</v>
          </cell>
          <cell r="F97">
            <v>13.53</v>
          </cell>
          <cell r="G97">
            <v>13.53</v>
          </cell>
          <cell r="H97">
            <v>13.53</v>
          </cell>
          <cell r="I97">
            <v>13.53</v>
          </cell>
          <cell r="J97">
            <v>13.53</v>
          </cell>
          <cell r="K97">
            <v>13.53</v>
          </cell>
          <cell r="L97">
            <v>13.53</v>
          </cell>
          <cell r="M97">
            <v>13.53</v>
          </cell>
          <cell r="N97">
            <v>13.53</v>
          </cell>
          <cell r="O97">
            <v>13.53</v>
          </cell>
          <cell r="P97">
            <v>162.36000000000001</v>
          </cell>
        </row>
        <row r="98">
          <cell r="A98">
            <v>51020202</v>
          </cell>
          <cell r="B98" t="str">
            <v xml:space="preserve">OTROS BENEFICIOS DEL PERSONAL                                         </v>
          </cell>
          <cell r="C98">
            <v>0</v>
          </cell>
          <cell r="D98">
            <v>6904.52</v>
          </cell>
          <cell r="E98">
            <v>7812.25</v>
          </cell>
          <cell r="F98">
            <v>7708.16</v>
          </cell>
          <cell r="G98">
            <v>7654.11</v>
          </cell>
          <cell r="H98">
            <v>8131.6</v>
          </cell>
          <cell r="I98">
            <v>7645.62</v>
          </cell>
          <cell r="J98">
            <v>8638.08</v>
          </cell>
          <cell r="K98">
            <v>8337.27</v>
          </cell>
          <cell r="L98">
            <v>11303.57</v>
          </cell>
          <cell r="M98">
            <v>8528.85</v>
          </cell>
          <cell r="N98">
            <v>11687.62</v>
          </cell>
          <cell r="O98">
            <v>15368.94</v>
          </cell>
          <cell r="P98">
            <v>109720.59</v>
          </cell>
        </row>
        <row r="99">
          <cell r="A99">
            <v>510202020001</v>
          </cell>
          <cell r="B99" t="str">
            <v xml:space="preserve">Agasajo al Personal Planta                                            </v>
          </cell>
          <cell r="C99">
            <v>0</v>
          </cell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7234.26</v>
          </cell>
          <cell r="P99">
            <v>7234.26</v>
          </cell>
        </row>
        <row r="100">
          <cell r="A100">
            <v>510202020003</v>
          </cell>
          <cell r="B100" t="str">
            <v xml:space="preserve">Alimentación Planta                                                   </v>
          </cell>
          <cell r="C100">
            <v>0</v>
          </cell>
          <cell r="D100">
            <v>6680.1</v>
          </cell>
          <cell r="E100">
            <v>6650.85</v>
          </cell>
          <cell r="F100">
            <v>5801.51</v>
          </cell>
          <cell r="G100">
            <v>6984.84</v>
          </cell>
          <cell r="H100">
            <v>6745.04</v>
          </cell>
          <cell r="I100">
            <v>6406.1</v>
          </cell>
          <cell r="J100">
            <v>7819.9</v>
          </cell>
          <cell r="K100">
            <v>8086.02</v>
          </cell>
          <cell r="L100">
            <v>7964.96</v>
          </cell>
          <cell r="M100">
            <v>7548.15</v>
          </cell>
          <cell r="N100">
            <v>8268.6</v>
          </cell>
          <cell r="O100">
            <v>7950.82</v>
          </cell>
          <cell r="P100">
            <v>86906.89</v>
          </cell>
        </row>
        <row r="101">
          <cell r="A101">
            <v>510202020004</v>
          </cell>
          <cell r="B101" t="str">
            <v xml:space="preserve">Movilización planta                                                   </v>
          </cell>
          <cell r="C101">
            <v>0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1170</v>
          </cell>
          <cell r="I101">
            <v>450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1620</v>
          </cell>
        </row>
        <row r="102">
          <cell r="A102">
            <v>510202020005</v>
          </cell>
          <cell r="B102" t="str">
            <v xml:space="preserve">Gastos Médicos Planta                                                 </v>
          </cell>
          <cell r="C102">
            <v>0</v>
          </cell>
          <cell r="D102">
            <v>0</v>
          </cell>
          <cell r="E102">
            <v>586.37</v>
          </cell>
          <cell r="F102">
            <v>0</v>
          </cell>
          <cell r="G102">
            <v>255</v>
          </cell>
          <cell r="H102">
            <v>178.57</v>
          </cell>
          <cell r="I102">
            <v>315</v>
          </cell>
          <cell r="J102">
            <v>15.58</v>
          </cell>
          <cell r="K102">
            <v>235</v>
          </cell>
          <cell r="L102">
            <v>280</v>
          </cell>
          <cell r="M102">
            <v>293</v>
          </cell>
          <cell r="N102">
            <v>377.5</v>
          </cell>
          <cell r="O102">
            <v>0</v>
          </cell>
          <cell r="P102">
            <v>2536.02</v>
          </cell>
        </row>
        <row r="103">
          <cell r="A103">
            <v>510202020006</v>
          </cell>
          <cell r="B103" t="str">
            <v xml:space="preserve">Uniformes personal planta                                             </v>
          </cell>
          <cell r="C103">
            <v>0</v>
          </cell>
          <cell r="D103">
            <v>0</v>
          </cell>
          <cell r="E103">
            <v>0</v>
          </cell>
          <cell r="F103">
            <v>1768.65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2097.25</v>
          </cell>
          <cell r="O103">
            <v>0</v>
          </cell>
          <cell r="P103">
            <v>3865.9</v>
          </cell>
        </row>
        <row r="104">
          <cell r="A104">
            <v>510202020007</v>
          </cell>
          <cell r="B104" t="str">
            <v xml:space="preserve">Capacitación y Seminarios Planta                                      </v>
          </cell>
          <cell r="C104">
            <v>0</v>
          </cell>
          <cell r="D104">
            <v>190</v>
          </cell>
          <cell r="E104">
            <v>37.5</v>
          </cell>
          <cell r="F104">
            <v>120</v>
          </cell>
          <cell r="G104">
            <v>85</v>
          </cell>
          <cell r="H104">
            <v>0</v>
          </cell>
          <cell r="I104">
            <v>230</v>
          </cell>
          <cell r="J104">
            <v>0</v>
          </cell>
          <cell r="K104">
            <v>0</v>
          </cell>
          <cell r="L104">
            <v>2632.5</v>
          </cell>
          <cell r="M104">
            <v>225</v>
          </cell>
          <cell r="N104">
            <v>130</v>
          </cell>
          <cell r="O104">
            <v>0</v>
          </cell>
          <cell r="P104">
            <v>3650</v>
          </cell>
        </row>
        <row r="105">
          <cell r="A105">
            <v>510202020008</v>
          </cell>
          <cell r="B105" t="str">
            <v xml:space="preserve">Otros gastos del personal Planta                                      </v>
          </cell>
          <cell r="C105">
            <v>0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400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400</v>
          </cell>
        </row>
        <row r="106">
          <cell r="A106">
            <v>510202020009</v>
          </cell>
          <cell r="B106" t="str">
            <v xml:space="preserve">Utiles de limpieza, cafeteria y varios planta                         </v>
          </cell>
          <cell r="C106">
            <v>0</v>
          </cell>
          <cell r="D106">
            <v>34.42</v>
          </cell>
          <cell r="E106">
            <v>537.53</v>
          </cell>
          <cell r="F106">
            <v>18</v>
          </cell>
          <cell r="G106">
            <v>329.27</v>
          </cell>
          <cell r="H106">
            <v>37.99</v>
          </cell>
          <cell r="I106">
            <v>244.52</v>
          </cell>
          <cell r="J106">
            <v>402.6</v>
          </cell>
          <cell r="K106">
            <v>16.25</v>
          </cell>
          <cell r="L106">
            <v>426.11</v>
          </cell>
          <cell r="M106">
            <v>462.7</v>
          </cell>
          <cell r="N106">
            <v>814.27</v>
          </cell>
          <cell r="O106">
            <v>183.86</v>
          </cell>
          <cell r="P106">
            <v>3507.52</v>
          </cell>
        </row>
        <row r="107">
          <cell r="A107">
            <v>51020203</v>
          </cell>
          <cell r="B107" t="str">
            <v xml:space="preserve">DEPRECIACIONES DE PLANTAS Y EQUIPOS                                   </v>
          </cell>
          <cell r="C107">
            <v>0</v>
          </cell>
          <cell r="D107">
            <v>7036.1</v>
          </cell>
          <cell r="E107">
            <v>7036.1</v>
          </cell>
          <cell r="F107">
            <v>7036.1</v>
          </cell>
          <cell r="G107">
            <v>7036.1</v>
          </cell>
          <cell r="H107">
            <v>7036.1</v>
          </cell>
          <cell r="I107">
            <v>7036.1</v>
          </cell>
          <cell r="J107">
            <v>7036.1</v>
          </cell>
          <cell r="K107">
            <v>7036.1</v>
          </cell>
          <cell r="L107">
            <v>7036.1</v>
          </cell>
          <cell r="M107">
            <v>7036.1</v>
          </cell>
          <cell r="N107">
            <v>7036.1</v>
          </cell>
          <cell r="O107">
            <v>7035.14</v>
          </cell>
          <cell r="P107">
            <v>84432.24</v>
          </cell>
        </row>
        <row r="108">
          <cell r="A108">
            <v>510202030002</v>
          </cell>
          <cell r="B108" t="str">
            <v xml:space="preserve">Costo de Depreciacion Maquinarias y Equipos                           </v>
          </cell>
          <cell r="C108">
            <v>0</v>
          </cell>
          <cell r="D108">
            <v>5279.66</v>
          </cell>
          <cell r="E108">
            <v>5279.66</v>
          </cell>
          <cell r="F108">
            <v>5279.66</v>
          </cell>
          <cell r="G108">
            <v>5279.66</v>
          </cell>
          <cell r="H108">
            <v>5279.66</v>
          </cell>
          <cell r="I108">
            <v>5279.66</v>
          </cell>
          <cell r="J108">
            <v>5279.66</v>
          </cell>
          <cell r="K108">
            <v>5279.66</v>
          </cell>
          <cell r="L108">
            <v>5279.66</v>
          </cell>
          <cell r="M108">
            <v>5279.66</v>
          </cell>
          <cell r="N108">
            <v>5279.66</v>
          </cell>
          <cell r="O108">
            <v>5278.7</v>
          </cell>
          <cell r="P108">
            <v>63354.96</v>
          </cell>
        </row>
        <row r="109">
          <cell r="A109">
            <v>510202030003</v>
          </cell>
          <cell r="B109" t="str">
            <v xml:space="preserve">Costo de Depreciación Muebles y Enseres                               </v>
          </cell>
          <cell r="C109">
            <v>0</v>
          </cell>
          <cell r="D109">
            <v>210.18</v>
          </cell>
          <cell r="E109">
            <v>210.18</v>
          </cell>
          <cell r="F109">
            <v>210.18</v>
          </cell>
          <cell r="G109">
            <v>210.18</v>
          </cell>
          <cell r="H109">
            <v>210.18</v>
          </cell>
          <cell r="I109">
            <v>210.18</v>
          </cell>
          <cell r="J109">
            <v>210.18</v>
          </cell>
          <cell r="K109">
            <v>210.18</v>
          </cell>
          <cell r="L109">
            <v>210.18</v>
          </cell>
          <cell r="M109">
            <v>210.18</v>
          </cell>
          <cell r="N109">
            <v>210.18</v>
          </cell>
          <cell r="O109">
            <v>210.18</v>
          </cell>
          <cell r="P109">
            <v>2522.16</v>
          </cell>
        </row>
        <row r="110">
          <cell r="A110">
            <v>510202030004</v>
          </cell>
          <cell r="B110" t="str">
            <v xml:space="preserve">Costo de Depreciación Equipos de Computación                          </v>
          </cell>
          <cell r="C110">
            <v>0</v>
          </cell>
          <cell r="D110">
            <v>95.85</v>
          </cell>
          <cell r="E110">
            <v>95.85</v>
          </cell>
          <cell r="F110">
            <v>95.85</v>
          </cell>
          <cell r="G110">
            <v>95.85</v>
          </cell>
          <cell r="H110">
            <v>95.85</v>
          </cell>
          <cell r="I110">
            <v>95.85</v>
          </cell>
          <cell r="J110">
            <v>95.85</v>
          </cell>
          <cell r="K110">
            <v>95.85</v>
          </cell>
          <cell r="L110">
            <v>95.85</v>
          </cell>
          <cell r="M110">
            <v>95.85</v>
          </cell>
          <cell r="N110">
            <v>95.85</v>
          </cell>
          <cell r="O110">
            <v>95.85</v>
          </cell>
          <cell r="P110">
            <v>1150.2</v>
          </cell>
        </row>
        <row r="111">
          <cell r="A111">
            <v>510202030005</v>
          </cell>
          <cell r="B111" t="str">
            <v xml:space="preserve">Costo de Depreciación de Vehículos                                    </v>
          </cell>
          <cell r="C111">
            <v>0</v>
          </cell>
          <cell r="D111">
            <v>1422.87</v>
          </cell>
          <cell r="E111">
            <v>1422.87</v>
          </cell>
          <cell r="F111">
            <v>1422.87</v>
          </cell>
          <cell r="G111">
            <v>1422.87</v>
          </cell>
          <cell r="H111">
            <v>1422.87</v>
          </cell>
          <cell r="I111">
            <v>1422.87</v>
          </cell>
          <cell r="J111">
            <v>1422.87</v>
          </cell>
          <cell r="K111">
            <v>1422.87</v>
          </cell>
          <cell r="L111">
            <v>1422.87</v>
          </cell>
          <cell r="M111">
            <v>1422.87</v>
          </cell>
          <cell r="N111">
            <v>1422.87</v>
          </cell>
          <cell r="O111">
            <v>1422.87</v>
          </cell>
          <cell r="P111">
            <v>17074.439999999999</v>
          </cell>
        </row>
        <row r="112">
          <cell r="A112">
            <v>510202030008</v>
          </cell>
          <cell r="B112" t="str">
            <v xml:space="preserve">Costo de Depreciación Equipos de seguridad                            </v>
          </cell>
          <cell r="C112">
            <v>0</v>
          </cell>
          <cell r="D112">
            <v>27.54</v>
          </cell>
          <cell r="E112">
            <v>27.54</v>
          </cell>
          <cell r="F112">
            <v>27.54</v>
          </cell>
          <cell r="G112">
            <v>27.54</v>
          </cell>
          <cell r="H112">
            <v>27.54</v>
          </cell>
          <cell r="I112">
            <v>27.54</v>
          </cell>
          <cell r="J112">
            <v>27.54</v>
          </cell>
          <cell r="K112">
            <v>27.54</v>
          </cell>
          <cell r="L112">
            <v>27.54</v>
          </cell>
          <cell r="M112">
            <v>27.54</v>
          </cell>
          <cell r="N112">
            <v>27.54</v>
          </cell>
          <cell r="O112">
            <v>27.54</v>
          </cell>
          <cell r="P112">
            <v>330.48</v>
          </cell>
        </row>
        <row r="113">
          <cell r="A113">
            <v>51020205</v>
          </cell>
          <cell r="B113" t="str">
            <v xml:space="preserve">OTROS COSTOS INDIRECTOS DE FABRICACION                                </v>
          </cell>
          <cell r="C113">
            <v>0</v>
          </cell>
          <cell r="D113">
            <v>65098.89</v>
          </cell>
          <cell r="E113">
            <v>75070.8</v>
          </cell>
          <cell r="F113">
            <v>66315.210000000006</v>
          </cell>
          <cell r="G113">
            <v>93077.36</v>
          </cell>
          <cell r="H113">
            <v>50355.61</v>
          </cell>
          <cell r="I113">
            <v>67235.960000000006</v>
          </cell>
          <cell r="J113">
            <v>67001.91</v>
          </cell>
          <cell r="K113">
            <v>132214.87</v>
          </cell>
          <cell r="L113">
            <v>183051.82</v>
          </cell>
          <cell r="M113">
            <v>338229.41</v>
          </cell>
          <cell r="N113">
            <v>487255.48</v>
          </cell>
          <cell r="O113">
            <v>989442.48</v>
          </cell>
          <cell r="P113">
            <v>2614349.7999999998</v>
          </cell>
        </row>
        <row r="114">
          <cell r="A114">
            <v>510202050001</v>
          </cell>
          <cell r="B114" t="str">
            <v xml:space="preserve">Mantenimiento de Maq y Equipos Indirectos                             </v>
          </cell>
          <cell r="C114">
            <v>0</v>
          </cell>
          <cell r="D114">
            <v>605</v>
          </cell>
          <cell r="E114">
            <v>552.04</v>
          </cell>
          <cell r="F114">
            <v>628.5</v>
          </cell>
          <cell r="G114">
            <v>1150.32</v>
          </cell>
          <cell r="H114">
            <v>275.01</v>
          </cell>
          <cell r="I114">
            <v>0</v>
          </cell>
          <cell r="J114">
            <v>867.99</v>
          </cell>
          <cell r="K114">
            <v>3254.11</v>
          </cell>
          <cell r="L114">
            <v>0</v>
          </cell>
          <cell r="M114">
            <v>946.5</v>
          </cell>
          <cell r="N114">
            <v>2400</v>
          </cell>
          <cell r="O114">
            <v>2646</v>
          </cell>
          <cell r="P114">
            <v>13325.47</v>
          </cell>
        </row>
        <row r="115">
          <cell r="A115">
            <v>510202050003</v>
          </cell>
          <cell r="B115" t="str">
            <v xml:space="preserve">Mantenimiento de Muebles y Equipo Planta                              </v>
          </cell>
          <cell r="C115">
            <v>0</v>
          </cell>
          <cell r="D115">
            <v>1160</v>
          </cell>
          <cell r="E115">
            <v>140</v>
          </cell>
          <cell r="F115">
            <v>0</v>
          </cell>
          <cell r="G115">
            <v>57.86</v>
          </cell>
          <cell r="H115">
            <v>150</v>
          </cell>
          <cell r="I115">
            <v>0</v>
          </cell>
          <cell r="J115">
            <v>166</v>
          </cell>
          <cell r="K115">
            <v>86</v>
          </cell>
          <cell r="L115">
            <v>1615</v>
          </cell>
          <cell r="M115">
            <v>157.5</v>
          </cell>
          <cell r="N115">
            <v>1990</v>
          </cell>
          <cell r="O115">
            <v>2472</v>
          </cell>
          <cell r="P115">
            <v>7994.36</v>
          </cell>
        </row>
        <row r="116">
          <cell r="A116">
            <v>510202050004</v>
          </cell>
          <cell r="B116" t="str">
            <v xml:space="preserve">Combustibles Bodega                                                   </v>
          </cell>
          <cell r="C116">
            <v>0</v>
          </cell>
          <cell r="D116">
            <v>1258.6099999999999</v>
          </cell>
          <cell r="E116">
            <v>1407.7</v>
          </cell>
          <cell r="F116">
            <v>1387.53</v>
          </cell>
          <cell r="G116">
            <v>1584.34</v>
          </cell>
          <cell r="H116">
            <v>1612.59</v>
          </cell>
          <cell r="I116">
            <v>1442.22</v>
          </cell>
          <cell r="J116">
            <v>1765.9</v>
          </cell>
          <cell r="K116">
            <v>1924.29</v>
          </cell>
          <cell r="L116">
            <v>1896</v>
          </cell>
          <cell r="M116">
            <v>2125.81</v>
          </cell>
          <cell r="N116">
            <v>2269.4299999999998</v>
          </cell>
          <cell r="O116">
            <v>1498.39</v>
          </cell>
          <cell r="P116">
            <v>20172.810000000001</v>
          </cell>
        </row>
        <row r="117">
          <cell r="A117">
            <v>510202050005</v>
          </cell>
          <cell r="B117" t="str">
            <v xml:space="preserve">Artículos de Seguridad                                                </v>
          </cell>
          <cell r="C117">
            <v>0</v>
          </cell>
          <cell r="D117">
            <v>0</v>
          </cell>
          <cell r="E117">
            <v>0</v>
          </cell>
          <cell r="F117">
            <v>0</v>
          </cell>
          <cell r="G117">
            <v>16.309999999999999</v>
          </cell>
          <cell r="H117">
            <v>0</v>
          </cell>
          <cell r="I117">
            <v>0</v>
          </cell>
          <cell r="J117">
            <v>0</v>
          </cell>
          <cell r="K117">
            <v>124.5</v>
          </cell>
          <cell r="L117">
            <v>0</v>
          </cell>
          <cell r="M117">
            <v>0</v>
          </cell>
          <cell r="N117">
            <v>0</v>
          </cell>
          <cell r="O117">
            <v>202.13</v>
          </cell>
          <cell r="P117">
            <v>342.94</v>
          </cell>
        </row>
        <row r="118">
          <cell r="A118">
            <v>510202050006</v>
          </cell>
          <cell r="B118" t="str">
            <v xml:space="preserve">Agua Planta                                                           </v>
          </cell>
          <cell r="C118">
            <v>0</v>
          </cell>
          <cell r="D118">
            <v>314.97000000000003</v>
          </cell>
          <cell r="E118">
            <v>253.97</v>
          </cell>
          <cell r="F118">
            <v>194.5</v>
          </cell>
          <cell r="G118">
            <v>214.34</v>
          </cell>
          <cell r="H118">
            <v>192.71</v>
          </cell>
          <cell r="I118">
            <v>350.32</v>
          </cell>
          <cell r="J118">
            <v>220.24</v>
          </cell>
          <cell r="K118">
            <v>540.17999999999995</v>
          </cell>
          <cell r="L118">
            <v>377.26</v>
          </cell>
          <cell r="M118">
            <v>261.45999999999998</v>
          </cell>
          <cell r="N118">
            <v>277.05</v>
          </cell>
          <cell r="O118">
            <v>266.14</v>
          </cell>
          <cell r="P118">
            <v>3463.14</v>
          </cell>
        </row>
        <row r="119">
          <cell r="A119">
            <v>510202050007</v>
          </cell>
          <cell r="B119" t="str">
            <v xml:space="preserve">Energía Eléctrica Planta                                              </v>
          </cell>
          <cell r="C119">
            <v>0</v>
          </cell>
          <cell r="D119">
            <v>6678.08</v>
          </cell>
          <cell r="E119">
            <v>6935.64</v>
          </cell>
          <cell r="F119">
            <v>6137.62</v>
          </cell>
          <cell r="G119">
            <v>8413.81</v>
          </cell>
          <cell r="H119">
            <v>8338.2800000000007</v>
          </cell>
          <cell r="I119">
            <v>8696.58</v>
          </cell>
          <cell r="J119">
            <v>0</v>
          </cell>
          <cell r="K119">
            <v>19380.71</v>
          </cell>
          <cell r="L119">
            <v>8939.94</v>
          </cell>
          <cell r="M119">
            <v>10613.66</v>
          </cell>
          <cell r="N119">
            <v>9807.89</v>
          </cell>
          <cell r="O119">
            <v>0</v>
          </cell>
          <cell r="P119">
            <v>93942.21</v>
          </cell>
        </row>
        <row r="120">
          <cell r="A120">
            <v>510202050010</v>
          </cell>
          <cell r="B120" t="str">
            <v xml:space="preserve">Fletes                                                                </v>
          </cell>
          <cell r="C120">
            <v>0</v>
          </cell>
          <cell r="D120">
            <v>10685</v>
          </cell>
          <cell r="E120">
            <v>700</v>
          </cell>
          <cell r="F120">
            <v>9475</v>
          </cell>
          <cell r="G120">
            <v>0</v>
          </cell>
          <cell r="H120">
            <v>9183</v>
          </cell>
          <cell r="I120">
            <v>8510</v>
          </cell>
          <cell r="J120">
            <v>9970</v>
          </cell>
          <cell r="K120">
            <v>12595</v>
          </cell>
          <cell r="L120">
            <v>7600</v>
          </cell>
          <cell r="M120">
            <v>8940.1</v>
          </cell>
          <cell r="N120">
            <v>11800</v>
          </cell>
          <cell r="O120">
            <v>130</v>
          </cell>
          <cell r="P120">
            <v>89588.1</v>
          </cell>
        </row>
        <row r="121">
          <cell r="A121">
            <v>510202050012</v>
          </cell>
          <cell r="B121" t="str">
            <v xml:space="preserve">Servicio de Corte                                                     </v>
          </cell>
          <cell r="C121">
            <v>0</v>
          </cell>
          <cell r="D121">
            <v>0</v>
          </cell>
          <cell r="E121">
            <v>80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80</v>
          </cell>
        </row>
        <row r="122">
          <cell r="A122">
            <v>510202050013</v>
          </cell>
          <cell r="B122" t="str">
            <v xml:space="preserve">Servicio de Manufactura Indirectos                                    </v>
          </cell>
          <cell r="C122">
            <v>0</v>
          </cell>
          <cell r="D122">
            <v>1001</v>
          </cell>
          <cell r="E122">
            <v>1001.6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2002.6</v>
          </cell>
        </row>
        <row r="123">
          <cell r="A123">
            <v>510202050014</v>
          </cell>
          <cell r="B123" t="str">
            <v xml:space="preserve">Gastos de control de calidad                                          </v>
          </cell>
          <cell r="C123">
            <v>0</v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194</v>
          </cell>
          <cell r="N123">
            <v>0</v>
          </cell>
          <cell r="O123">
            <v>0</v>
          </cell>
          <cell r="P123">
            <v>194</v>
          </cell>
        </row>
        <row r="124">
          <cell r="A124">
            <v>510202050015</v>
          </cell>
          <cell r="B124" t="str">
            <v xml:space="preserve">Mant.  Vehiculos Bodega                                               </v>
          </cell>
          <cell r="C124">
            <v>0</v>
          </cell>
          <cell r="D124">
            <v>12049.59</v>
          </cell>
          <cell r="E124">
            <v>2947.96</v>
          </cell>
          <cell r="F124">
            <v>2948.18</v>
          </cell>
          <cell r="G124">
            <v>1589.76</v>
          </cell>
          <cell r="H124">
            <v>1446.78</v>
          </cell>
          <cell r="I124">
            <v>5975.6</v>
          </cell>
          <cell r="J124">
            <v>5598.43</v>
          </cell>
          <cell r="K124">
            <v>3346.96</v>
          </cell>
          <cell r="L124">
            <v>3784.82</v>
          </cell>
          <cell r="M124">
            <v>3325.56</v>
          </cell>
          <cell r="N124">
            <v>20874.37</v>
          </cell>
          <cell r="O124">
            <v>10464.41</v>
          </cell>
          <cell r="P124">
            <v>74352.42</v>
          </cell>
        </row>
        <row r="125">
          <cell r="A125">
            <v>510202050016</v>
          </cell>
          <cell r="B125" t="str">
            <v xml:space="preserve">Suministros, Materiales y Repuestos Indirectos                        </v>
          </cell>
          <cell r="C125">
            <v>0</v>
          </cell>
          <cell r="D125">
            <v>9450.34</v>
          </cell>
          <cell r="E125">
            <v>8757.9</v>
          </cell>
          <cell r="F125">
            <v>11403.37</v>
          </cell>
          <cell r="G125">
            <v>11604.89</v>
          </cell>
          <cell r="H125">
            <v>10424.31</v>
          </cell>
          <cell r="I125">
            <v>10372.85</v>
          </cell>
          <cell r="J125">
            <v>15622.82</v>
          </cell>
          <cell r="K125">
            <v>20741.099999999999</v>
          </cell>
          <cell r="L125">
            <v>14802.24</v>
          </cell>
          <cell r="M125">
            <v>35957.08</v>
          </cell>
          <cell r="N125">
            <v>165461.48000000001</v>
          </cell>
          <cell r="O125">
            <v>737354.02</v>
          </cell>
          <cell r="P125">
            <v>1051952.3999999999</v>
          </cell>
        </row>
        <row r="126">
          <cell r="A126">
            <v>510202050017</v>
          </cell>
          <cell r="B126" t="str">
            <v xml:space="preserve">Servicio de Afilada de Cuchillas                                      </v>
          </cell>
          <cell r="C126">
            <v>0</v>
          </cell>
          <cell r="D126">
            <v>384.56</v>
          </cell>
          <cell r="E126">
            <v>505.78</v>
          </cell>
          <cell r="F126">
            <v>597.54999999999995</v>
          </cell>
          <cell r="G126">
            <v>415.8</v>
          </cell>
          <cell r="H126">
            <v>288.42</v>
          </cell>
          <cell r="I126">
            <v>459</v>
          </cell>
          <cell r="J126">
            <v>259.11</v>
          </cell>
          <cell r="K126">
            <v>349.6</v>
          </cell>
          <cell r="L126">
            <v>319.01</v>
          </cell>
          <cell r="M126">
            <v>530.86</v>
          </cell>
          <cell r="N126">
            <v>470.82</v>
          </cell>
          <cell r="O126">
            <v>339.72</v>
          </cell>
          <cell r="P126">
            <v>4920.2299999999996</v>
          </cell>
        </row>
        <row r="127">
          <cell r="A127">
            <v>510202050022</v>
          </cell>
          <cell r="B127" t="str">
            <v xml:space="preserve">Seguro de Vehiculos                                                   </v>
          </cell>
          <cell r="C127">
            <v>0</v>
          </cell>
          <cell r="D127">
            <v>0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1710.63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1710.63</v>
          </cell>
        </row>
        <row r="128">
          <cell r="A128">
            <v>510202050023</v>
          </cell>
          <cell r="B128" t="str">
            <v xml:space="preserve">Seguro SENAE                                                          </v>
          </cell>
          <cell r="C128">
            <v>0</v>
          </cell>
          <cell r="D128">
            <v>1107.92</v>
          </cell>
          <cell r="E128">
            <v>1107.92</v>
          </cell>
          <cell r="F128">
            <v>1107.92</v>
          </cell>
          <cell r="G128">
            <v>1107.92</v>
          </cell>
          <cell r="H128">
            <v>1107.92</v>
          </cell>
          <cell r="I128">
            <v>1107.92</v>
          </cell>
          <cell r="J128">
            <v>1107.92</v>
          </cell>
          <cell r="K128">
            <v>1107.92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8863.36</v>
          </cell>
        </row>
        <row r="129">
          <cell r="A129">
            <v>510202050025</v>
          </cell>
          <cell r="B129" t="str">
            <v xml:space="preserve">Asesorías                                                             </v>
          </cell>
          <cell r="C129">
            <v>0</v>
          </cell>
          <cell r="D129">
            <v>0</v>
          </cell>
          <cell r="E129">
            <v>0</v>
          </cell>
          <cell r="F129">
            <v>0</v>
          </cell>
          <cell r="G129">
            <v>450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450</v>
          </cell>
        </row>
        <row r="130">
          <cell r="A130">
            <v>510202050027</v>
          </cell>
          <cell r="B130" t="str">
            <v xml:space="preserve">Suministros de seguridad industrial (EPP Y OTROS )                    </v>
          </cell>
          <cell r="C130">
            <v>0</v>
          </cell>
          <cell r="D130">
            <v>454.8</v>
          </cell>
          <cell r="E130">
            <v>138.5</v>
          </cell>
          <cell r="F130">
            <v>66.400000000000006</v>
          </cell>
          <cell r="G130">
            <v>111.6</v>
          </cell>
          <cell r="H130">
            <v>252.67</v>
          </cell>
          <cell r="I130">
            <v>426.57</v>
          </cell>
          <cell r="J130">
            <v>209.21</v>
          </cell>
          <cell r="K130">
            <v>248.65</v>
          </cell>
          <cell r="L130">
            <v>92.8</v>
          </cell>
          <cell r="M130">
            <v>628.1</v>
          </cell>
          <cell r="N130">
            <v>254.88</v>
          </cell>
          <cell r="O130">
            <v>1181.5999999999999</v>
          </cell>
          <cell r="P130">
            <v>4065.78</v>
          </cell>
        </row>
        <row r="131">
          <cell r="A131">
            <v>510202050028</v>
          </cell>
          <cell r="B131" t="str">
            <v xml:space="preserve">Gastos movilizacion planta                                            </v>
          </cell>
          <cell r="C131">
            <v>0</v>
          </cell>
          <cell r="D131">
            <v>107.5</v>
          </cell>
          <cell r="E131">
            <v>451.23</v>
          </cell>
          <cell r="F131">
            <v>422.5</v>
          </cell>
          <cell r="G131">
            <v>294.23</v>
          </cell>
          <cell r="H131">
            <v>556.17999999999995</v>
          </cell>
          <cell r="I131">
            <v>1178</v>
          </cell>
          <cell r="J131">
            <v>444.5</v>
          </cell>
          <cell r="K131">
            <v>495.73</v>
          </cell>
          <cell r="L131">
            <v>525</v>
          </cell>
          <cell r="M131">
            <v>636.5</v>
          </cell>
          <cell r="N131">
            <v>438.15</v>
          </cell>
          <cell r="O131">
            <v>449.5</v>
          </cell>
          <cell r="P131">
            <v>5999.02</v>
          </cell>
        </row>
        <row r="132">
          <cell r="A132">
            <v>510202050029</v>
          </cell>
          <cell r="B132" t="str">
            <v xml:space="preserve">Honorarios profesionales planta                                       </v>
          </cell>
          <cell r="C132">
            <v>0</v>
          </cell>
          <cell r="D132">
            <v>550</v>
          </cell>
          <cell r="E132">
            <v>550</v>
          </cell>
          <cell r="F132">
            <v>550</v>
          </cell>
          <cell r="G132">
            <v>550</v>
          </cell>
          <cell r="H132">
            <v>550</v>
          </cell>
          <cell r="I132">
            <v>0</v>
          </cell>
          <cell r="J132">
            <v>550</v>
          </cell>
          <cell r="K132">
            <v>550</v>
          </cell>
          <cell r="L132">
            <v>550</v>
          </cell>
          <cell r="M132">
            <v>550</v>
          </cell>
          <cell r="N132">
            <v>550</v>
          </cell>
          <cell r="O132">
            <v>10150</v>
          </cell>
          <cell r="P132">
            <v>15650</v>
          </cell>
        </row>
        <row r="133">
          <cell r="A133">
            <v>510202050030</v>
          </cell>
          <cell r="B133" t="str">
            <v xml:space="preserve">Mantenimiento de instalaciones planta                                 </v>
          </cell>
          <cell r="C133">
            <v>0</v>
          </cell>
          <cell r="D133">
            <v>7145.57</v>
          </cell>
          <cell r="E133">
            <v>42867.34</v>
          </cell>
          <cell r="F133">
            <v>26993.66</v>
          </cell>
          <cell r="G133">
            <v>55878.99</v>
          </cell>
          <cell r="H133">
            <v>6209.63</v>
          </cell>
          <cell r="I133">
            <v>13621.3</v>
          </cell>
          <cell r="J133">
            <v>24630.53</v>
          </cell>
          <cell r="K133">
            <v>9191.27</v>
          </cell>
          <cell r="L133">
            <v>119494.64</v>
          </cell>
          <cell r="M133">
            <v>237502.35</v>
          </cell>
          <cell r="N133">
            <v>219271.29</v>
          </cell>
          <cell r="O133">
            <v>122445.62</v>
          </cell>
          <cell r="P133">
            <v>885252.19</v>
          </cell>
        </row>
        <row r="134">
          <cell r="A134">
            <v>510202050032</v>
          </cell>
          <cell r="B134" t="str">
            <v xml:space="preserve">Alquiler maquinarias y otros                                          </v>
          </cell>
          <cell r="C134">
            <v>0</v>
          </cell>
          <cell r="D134">
            <v>0</v>
          </cell>
          <cell r="E134">
            <v>0</v>
          </cell>
          <cell r="F134">
            <v>550</v>
          </cell>
          <cell r="G134">
            <v>1600</v>
          </cell>
          <cell r="H134">
            <v>471</v>
          </cell>
          <cell r="I134">
            <v>0</v>
          </cell>
          <cell r="J134">
            <v>0</v>
          </cell>
          <cell r="K134">
            <v>500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3121</v>
          </cell>
        </row>
        <row r="135">
          <cell r="A135">
            <v>510202050033</v>
          </cell>
          <cell r="B135" t="str">
            <v xml:space="preserve">Destrucción desechos - medio ambiente                                 </v>
          </cell>
          <cell r="C135">
            <v>0</v>
          </cell>
          <cell r="D135">
            <v>0</v>
          </cell>
          <cell r="E135">
            <v>0</v>
          </cell>
          <cell r="F135">
            <v>198.6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282.27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480.87</v>
          </cell>
        </row>
        <row r="136">
          <cell r="A136">
            <v>510202050034</v>
          </cell>
          <cell r="B136" t="str">
            <v xml:space="preserve">Iva costo                                                             </v>
          </cell>
          <cell r="C136">
            <v>0</v>
          </cell>
          <cell r="D136">
            <v>5088.91</v>
          </cell>
          <cell r="E136">
            <v>2109.4499999999998</v>
          </cell>
          <cell r="F136">
            <v>939.01</v>
          </cell>
          <cell r="G136">
            <v>2911.24</v>
          </cell>
          <cell r="H136">
            <v>1127.54</v>
          </cell>
          <cell r="I136">
            <v>1616.98</v>
          </cell>
          <cell r="J136">
            <v>894.66</v>
          </cell>
          <cell r="K136">
            <v>6634.56</v>
          </cell>
          <cell r="L136">
            <v>14310.02</v>
          </cell>
          <cell r="M136">
            <v>26585.19</v>
          </cell>
          <cell r="N136">
            <v>47693.25</v>
          </cell>
          <cell r="O136">
            <v>92841.24</v>
          </cell>
          <cell r="P136">
            <v>202752.05</v>
          </cell>
        </row>
        <row r="137">
          <cell r="A137">
            <v>510202050035</v>
          </cell>
          <cell r="B137" t="str">
            <v xml:space="preserve">Matrícula e impuestos Vehicular bodega                                </v>
          </cell>
          <cell r="C137">
            <v>0</v>
          </cell>
          <cell r="D137">
            <v>18.579999999999998</v>
          </cell>
          <cell r="E137">
            <v>0</v>
          </cell>
          <cell r="F137">
            <v>0</v>
          </cell>
          <cell r="G137">
            <v>928.21</v>
          </cell>
          <cell r="H137">
            <v>263.52999999999997</v>
          </cell>
          <cell r="I137">
            <v>347.62</v>
          </cell>
          <cell r="J137">
            <v>0</v>
          </cell>
          <cell r="K137">
            <v>2618.3000000000002</v>
          </cell>
          <cell r="L137">
            <v>194.38</v>
          </cell>
          <cell r="M137">
            <v>0</v>
          </cell>
          <cell r="N137">
            <v>261.89999999999998</v>
          </cell>
          <cell r="O137">
            <v>0</v>
          </cell>
          <cell r="P137">
            <v>4632.5200000000004</v>
          </cell>
        </row>
        <row r="138">
          <cell r="A138">
            <v>510202050036</v>
          </cell>
          <cell r="B138" t="str">
            <v xml:space="preserve">Otros pagos bienes y servicios planta                                 </v>
          </cell>
          <cell r="C138">
            <v>0</v>
          </cell>
          <cell r="D138">
            <v>2178.21</v>
          </cell>
          <cell r="E138">
            <v>727.26</v>
          </cell>
          <cell r="F138">
            <v>332.74</v>
          </cell>
          <cell r="G138">
            <v>566.80999999999995</v>
          </cell>
          <cell r="H138">
            <v>1144.45</v>
          </cell>
          <cell r="I138">
            <v>524.30999999999995</v>
          </cell>
          <cell r="J138">
            <v>679.45</v>
          </cell>
          <cell r="K138">
            <v>41980.54</v>
          </cell>
          <cell r="L138">
            <v>4752.9799999999996</v>
          </cell>
          <cell r="M138">
            <v>4501.8500000000004</v>
          </cell>
          <cell r="N138">
            <v>2457.27</v>
          </cell>
          <cell r="O138">
            <v>3144.89</v>
          </cell>
          <cell r="P138">
            <v>62990.76</v>
          </cell>
        </row>
        <row r="139">
          <cell r="A139">
            <v>510202050037</v>
          </cell>
          <cell r="B139" t="str">
            <v xml:space="preserve">Tasa de recolección de basura                                         </v>
          </cell>
          <cell r="C139">
            <v>0</v>
          </cell>
          <cell r="D139">
            <v>877.68</v>
          </cell>
          <cell r="E139">
            <v>818.04</v>
          </cell>
          <cell r="F139">
            <v>850.23</v>
          </cell>
          <cell r="G139">
            <v>1053.43</v>
          </cell>
          <cell r="H139">
            <v>1035.01</v>
          </cell>
          <cell r="I139">
            <v>1025.57</v>
          </cell>
          <cell r="J139">
            <v>1070.3499999999999</v>
          </cell>
          <cell r="K139">
            <v>1235.1300000000001</v>
          </cell>
          <cell r="L139">
            <v>1153.7</v>
          </cell>
          <cell r="M139">
            <v>1100.78</v>
          </cell>
          <cell r="N139">
            <v>0</v>
          </cell>
          <cell r="O139">
            <v>2519.25</v>
          </cell>
          <cell r="P139">
            <v>12739.17</v>
          </cell>
        </row>
        <row r="140">
          <cell r="A140">
            <v>510202050040</v>
          </cell>
          <cell r="B140" t="str">
            <v xml:space="preserve">Gastos de licencias - software y mant  ERP                            </v>
          </cell>
          <cell r="C140">
            <v>0</v>
          </cell>
          <cell r="D140">
            <v>1525.4</v>
          </cell>
          <cell r="E140">
            <v>1166</v>
          </cell>
          <cell r="F140">
            <v>0</v>
          </cell>
          <cell r="G140">
            <v>0</v>
          </cell>
          <cell r="H140">
            <v>4464</v>
          </cell>
          <cell r="I140">
            <v>0</v>
          </cell>
          <cell r="J140">
            <v>0</v>
          </cell>
          <cell r="K140">
            <v>0</v>
          </cell>
          <cell r="L140">
            <v>690</v>
          </cell>
          <cell r="M140">
            <v>0</v>
          </cell>
          <cell r="N140">
            <v>0</v>
          </cell>
          <cell r="O140">
            <v>0</v>
          </cell>
          <cell r="P140">
            <v>7845.4</v>
          </cell>
        </row>
        <row r="141">
          <cell r="A141">
            <v>510202050041</v>
          </cell>
          <cell r="B141" t="str">
            <v xml:space="preserve">Servicios de fumigación y control de plagas                           </v>
          </cell>
          <cell r="C141">
            <v>0</v>
          </cell>
          <cell r="D141">
            <v>300</v>
          </cell>
          <cell r="E141">
            <v>400</v>
          </cell>
          <cell r="F141">
            <v>400</v>
          </cell>
          <cell r="G141">
            <v>400</v>
          </cell>
          <cell r="H141">
            <v>400</v>
          </cell>
          <cell r="I141">
            <v>300</v>
          </cell>
          <cell r="J141">
            <v>300</v>
          </cell>
          <cell r="K141">
            <v>300</v>
          </cell>
          <cell r="L141">
            <v>300</v>
          </cell>
          <cell r="M141">
            <v>300</v>
          </cell>
          <cell r="N141">
            <v>300</v>
          </cell>
          <cell r="O141">
            <v>666</v>
          </cell>
          <cell r="P141">
            <v>4366</v>
          </cell>
        </row>
        <row r="142">
          <cell r="A142">
            <v>510202050042</v>
          </cell>
          <cell r="B142" t="str">
            <v xml:space="preserve">Mant equipos de computo                                               </v>
          </cell>
          <cell r="C142">
            <v>0</v>
          </cell>
          <cell r="D142">
            <v>1352</v>
          </cell>
          <cell r="E142">
            <v>0</v>
          </cell>
          <cell r="F142">
            <v>0</v>
          </cell>
          <cell r="G142">
            <v>1150.01</v>
          </cell>
          <cell r="H142">
            <v>0</v>
          </cell>
          <cell r="I142">
            <v>1002</v>
          </cell>
          <cell r="J142">
            <v>1002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4506.01</v>
          </cell>
        </row>
        <row r="143">
          <cell r="A143">
            <v>510202050043</v>
          </cell>
          <cell r="B143" t="str">
            <v xml:space="preserve">suministros y otros  (autoconsumo)                                    </v>
          </cell>
          <cell r="C143">
            <v>0</v>
          </cell>
          <cell r="D143">
            <v>0</v>
          </cell>
          <cell r="E143">
            <v>0</v>
          </cell>
          <cell r="F143">
            <v>0</v>
          </cell>
          <cell r="G143">
            <v>0</v>
          </cell>
          <cell r="H143">
            <v>0</v>
          </cell>
          <cell r="I143">
            <v>5460.93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5460.93</v>
          </cell>
        </row>
        <row r="144">
          <cell r="A144">
            <v>510202050044</v>
          </cell>
          <cell r="B144" t="str">
            <v xml:space="preserve">Suministros deoficina y computación planta                            </v>
          </cell>
          <cell r="C144">
            <v>0</v>
          </cell>
          <cell r="D144">
            <v>31.6</v>
          </cell>
          <cell r="E144">
            <v>662.91</v>
          </cell>
          <cell r="F144">
            <v>365.83</v>
          </cell>
          <cell r="G144">
            <v>283.70999999999998</v>
          </cell>
          <cell r="H144">
            <v>119.5</v>
          </cell>
          <cell r="I144">
            <v>2363.5</v>
          </cell>
          <cell r="J144">
            <v>500.25</v>
          </cell>
          <cell r="K144">
            <v>3860.26</v>
          </cell>
          <cell r="L144">
            <v>937.11</v>
          </cell>
          <cell r="M144">
            <v>2699.55</v>
          </cell>
          <cell r="N144">
            <v>5.14</v>
          </cell>
          <cell r="O144">
            <v>0</v>
          </cell>
          <cell r="P144">
            <v>11829.36</v>
          </cell>
        </row>
        <row r="145">
          <cell r="A145">
            <v>510202050046</v>
          </cell>
          <cell r="B145" t="str">
            <v xml:space="preserve">Seguro ambiental                                                      </v>
          </cell>
          <cell r="C145">
            <v>0</v>
          </cell>
          <cell r="D145">
            <v>29.76</v>
          </cell>
          <cell r="E145">
            <v>29.76</v>
          </cell>
          <cell r="F145">
            <v>22.25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81.77</v>
          </cell>
        </row>
        <row r="146">
          <cell r="A146">
            <v>510202050047</v>
          </cell>
          <cell r="B146" t="str">
            <v xml:space="preserve">Analisis y Costo de Gestion Ambiental                                 </v>
          </cell>
          <cell r="C146">
            <v>0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400</v>
          </cell>
          <cell r="K146">
            <v>150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550</v>
          </cell>
        </row>
        <row r="147">
          <cell r="A147">
            <v>510202050049</v>
          </cell>
          <cell r="B147" t="str">
            <v xml:space="preserve">Telefonia Celular                                                     </v>
          </cell>
          <cell r="C147">
            <v>0</v>
          </cell>
          <cell r="D147">
            <v>38.47</v>
          </cell>
          <cell r="E147">
            <v>54.46</v>
          </cell>
          <cell r="F147">
            <v>38.479999999999997</v>
          </cell>
          <cell r="G147">
            <v>38.44</v>
          </cell>
          <cell r="H147">
            <v>37.74</v>
          </cell>
          <cell r="I147">
            <v>38.72</v>
          </cell>
          <cell r="J147">
            <v>37.21</v>
          </cell>
          <cell r="K147">
            <v>38.72</v>
          </cell>
          <cell r="L147">
            <v>37.619999999999997</v>
          </cell>
          <cell r="M147">
            <v>38.76</v>
          </cell>
          <cell r="N147">
            <v>38.76</v>
          </cell>
          <cell r="O147">
            <v>37.770000000000003</v>
          </cell>
          <cell r="P147">
            <v>475.15</v>
          </cell>
        </row>
        <row r="148">
          <cell r="A148">
            <v>510202050050</v>
          </cell>
          <cell r="B148" t="str">
            <v xml:space="preserve">Rastreo Satelital                                                     </v>
          </cell>
          <cell r="C148">
            <v>0</v>
          </cell>
          <cell r="D148">
            <v>71.540000000000006</v>
          </cell>
          <cell r="E148">
            <v>71.540000000000006</v>
          </cell>
          <cell r="F148">
            <v>71.540000000000006</v>
          </cell>
          <cell r="G148">
            <v>71.540000000000006</v>
          </cell>
          <cell r="H148">
            <v>71.540000000000006</v>
          </cell>
          <cell r="I148">
            <v>71.540000000000006</v>
          </cell>
          <cell r="J148">
            <v>71.540000000000006</v>
          </cell>
          <cell r="K148">
            <v>45.27</v>
          </cell>
          <cell r="L148">
            <v>45.5</v>
          </cell>
          <cell r="M148">
            <v>0</v>
          </cell>
          <cell r="N148">
            <v>0</v>
          </cell>
          <cell r="O148">
            <v>0</v>
          </cell>
          <cell r="P148">
            <v>591.54999999999995</v>
          </cell>
        </row>
        <row r="149">
          <cell r="A149">
            <v>510202050051</v>
          </cell>
          <cell r="B149" t="str">
            <v xml:space="preserve">ARRIENDOS                                                             </v>
          </cell>
          <cell r="C149">
            <v>0</v>
          </cell>
          <cell r="D149">
            <v>633.79999999999995</v>
          </cell>
          <cell r="E149">
            <v>633.79999999999995</v>
          </cell>
          <cell r="F149">
            <v>633.79999999999995</v>
          </cell>
          <cell r="G149">
            <v>633.79999999999995</v>
          </cell>
          <cell r="H149">
            <v>633.79999999999995</v>
          </cell>
          <cell r="I149">
            <v>633.79999999999995</v>
          </cell>
          <cell r="J149">
            <v>633.79999999999995</v>
          </cell>
          <cell r="K149">
            <v>633.79999999999995</v>
          </cell>
          <cell r="L149">
            <v>633.79999999999995</v>
          </cell>
          <cell r="M149">
            <v>633.79999999999995</v>
          </cell>
          <cell r="N149">
            <v>633.79999999999995</v>
          </cell>
          <cell r="O149">
            <v>633.79999999999995</v>
          </cell>
          <cell r="P149">
            <v>7605.6</v>
          </cell>
        </row>
        <row r="150">
          <cell r="A150">
            <v>51020209</v>
          </cell>
          <cell r="B150" t="str">
            <v xml:space="preserve">TRANSFERENCIA COSTOS INDIRECTOS A COSTO PROD.                         </v>
          </cell>
          <cell r="C150">
            <v>0</v>
          </cell>
          <cell r="D150">
            <v>-115010.91</v>
          </cell>
          <cell r="E150">
            <v>-130288.43</v>
          </cell>
          <cell r="F150">
            <v>-113764.72</v>
          </cell>
          <cell r="G150">
            <v>-143055.71</v>
          </cell>
          <cell r="H150">
            <v>-101678.87</v>
          </cell>
          <cell r="I150">
            <v>-118768.56</v>
          </cell>
          <cell r="J150">
            <v>-120812.08</v>
          </cell>
          <cell r="K150">
            <v>-194629.87</v>
          </cell>
          <cell r="L150">
            <v>-238417.95</v>
          </cell>
          <cell r="M150">
            <v>-390697.66</v>
          </cell>
          <cell r="N150">
            <v>-598432.09</v>
          </cell>
          <cell r="O150">
            <v>-999091.43</v>
          </cell>
          <cell r="P150">
            <v>-3264648.28</v>
          </cell>
        </row>
        <row r="151">
          <cell r="A151">
            <v>510202090001</v>
          </cell>
          <cell r="B151" t="str">
            <v xml:space="preserve">Transferencia Costos Indirectos a Costo Producción                    </v>
          </cell>
          <cell r="C151">
            <v>0</v>
          </cell>
          <cell r="D151">
            <v>-115010.91</v>
          </cell>
          <cell r="E151">
            <v>-130288.43</v>
          </cell>
          <cell r="F151">
            <v>-113764.72</v>
          </cell>
          <cell r="G151">
            <v>-143055.71</v>
          </cell>
          <cell r="H151">
            <v>-101678.87</v>
          </cell>
          <cell r="I151">
            <v>-118768.56</v>
          </cell>
          <cell r="J151">
            <v>-120812.08</v>
          </cell>
          <cell r="K151">
            <v>-194629.87</v>
          </cell>
          <cell r="L151">
            <v>-238417.95</v>
          </cell>
          <cell r="M151">
            <v>-390697.66</v>
          </cell>
          <cell r="N151">
            <v>-598432.09</v>
          </cell>
          <cell r="O151">
            <v>-999091.43</v>
          </cell>
          <cell r="P151">
            <v>-3264648.28</v>
          </cell>
        </row>
        <row r="152">
          <cell r="A152">
            <v>5103</v>
          </cell>
          <cell r="B152" t="str">
            <v xml:space="preserve">COSTO DE PRODUCCION                                                   </v>
          </cell>
          <cell r="C152">
            <v>0</v>
          </cell>
          <cell r="D152">
            <v>-137.19</v>
          </cell>
          <cell r="E152">
            <v>-6.19</v>
          </cell>
          <cell r="F152">
            <v>0.64</v>
          </cell>
          <cell r="G152">
            <v>78.44</v>
          </cell>
          <cell r="H152">
            <v>14464.03</v>
          </cell>
          <cell r="I152">
            <v>-352.09</v>
          </cell>
          <cell r="J152">
            <v>19512.29</v>
          </cell>
          <cell r="K152">
            <v>10245.700000000001</v>
          </cell>
          <cell r="L152">
            <v>-13484.4</v>
          </cell>
          <cell r="M152">
            <v>-14862.58</v>
          </cell>
          <cell r="N152">
            <v>-159.11000000000001</v>
          </cell>
          <cell r="O152">
            <v>107692.86</v>
          </cell>
          <cell r="P152">
            <v>122992.4</v>
          </cell>
        </row>
        <row r="153">
          <cell r="A153">
            <v>510301</v>
          </cell>
          <cell r="B153" t="str">
            <v xml:space="preserve">COSTO DE PRODUCCION PROD TERMINADO                                    </v>
          </cell>
          <cell r="C153">
            <v>0</v>
          </cell>
          <cell r="D153">
            <v>759738.54</v>
          </cell>
          <cell r="E153">
            <v>971738.97</v>
          </cell>
          <cell r="F153">
            <v>1027501.19</v>
          </cell>
          <cell r="G153">
            <v>1455290.41</v>
          </cell>
          <cell r="H153">
            <v>984917.43</v>
          </cell>
          <cell r="I153">
            <v>1396109.85</v>
          </cell>
          <cell r="J153">
            <v>1406540.6</v>
          </cell>
          <cell r="K153">
            <v>1501147.43</v>
          </cell>
          <cell r="L153">
            <v>1631116.1</v>
          </cell>
          <cell r="M153">
            <v>2114150.16</v>
          </cell>
          <cell r="N153">
            <v>1871522.69</v>
          </cell>
          <cell r="O153">
            <v>750776.28</v>
          </cell>
          <cell r="P153">
            <v>15870549.65</v>
          </cell>
        </row>
        <row r="154">
          <cell r="A154">
            <v>51030101</v>
          </cell>
          <cell r="B154" t="str">
            <v xml:space="preserve">COSTO DE PRODUCCION PROD TERMINADO                                    </v>
          </cell>
          <cell r="C154">
            <v>0</v>
          </cell>
          <cell r="D154">
            <v>759738.54</v>
          </cell>
          <cell r="E154">
            <v>971738.97</v>
          </cell>
          <cell r="F154">
            <v>1027501.19</v>
          </cell>
          <cell r="G154">
            <v>1455290.41</v>
          </cell>
          <cell r="H154">
            <v>984917.43</v>
          </cell>
          <cell r="I154">
            <v>1396109.85</v>
          </cell>
          <cell r="J154">
            <v>1406540.6</v>
          </cell>
          <cell r="K154">
            <v>1501147.43</v>
          </cell>
          <cell r="L154">
            <v>1631116.1</v>
          </cell>
          <cell r="M154">
            <v>2114150.16</v>
          </cell>
          <cell r="N154">
            <v>1871522.69</v>
          </cell>
          <cell r="O154">
            <v>750776.28</v>
          </cell>
          <cell r="P154">
            <v>15870549.65</v>
          </cell>
        </row>
        <row r="155">
          <cell r="A155">
            <v>510301010002</v>
          </cell>
          <cell r="B155" t="str">
            <v xml:space="preserve">Costo de Producción Prod. Terminado                                   </v>
          </cell>
          <cell r="C155">
            <v>0</v>
          </cell>
          <cell r="D155">
            <v>759738.54</v>
          </cell>
          <cell r="E155">
            <v>971738.97</v>
          </cell>
          <cell r="F155">
            <v>1027501.19</v>
          </cell>
          <cell r="G155">
            <v>1455290.41</v>
          </cell>
          <cell r="H155">
            <v>984917.43</v>
          </cell>
          <cell r="I155">
            <v>1396109.85</v>
          </cell>
          <cell r="J155">
            <v>1406540.6</v>
          </cell>
          <cell r="K155">
            <v>1501147.43</v>
          </cell>
          <cell r="L155">
            <v>1631116.1</v>
          </cell>
          <cell r="M155">
            <v>2114150.16</v>
          </cell>
          <cell r="N155">
            <v>1871522.69</v>
          </cell>
          <cell r="O155">
            <v>750776.28</v>
          </cell>
          <cell r="P155">
            <v>15870549.65</v>
          </cell>
        </row>
        <row r="156">
          <cell r="A156">
            <v>510302</v>
          </cell>
          <cell r="B156" t="str">
            <v xml:space="preserve">COSTO DE PRODUCCION CONVERSION                                        </v>
          </cell>
          <cell r="C156">
            <v>0</v>
          </cell>
          <cell r="D156">
            <v>-759875.73</v>
          </cell>
          <cell r="E156">
            <v>-971745.16</v>
          </cell>
          <cell r="F156">
            <v>-1027500.55</v>
          </cell>
          <cell r="G156">
            <v>-1455211.97</v>
          </cell>
          <cell r="H156">
            <v>-970453.4</v>
          </cell>
          <cell r="I156">
            <v>-1396461.94</v>
          </cell>
          <cell r="J156">
            <v>-1387028.31</v>
          </cell>
          <cell r="K156">
            <v>-1490901.73</v>
          </cell>
          <cell r="L156">
            <v>-1644600.5</v>
          </cell>
          <cell r="M156">
            <v>-2129012.7400000002</v>
          </cell>
          <cell r="N156">
            <v>-1871681.8</v>
          </cell>
          <cell r="O156">
            <v>-643083.42000000004</v>
          </cell>
          <cell r="P156">
            <v>-15747557.25</v>
          </cell>
        </row>
        <row r="157">
          <cell r="A157">
            <v>51030201</v>
          </cell>
          <cell r="B157" t="str">
            <v xml:space="preserve">COSTO DE PRODUCCION CONVERSION                                        </v>
          </cell>
          <cell r="C157">
            <v>0</v>
          </cell>
          <cell r="D157">
            <v>-759875.73</v>
          </cell>
          <cell r="E157">
            <v>-971745.16</v>
          </cell>
          <cell r="F157">
            <v>-1027500.55</v>
          </cell>
          <cell r="G157">
            <v>-1455211.97</v>
          </cell>
          <cell r="H157">
            <v>-970453.4</v>
          </cell>
          <cell r="I157">
            <v>-1396461.94</v>
          </cell>
          <cell r="J157">
            <v>-1387028.31</v>
          </cell>
          <cell r="K157">
            <v>-1490901.73</v>
          </cell>
          <cell r="L157">
            <v>-1644600.5</v>
          </cell>
          <cell r="M157">
            <v>-2129012.7400000002</v>
          </cell>
          <cell r="N157">
            <v>-1871681.8</v>
          </cell>
          <cell r="O157">
            <v>-643083.42000000004</v>
          </cell>
          <cell r="P157">
            <v>-15747557.25</v>
          </cell>
        </row>
        <row r="158">
          <cell r="A158">
            <v>510302010002</v>
          </cell>
          <cell r="B158" t="str">
            <v xml:space="preserve">Consumo de MP bobinas para conversion                                 </v>
          </cell>
          <cell r="C158">
            <v>0</v>
          </cell>
          <cell r="D158">
            <v>0</v>
          </cell>
          <cell r="E158">
            <v>-8.0299999999999994</v>
          </cell>
          <cell r="F158">
            <v>0</v>
          </cell>
          <cell r="G158">
            <v>0</v>
          </cell>
          <cell r="H158">
            <v>-8317.3799999999992</v>
          </cell>
          <cell r="I158">
            <v>-365.81</v>
          </cell>
          <cell r="J158">
            <v>30791.86</v>
          </cell>
          <cell r="K158">
            <v>6935.39</v>
          </cell>
          <cell r="L158">
            <v>15484.16</v>
          </cell>
          <cell r="M158">
            <v>-44519.99</v>
          </cell>
          <cell r="N158">
            <v>-0.12</v>
          </cell>
          <cell r="O158">
            <v>9566.67</v>
          </cell>
          <cell r="P158">
            <v>9566.75</v>
          </cell>
        </row>
        <row r="159">
          <cell r="A159">
            <v>510302010099</v>
          </cell>
          <cell r="B159" t="str">
            <v xml:space="preserve">Transferencia Costo Produccion Materia Prima                          </v>
          </cell>
          <cell r="C159">
            <v>0</v>
          </cell>
          <cell r="D159">
            <v>-759875.73</v>
          </cell>
          <cell r="E159">
            <v>-971737.13</v>
          </cell>
          <cell r="F159">
            <v>-1027500.55</v>
          </cell>
          <cell r="G159">
            <v>-1455211.97</v>
          </cell>
          <cell r="H159">
            <v>-962136.02</v>
          </cell>
          <cell r="I159">
            <v>-1396096.13</v>
          </cell>
          <cell r="J159">
            <v>-1417820.17</v>
          </cell>
          <cell r="K159">
            <v>-1497837.12</v>
          </cell>
          <cell r="L159">
            <v>-1660084.66</v>
          </cell>
          <cell r="M159">
            <v>-2084492.75</v>
          </cell>
          <cell r="N159">
            <v>-1871681.68</v>
          </cell>
          <cell r="O159">
            <v>-652650.09</v>
          </cell>
          <cell r="P159">
            <v>-15757124</v>
          </cell>
        </row>
        <row r="160">
          <cell r="A160">
            <v>52</v>
          </cell>
          <cell r="B160" t="str">
            <v xml:space="preserve">GASTOS DE ADMINISTRACION &amp; VENTAS                                     </v>
          </cell>
          <cell r="C160">
            <v>0</v>
          </cell>
          <cell r="D160">
            <v>139080.07</v>
          </cell>
          <cell r="E160">
            <v>121581.53</v>
          </cell>
          <cell r="F160">
            <v>162258.78</v>
          </cell>
          <cell r="G160">
            <v>127021.22</v>
          </cell>
          <cell r="H160">
            <v>122952.25</v>
          </cell>
          <cell r="I160">
            <v>166571.54999999999</v>
          </cell>
          <cell r="J160">
            <v>172242.92</v>
          </cell>
          <cell r="K160">
            <v>220752.74</v>
          </cell>
          <cell r="L160">
            <v>172729.74</v>
          </cell>
          <cell r="M160">
            <v>167418.65</v>
          </cell>
          <cell r="N160">
            <v>618324.21</v>
          </cell>
          <cell r="O160">
            <v>1030724.03</v>
          </cell>
          <cell r="P160">
            <v>3221657.69</v>
          </cell>
        </row>
        <row r="161">
          <cell r="A161">
            <v>5201</v>
          </cell>
          <cell r="B161" t="str">
            <v xml:space="preserve">GASTOS DE VENTA                                                       </v>
          </cell>
          <cell r="C161">
            <v>0</v>
          </cell>
          <cell r="D161">
            <v>31083.24</v>
          </cell>
          <cell r="E161">
            <v>31727.87</v>
          </cell>
          <cell r="F161">
            <v>33716.129999999997</v>
          </cell>
          <cell r="G161">
            <v>36980.39</v>
          </cell>
          <cell r="H161">
            <v>35434.410000000003</v>
          </cell>
          <cell r="I161">
            <v>40568.18</v>
          </cell>
          <cell r="J161">
            <v>36409.32</v>
          </cell>
          <cell r="K161">
            <v>35834.089999999997</v>
          </cell>
          <cell r="L161">
            <v>41534.03</v>
          </cell>
          <cell r="M161">
            <v>49697.47</v>
          </cell>
          <cell r="N161">
            <v>48540.86</v>
          </cell>
          <cell r="O161">
            <v>39758.47</v>
          </cell>
          <cell r="P161">
            <v>461284.46</v>
          </cell>
        </row>
        <row r="162">
          <cell r="A162">
            <v>520101</v>
          </cell>
          <cell r="B162" t="str">
            <v xml:space="preserve">SUELDOS, SALARIOS Y DEMÁS REMUNERACIONES                              </v>
          </cell>
          <cell r="C162">
            <v>0</v>
          </cell>
          <cell r="D162">
            <v>31083.24</v>
          </cell>
          <cell r="E162">
            <v>31727.87</v>
          </cell>
          <cell r="F162">
            <v>33716.129999999997</v>
          </cell>
          <cell r="G162">
            <v>36980.39</v>
          </cell>
          <cell r="H162">
            <v>35434.410000000003</v>
          </cell>
          <cell r="I162">
            <v>40568.18</v>
          </cell>
          <cell r="J162">
            <v>36409.32</v>
          </cell>
          <cell r="K162">
            <v>35834.089999999997</v>
          </cell>
          <cell r="L162">
            <v>41534.03</v>
          </cell>
          <cell r="M162">
            <v>49697.47</v>
          </cell>
          <cell r="N162">
            <v>48540.86</v>
          </cell>
          <cell r="O162">
            <v>39758.47</v>
          </cell>
          <cell r="P162">
            <v>461284.46</v>
          </cell>
        </row>
        <row r="163">
          <cell r="A163">
            <v>52010101</v>
          </cell>
          <cell r="B163" t="str">
            <v xml:space="preserve">GASTOS DE NOMINA DE VENTAS                                            </v>
          </cell>
          <cell r="C163">
            <v>0</v>
          </cell>
          <cell r="D163">
            <v>22437.95</v>
          </cell>
          <cell r="E163">
            <v>25227.78</v>
          </cell>
          <cell r="F163">
            <v>23708.29</v>
          </cell>
          <cell r="G163">
            <v>28036.6</v>
          </cell>
          <cell r="H163">
            <v>28690.34</v>
          </cell>
          <cell r="I163">
            <v>32301.1</v>
          </cell>
          <cell r="J163">
            <v>26150.03</v>
          </cell>
          <cell r="K163">
            <v>27796.799999999999</v>
          </cell>
          <cell r="L163">
            <v>32977.32</v>
          </cell>
          <cell r="M163">
            <v>35314.879999999997</v>
          </cell>
          <cell r="N163">
            <v>36721.160000000003</v>
          </cell>
          <cell r="O163">
            <v>34258.639999999999</v>
          </cell>
          <cell r="P163">
            <v>353620.89</v>
          </cell>
        </row>
        <row r="164">
          <cell r="A164">
            <v>520101010001</v>
          </cell>
          <cell r="B164" t="str">
            <v xml:space="preserve">Sueldos                                                               </v>
          </cell>
          <cell r="C164">
            <v>0</v>
          </cell>
          <cell r="D164">
            <v>11950</v>
          </cell>
          <cell r="E164">
            <v>10483.33</v>
          </cell>
          <cell r="F164">
            <v>10403.33</v>
          </cell>
          <cell r="G164">
            <v>10950.04</v>
          </cell>
          <cell r="H164">
            <v>11450.06</v>
          </cell>
          <cell r="I164">
            <v>12062.55</v>
          </cell>
          <cell r="J164">
            <v>11916.72</v>
          </cell>
          <cell r="K164">
            <v>12219.01</v>
          </cell>
          <cell r="L164">
            <v>12908</v>
          </cell>
          <cell r="M164">
            <v>13033</v>
          </cell>
          <cell r="N164">
            <v>13103</v>
          </cell>
          <cell r="O164">
            <v>12958</v>
          </cell>
          <cell r="P164">
            <v>143437.04</v>
          </cell>
        </row>
        <row r="165">
          <cell r="A165">
            <v>520101010002</v>
          </cell>
          <cell r="B165" t="str">
            <v xml:space="preserve">Sobretiempos                                                          </v>
          </cell>
          <cell r="C165">
            <v>0</v>
          </cell>
          <cell r="D165">
            <v>765.19</v>
          </cell>
          <cell r="E165">
            <v>659.19</v>
          </cell>
          <cell r="F165">
            <v>924.88</v>
          </cell>
          <cell r="G165">
            <v>1168.47</v>
          </cell>
          <cell r="H165">
            <v>1524.12</v>
          </cell>
          <cell r="I165">
            <v>1247.67</v>
          </cell>
          <cell r="J165">
            <v>1519.48</v>
          </cell>
          <cell r="K165">
            <v>1928.85</v>
          </cell>
          <cell r="L165">
            <v>2943.04</v>
          </cell>
          <cell r="M165">
            <v>2961.1</v>
          </cell>
          <cell r="N165">
            <v>2572.0100000000002</v>
          </cell>
          <cell r="O165">
            <v>2632.46</v>
          </cell>
          <cell r="P165">
            <v>20846.46</v>
          </cell>
        </row>
        <row r="166">
          <cell r="A166">
            <v>520101010003</v>
          </cell>
          <cell r="B166" t="str">
            <v xml:space="preserve">Comisiones                                                            </v>
          </cell>
          <cell r="C166">
            <v>0</v>
          </cell>
          <cell r="D166">
            <v>2938.41</v>
          </cell>
          <cell r="E166">
            <v>6797.67</v>
          </cell>
          <cell r="F166">
            <v>5729.52</v>
          </cell>
          <cell r="G166">
            <v>8123.86</v>
          </cell>
          <cell r="H166">
            <v>7819.83</v>
          </cell>
          <cell r="I166">
            <v>10689.05</v>
          </cell>
          <cell r="J166">
            <v>5305.5</v>
          </cell>
          <cell r="K166">
            <v>5938.92</v>
          </cell>
          <cell r="L166">
            <v>8335.7099999999991</v>
          </cell>
          <cell r="M166">
            <v>9802.83</v>
          </cell>
          <cell r="N166">
            <v>11221.09</v>
          </cell>
          <cell r="O166">
            <v>9463.76</v>
          </cell>
          <cell r="P166">
            <v>92166.15</v>
          </cell>
        </row>
        <row r="167">
          <cell r="A167">
            <v>520101010004</v>
          </cell>
          <cell r="B167" t="str">
            <v xml:space="preserve">Aporte Patronal 12.15%                                                </v>
          </cell>
          <cell r="C167">
            <v>0</v>
          </cell>
          <cell r="D167">
            <v>1956.12</v>
          </cell>
          <cell r="E167">
            <v>2233.96</v>
          </cell>
          <cell r="F167">
            <v>2094.2199999999998</v>
          </cell>
          <cell r="G167">
            <v>2390.7199999999998</v>
          </cell>
          <cell r="H167">
            <v>2526.52</v>
          </cell>
          <cell r="I167">
            <v>2857.31</v>
          </cell>
          <cell r="J167">
            <v>2288.62</v>
          </cell>
          <cell r="K167">
            <v>2428.9899999999998</v>
          </cell>
          <cell r="L167">
            <v>2938.7</v>
          </cell>
          <cell r="M167">
            <v>3134.33</v>
          </cell>
          <cell r="N167">
            <v>3250.29</v>
          </cell>
          <cell r="O167">
            <v>3114.47</v>
          </cell>
          <cell r="P167">
            <v>31214.25</v>
          </cell>
        </row>
        <row r="168">
          <cell r="A168">
            <v>520101010005</v>
          </cell>
          <cell r="B168" t="str">
            <v xml:space="preserve">Fondo de Reserva                                                      </v>
          </cell>
          <cell r="C168">
            <v>0</v>
          </cell>
          <cell r="D168">
            <v>1136.4000000000001</v>
          </cell>
          <cell r="E168">
            <v>1223.47</v>
          </cell>
          <cell r="F168">
            <v>1224.29</v>
          </cell>
          <cell r="G168">
            <v>1295.3699999999999</v>
          </cell>
          <cell r="H168">
            <v>1346.74</v>
          </cell>
          <cell r="I168">
            <v>1673.88</v>
          </cell>
          <cell r="J168">
            <v>1222.6400000000001</v>
          </cell>
          <cell r="K168">
            <v>1230.3900000000001</v>
          </cell>
          <cell r="L168">
            <v>1383.12</v>
          </cell>
          <cell r="M168">
            <v>1778.58</v>
          </cell>
          <cell r="N168">
            <v>1890.21</v>
          </cell>
          <cell r="O168">
            <v>1741.72</v>
          </cell>
          <cell r="P168">
            <v>17146.810000000001</v>
          </cell>
        </row>
        <row r="169">
          <cell r="A169">
            <v>520101010006</v>
          </cell>
          <cell r="B169" t="str">
            <v xml:space="preserve">Decimo Tercer Sueldo                                                  </v>
          </cell>
          <cell r="C169">
            <v>0</v>
          </cell>
          <cell r="D169">
            <v>1293.3800000000001</v>
          </cell>
          <cell r="E169">
            <v>1483.94</v>
          </cell>
          <cell r="F169">
            <v>1417.07</v>
          </cell>
          <cell r="G169">
            <v>1686.9</v>
          </cell>
          <cell r="H169">
            <v>1732.84</v>
          </cell>
          <cell r="I169">
            <v>1959.73</v>
          </cell>
          <cell r="J169">
            <v>1561.84</v>
          </cell>
          <cell r="K169">
            <v>1673.94</v>
          </cell>
          <cell r="L169">
            <v>2015.59</v>
          </cell>
          <cell r="M169">
            <v>2149.7800000000002</v>
          </cell>
          <cell r="N169">
            <v>2229.3000000000002</v>
          </cell>
          <cell r="O169">
            <v>2087.88</v>
          </cell>
          <cell r="P169">
            <v>21292.19</v>
          </cell>
        </row>
        <row r="170">
          <cell r="A170">
            <v>520101010007</v>
          </cell>
          <cell r="B170" t="str">
            <v xml:space="preserve">Decimo Cuarto Sueldo                                                  </v>
          </cell>
          <cell r="C170">
            <v>0</v>
          </cell>
          <cell r="D170">
            <v>491.06</v>
          </cell>
          <cell r="E170">
            <v>499.95</v>
          </cell>
          <cell r="F170">
            <v>499.95</v>
          </cell>
          <cell r="G170">
            <v>549.95000000000005</v>
          </cell>
          <cell r="H170">
            <v>564.39</v>
          </cell>
          <cell r="I170">
            <v>562.16</v>
          </cell>
          <cell r="J170">
            <v>592.16999999999996</v>
          </cell>
          <cell r="K170">
            <v>618.83000000000004</v>
          </cell>
          <cell r="L170">
            <v>666.6</v>
          </cell>
          <cell r="M170">
            <v>666.6</v>
          </cell>
          <cell r="N170">
            <v>666.6</v>
          </cell>
          <cell r="O170">
            <v>1011.6</v>
          </cell>
          <cell r="P170">
            <v>7389.86</v>
          </cell>
        </row>
        <row r="171">
          <cell r="A171">
            <v>520101010008</v>
          </cell>
          <cell r="B171" t="str">
            <v xml:space="preserve">Vacaciones                                                            </v>
          </cell>
          <cell r="C171">
            <v>0</v>
          </cell>
          <cell r="D171">
            <v>492.36</v>
          </cell>
          <cell r="E171">
            <v>431.24</v>
          </cell>
          <cell r="F171">
            <v>0</v>
          </cell>
          <cell r="G171">
            <v>456.26</v>
          </cell>
          <cell r="H171">
            <v>477.09</v>
          </cell>
          <cell r="I171">
            <v>0</v>
          </cell>
          <cell r="J171">
            <v>494.31</v>
          </cell>
          <cell r="K171">
            <v>509.12</v>
          </cell>
          <cell r="L171">
            <v>537.80999999999995</v>
          </cell>
          <cell r="M171">
            <v>539.91</v>
          </cell>
          <cell r="N171">
            <v>539.91</v>
          </cell>
          <cell r="O171">
            <v>0</v>
          </cell>
          <cell r="P171">
            <v>4478.01</v>
          </cell>
        </row>
        <row r="172">
          <cell r="A172">
            <v>520101010009</v>
          </cell>
          <cell r="B172" t="str">
            <v xml:space="preserve">Desahucio Ventas                                                      </v>
          </cell>
          <cell r="C172">
            <v>0</v>
          </cell>
          <cell r="D172">
            <v>369.61</v>
          </cell>
          <cell r="E172">
            <v>369.61</v>
          </cell>
          <cell r="F172">
            <v>369.61</v>
          </cell>
          <cell r="G172">
            <v>369.61</v>
          </cell>
          <cell r="H172">
            <v>314.29000000000002</v>
          </cell>
          <cell r="I172">
            <v>314.29000000000002</v>
          </cell>
          <cell r="J172">
            <v>314.29000000000002</v>
          </cell>
          <cell r="K172">
            <v>314.29000000000002</v>
          </cell>
          <cell r="L172">
            <v>314.29000000000002</v>
          </cell>
          <cell r="M172">
            <v>314.29000000000002</v>
          </cell>
          <cell r="N172">
            <v>314.29000000000002</v>
          </cell>
          <cell r="O172">
            <v>314.29000000000002</v>
          </cell>
          <cell r="P172">
            <v>3992.76</v>
          </cell>
        </row>
        <row r="173">
          <cell r="A173">
            <v>520101010012</v>
          </cell>
          <cell r="B173" t="str">
            <v xml:space="preserve">Jubilación Patronal Ventas                                            </v>
          </cell>
          <cell r="C173">
            <v>0</v>
          </cell>
          <cell r="D173">
            <v>1045.42</v>
          </cell>
          <cell r="E173">
            <v>1045.42</v>
          </cell>
          <cell r="F173">
            <v>1045.42</v>
          </cell>
          <cell r="G173">
            <v>1045.42</v>
          </cell>
          <cell r="H173">
            <v>934.46</v>
          </cell>
          <cell r="I173">
            <v>934.46</v>
          </cell>
          <cell r="J173">
            <v>934.46</v>
          </cell>
          <cell r="K173">
            <v>934.46</v>
          </cell>
          <cell r="L173">
            <v>934.46</v>
          </cell>
          <cell r="M173">
            <v>934.46</v>
          </cell>
          <cell r="N173">
            <v>934.46</v>
          </cell>
          <cell r="O173">
            <v>934.46</v>
          </cell>
          <cell r="P173">
            <v>11657.36</v>
          </cell>
        </row>
        <row r="174">
          <cell r="A174">
            <v>52010102</v>
          </cell>
          <cell r="B174" t="str">
            <v xml:space="preserve">OTRAS GASTOS DE PERSONAL                                              </v>
          </cell>
          <cell r="C174">
            <v>0</v>
          </cell>
          <cell r="D174">
            <v>1047.71</v>
          </cell>
          <cell r="E174">
            <v>1142.04</v>
          </cell>
          <cell r="F174">
            <v>1410.41</v>
          </cell>
          <cell r="G174">
            <v>1242.23</v>
          </cell>
          <cell r="H174">
            <v>382.83</v>
          </cell>
          <cell r="I174">
            <v>1202.9000000000001</v>
          </cell>
          <cell r="J174">
            <v>955.13</v>
          </cell>
          <cell r="K174">
            <v>999.07</v>
          </cell>
          <cell r="L174">
            <v>754.7</v>
          </cell>
          <cell r="M174">
            <v>1288.73</v>
          </cell>
          <cell r="N174">
            <v>668.18</v>
          </cell>
          <cell r="O174">
            <v>1026.03</v>
          </cell>
          <cell r="P174">
            <v>12119.96</v>
          </cell>
        </row>
        <row r="175">
          <cell r="A175">
            <v>520101020002</v>
          </cell>
          <cell r="B175" t="str">
            <v xml:space="preserve">Alimentacion Ventas                                                   </v>
          </cell>
          <cell r="C175">
            <v>0</v>
          </cell>
          <cell r="D175">
            <v>1047.71</v>
          </cell>
          <cell r="E175">
            <v>531.74</v>
          </cell>
          <cell r="F175">
            <v>1364.88</v>
          </cell>
          <cell r="G175">
            <v>1017.23</v>
          </cell>
          <cell r="H175">
            <v>382.83</v>
          </cell>
          <cell r="I175">
            <v>1202.9000000000001</v>
          </cell>
          <cell r="J175">
            <v>955.13</v>
          </cell>
          <cell r="K175">
            <v>999.07</v>
          </cell>
          <cell r="L175">
            <v>727.2</v>
          </cell>
          <cell r="M175">
            <v>1288.73</v>
          </cell>
          <cell r="N175">
            <v>668.18</v>
          </cell>
          <cell r="O175">
            <v>1026.03</v>
          </cell>
          <cell r="P175">
            <v>11211.63</v>
          </cell>
        </row>
        <row r="176">
          <cell r="A176">
            <v>520101020006</v>
          </cell>
          <cell r="B176" t="str">
            <v xml:space="preserve">Capacitación y Seminarios Ventas                                      </v>
          </cell>
          <cell r="C176">
            <v>0</v>
          </cell>
          <cell r="D176">
            <v>0</v>
          </cell>
          <cell r="E176">
            <v>540</v>
          </cell>
          <cell r="F176">
            <v>0</v>
          </cell>
          <cell r="G176">
            <v>225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27.5</v>
          </cell>
          <cell r="M176">
            <v>0</v>
          </cell>
          <cell r="N176">
            <v>0</v>
          </cell>
          <cell r="O176">
            <v>0</v>
          </cell>
          <cell r="P176">
            <v>792.5</v>
          </cell>
        </row>
        <row r="177">
          <cell r="A177">
            <v>520101020008</v>
          </cell>
          <cell r="B177" t="str">
            <v xml:space="preserve">Otros gastos de personal Ventas                                       </v>
          </cell>
          <cell r="C177">
            <v>0</v>
          </cell>
          <cell r="D177">
            <v>0</v>
          </cell>
          <cell r="E177">
            <v>70.3</v>
          </cell>
          <cell r="F177">
            <v>45.53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  <cell r="P177">
            <v>115.83</v>
          </cell>
        </row>
        <row r="178">
          <cell r="A178">
            <v>52010103</v>
          </cell>
          <cell r="B178" t="str">
            <v xml:space="preserve">GASTOS  GENERALES  DE VENTA                                           </v>
          </cell>
          <cell r="C178">
            <v>0</v>
          </cell>
          <cell r="D178">
            <v>7597.58</v>
          </cell>
          <cell r="E178">
            <v>5358.05</v>
          </cell>
          <cell r="F178">
            <v>8597.43</v>
          </cell>
          <cell r="G178">
            <v>7701.56</v>
          </cell>
          <cell r="H178">
            <v>6361.24</v>
          </cell>
          <cell r="I178">
            <v>7064.18</v>
          </cell>
          <cell r="J178">
            <v>9304.16</v>
          </cell>
          <cell r="K178">
            <v>7038.22</v>
          </cell>
          <cell r="L178">
            <v>7802.01</v>
          </cell>
          <cell r="M178">
            <v>13093.86</v>
          </cell>
          <cell r="N178">
            <v>11151.52</v>
          </cell>
          <cell r="O178">
            <v>4473.8</v>
          </cell>
          <cell r="P178">
            <v>95543.61</v>
          </cell>
        </row>
        <row r="179">
          <cell r="A179">
            <v>520101030002</v>
          </cell>
          <cell r="B179" t="str">
            <v xml:space="preserve">Promoción y Publicidad                                                </v>
          </cell>
          <cell r="C179">
            <v>0</v>
          </cell>
          <cell r="D179">
            <v>0</v>
          </cell>
          <cell r="E179">
            <v>397.5</v>
          </cell>
          <cell r="F179">
            <v>397.5</v>
          </cell>
          <cell r="G179">
            <v>397.5</v>
          </cell>
          <cell r="H179">
            <v>397.5</v>
          </cell>
          <cell r="I179">
            <v>397.5</v>
          </cell>
          <cell r="J179">
            <v>397.5</v>
          </cell>
          <cell r="K179">
            <v>397.5</v>
          </cell>
          <cell r="L179">
            <v>2937.5</v>
          </cell>
          <cell r="M179">
            <v>0</v>
          </cell>
          <cell r="N179">
            <v>1500</v>
          </cell>
          <cell r="O179">
            <v>0</v>
          </cell>
          <cell r="P179">
            <v>7220</v>
          </cell>
        </row>
        <row r="180">
          <cell r="A180">
            <v>520101030003</v>
          </cell>
          <cell r="B180" t="str">
            <v xml:space="preserve">Gastos de Viaje Ventas                                                </v>
          </cell>
          <cell r="C180">
            <v>0</v>
          </cell>
          <cell r="D180">
            <v>0</v>
          </cell>
          <cell r="E180">
            <v>10</v>
          </cell>
          <cell r="F180">
            <v>0</v>
          </cell>
          <cell r="G180">
            <v>0</v>
          </cell>
          <cell r="H180">
            <v>0</v>
          </cell>
          <cell r="I180">
            <v>0</v>
          </cell>
          <cell r="J180">
            <v>1247</v>
          </cell>
          <cell r="K180">
            <v>336.51</v>
          </cell>
          <cell r="L180">
            <v>0</v>
          </cell>
          <cell r="M180">
            <v>0</v>
          </cell>
          <cell r="N180">
            <v>0</v>
          </cell>
          <cell r="O180">
            <v>80</v>
          </cell>
          <cell r="P180">
            <v>1673.51</v>
          </cell>
        </row>
        <row r="181">
          <cell r="A181">
            <v>520101030004</v>
          </cell>
          <cell r="B181" t="str">
            <v xml:space="preserve">Mant. Vehiculos Ventas                                                </v>
          </cell>
          <cell r="C181">
            <v>0</v>
          </cell>
          <cell r="D181">
            <v>1713.37</v>
          </cell>
          <cell r="E181">
            <v>74.14</v>
          </cell>
          <cell r="F181">
            <v>251.6</v>
          </cell>
          <cell r="G181">
            <v>0</v>
          </cell>
          <cell r="H181">
            <v>0</v>
          </cell>
          <cell r="I181">
            <v>412.85</v>
          </cell>
          <cell r="J181">
            <v>433.42</v>
          </cell>
          <cell r="K181">
            <v>462.94</v>
          </cell>
          <cell r="L181">
            <v>1421.97</v>
          </cell>
          <cell r="M181">
            <v>0</v>
          </cell>
          <cell r="N181">
            <v>0</v>
          </cell>
          <cell r="O181">
            <v>69.66</v>
          </cell>
          <cell r="P181">
            <v>4839.95</v>
          </cell>
        </row>
        <row r="182">
          <cell r="A182">
            <v>520101030005</v>
          </cell>
          <cell r="B182" t="str">
            <v xml:space="preserve">Combustibles Ventas                                                   </v>
          </cell>
          <cell r="C182">
            <v>0</v>
          </cell>
          <cell r="D182">
            <v>675.7</v>
          </cell>
          <cell r="E182">
            <v>910.22</v>
          </cell>
          <cell r="F182">
            <v>1096.4100000000001</v>
          </cell>
          <cell r="G182">
            <v>1050.46</v>
          </cell>
          <cell r="H182">
            <v>920.29</v>
          </cell>
          <cell r="I182">
            <v>1006.26</v>
          </cell>
          <cell r="J182">
            <v>851.65</v>
          </cell>
          <cell r="K182">
            <v>996.94</v>
          </cell>
          <cell r="L182">
            <v>866.83</v>
          </cell>
          <cell r="M182">
            <v>1077.55</v>
          </cell>
          <cell r="N182">
            <v>921.36</v>
          </cell>
          <cell r="O182">
            <v>1140.52</v>
          </cell>
          <cell r="P182">
            <v>11514.19</v>
          </cell>
        </row>
        <row r="183">
          <cell r="A183">
            <v>520101030007</v>
          </cell>
          <cell r="B183" t="str">
            <v xml:space="preserve">Atención a clientes                                                   </v>
          </cell>
          <cell r="C183">
            <v>0</v>
          </cell>
          <cell r="D183">
            <v>68.180000000000007</v>
          </cell>
          <cell r="E183">
            <v>105.16</v>
          </cell>
          <cell r="F183">
            <v>385.74</v>
          </cell>
          <cell r="G183">
            <v>29.8</v>
          </cell>
          <cell r="H183">
            <v>16</v>
          </cell>
          <cell r="I183">
            <v>57.25</v>
          </cell>
          <cell r="J183">
            <v>80</v>
          </cell>
          <cell r="K183">
            <v>16</v>
          </cell>
          <cell r="L183">
            <v>64.45</v>
          </cell>
          <cell r="M183">
            <v>42.9</v>
          </cell>
          <cell r="N183">
            <v>0</v>
          </cell>
          <cell r="O183">
            <v>52.49</v>
          </cell>
          <cell r="P183">
            <v>917.97</v>
          </cell>
        </row>
        <row r="184">
          <cell r="A184">
            <v>520101030008</v>
          </cell>
          <cell r="B184" t="str">
            <v xml:space="preserve">Gastos Viaticos                                                       </v>
          </cell>
          <cell r="C184">
            <v>0</v>
          </cell>
          <cell r="D184">
            <v>225.87</v>
          </cell>
          <cell r="E184">
            <v>0</v>
          </cell>
          <cell r="F184">
            <v>365.99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  <cell r="N184">
            <v>0</v>
          </cell>
          <cell r="O184">
            <v>0</v>
          </cell>
          <cell r="P184">
            <v>591.86</v>
          </cell>
        </row>
        <row r="185">
          <cell r="A185">
            <v>520101030009</v>
          </cell>
          <cell r="B185" t="str">
            <v xml:space="preserve">Telefonía celular ventas                                              </v>
          </cell>
          <cell r="C185">
            <v>0</v>
          </cell>
          <cell r="D185">
            <v>224.36</v>
          </cell>
          <cell r="E185">
            <v>218.45</v>
          </cell>
          <cell r="F185">
            <v>224.24</v>
          </cell>
          <cell r="G185">
            <v>213.87</v>
          </cell>
          <cell r="H185">
            <v>212.87</v>
          </cell>
          <cell r="I185">
            <v>218.47</v>
          </cell>
          <cell r="J185">
            <v>218.45</v>
          </cell>
          <cell r="K185">
            <v>261.64999999999998</v>
          </cell>
          <cell r="L185">
            <v>227.53</v>
          </cell>
          <cell r="M185">
            <v>227.26</v>
          </cell>
          <cell r="N185">
            <v>227.26</v>
          </cell>
          <cell r="O185">
            <v>228.14</v>
          </cell>
          <cell r="P185">
            <v>2702.55</v>
          </cell>
        </row>
        <row r="186">
          <cell r="A186">
            <v>520101030011</v>
          </cell>
          <cell r="B186" t="str">
            <v xml:space="preserve">Suministros de oficina y comput ventas y diseño                       </v>
          </cell>
          <cell r="C186">
            <v>0</v>
          </cell>
          <cell r="D186">
            <v>0</v>
          </cell>
          <cell r="E186">
            <v>392.36</v>
          </cell>
          <cell r="F186">
            <v>0</v>
          </cell>
          <cell r="G186">
            <v>630.26</v>
          </cell>
          <cell r="H186">
            <v>410</v>
          </cell>
          <cell r="I186">
            <v>20</v>
          </cell>
          <cell r="J186">
            <v>0</v>
          </cell>
          <cell r="K186">
            <v>187</v>
          </cell>
          <cell r="L186">
            <v>29</v>
          </cell>
          <cell r="M186">
            <v>987.12</v>
          </cell>
          <cell r="N186">
            <v>0</v>
          </cell>
          <cell r="O186">
            <v>0</v>
          </cell>
          <cell r="P186">
            <v>2655.74</v>
          </cell>
        </row>
        <row r="187">
          <cell r="A187">
            <v>520101030012</v>
          </cell>
          <cell r="B187" t="str">
            <v xml:space="preserve">Movilizacion Ventas                                                   </v>
          </cell>
          <cell r="C187">
            <v>0</v>
          </cell>
          <cell r="D187">
            <v>0</v>
          </cell>
          <cell r="E187">
            <v>0</v>
          </cell>
          <cell r="F187">
            <v>30</v>
          </cell>
          <cell r="G187">
            <v>0</v>
          </cell>
          <cell r="H187">
            <v>19.5</v>
          </cell>
          <cell r="I187">
            <v>0</v>
          </cell>
          <cell r="J187">
            <v>46.5</v>
          </cell>
          <cell r="K187">
            <v>17.399999999999999</v>
          </cell>
          <cell r="L187">
            <v>33.85</v>
          </cell>
          <cell r="M187">
            <v>11</v>
          </cell>
          <cell r="N187">
            <v>39.5</v>
          </cell>
          <cell r="O187">
            <v>14.4</v>
          </cell>
          <cell r="P187">
            <v>212.15</v>
          </cell>
        </row>
        <row r="188">
          <cell r="A188">
            <v>520101030013</v>
          </cell>
          <cell r="B188" t="str">
            <v xml:space="preserve">Obsequios y muestras a clientes (autoconsumo)                         </v>
          </cell>
          <cell r="C188">
            <v>0</v>
          </cell>
          <cell r="D188">
            <v>136.05000000000001</v>
          </cell>
          <cell r="E188">
            <v>246.26</v>
          </cell>
          <cell r="F188">
            <v>0</v>
          </cell>
          <cell r="G188">
            <v>0</v>
          </cell>
          <cell r="H188">
            <v>126.86</v>
          </cell>
          <cell r="I188">
            <v>19.82</v>
          </cell>
          <cell r="J188">
            <v>0</v>
          </cell>
          <cell r="K188">
            <v>57.75</v>
          </cell>
          <cell r="L188">
            <v>0</v>
          </cell>
          <cell r="M188">
            <v>913.64</v>
          </cell>
          <cell r="N188">
            <v>0</v>
          </cell>
          <cell r="O188">
            <v>0</v>
          </cell>
          <cell r="P188">
            <v>1500.38</v>
          </cell>
        </row>
        <row r="189">
          <cell r="A189">
            <v>520101030014</v>
          </cell>
          <cell r="B189" t="str">
            <v xml:space="preserve">Gastos de depreciación de equipos de computación                      </v>
          </cell>
          <cell r="C189">
            <v>0</v>
          </cell>
          <cell r="D189">
            <v>229.13</v>
          </cell>
          <cell r="E189">
            <v>229.13</v>
          </cell>
          <cell r="F189">
            <v>229.13</v>
          </cell>
          <cell r="G189">
            <v>229.13</v>
          </cell>
          <cell r="H189">
            <v>163.5</v>
          </cell>
          <cell r="I189">
            <v>143.75</v>
          </cell>
          <cell r="J189">
            <v>143.75</v>
          </cell>
          <cell r="K189">
            <v>79.5</v>
          </cell>
          <cell r="L189">
            <v>79.5</v>
          </cell>
          <cell r="M189">
            <v>79.5</v>
          </cell>
          <cell r="N189">
            <v>79.5</v>
          </cell>
          <cell r="O189">
            <v>79.5</v>
          </cell>
          <cell r="P189">
            <v>1765.02</v>
          </cell>
        </row>
        <row r="190">
          <cell r="A190">
            <v>520101030015</v>
          </cell>
          <cell r="B190" t="str">
            <v xml:space="preserve">Seguros vehículos ventas                                              </v>
          </cell>
          <cell r="C190">
            <v>0</v>
          </cell>
          <cell r="D190">
            <v>0</v>
          </cell>
          <cell r="E190">
            <v>0</v>
          </cell>
          <cell r="F190">
            <v>0</v>
          </cell>
          <cell r="G190">
            <v>0</v>
          </cell>
          <cell r="H190">
            <v>0</v>
          </cell>
          <cell r="I190">
            <v>0</v>
          </cell>
          <cell r="J190">
            <v>0</v>
          </cell>
          <cell r="K190">
            <v>0</v>
          </cell>
          <cell r="L190">
            <v>231.25</v>
          </cell>
          <cell r="M190">
            <v>0</v>
          </cell>
          <cell r="N190">
            <v>0</v>
          </cell>
          <cell r="O190">
            <v>0</v>
          </cell>
          <cell r="P190">
            <v>231.25</v>
          </cell>
        </row>
        <row r="191">
          <cell r="A191">
            <v>520101030016</v>
          </cell>
          <cell r="B191" t="str">
            <v xml:space="preserve">Mantenimiento  Instalaciones                                          </v>
          </cell>
          <cell r="C191">
            <v>0</v>
          </cell>
          <cell r="D191">
            <v>21.43</v>
          </cell>
          <cell r="E191">
            <v>0</v>
          </cell>
          <cell r="F191">
            <v>0</v>
          </cell>
          <cell r="G191">
            <v>0</v>
          </cell>
          <cell r="H191">
            <v>0</v>
          </cell>
          <cell r="I191">
            <v>0</v>
          </cell>
          <cell r="J191">
            <v>2336.73</v>
          </cell>
          <cell r="K191">
            <v>3.87</v>
          </cell>
          <cell r="L191">
            <v>30.8</v>
          </cell>
          <cell r="M191">
            <v>0</v>
          </cell>
          <cell r="N191">
            <v>0</v>
          </cell>
          <cell r="O191">
            <v>0</v>
          </cell>
          <cell r="P191">
            <v>2392.83</v>
          </cell>
        </row>
        <row r="192">
          <cell r="A192">
            <v>520101030017</v>
          </cell>
          <cell r="B192" t="str">
            <v xml:space="preserve">Mantenimiento Muebles y equipos                                       </v>
          </cell>
          <cell r="C192">
            <v>0</v>
          </cell>
          <cell r="D192">
            <v>0</v>
          </cell>
          <cell r="E192">
            <v>1263</v>
          </cell>
          <cell r="F192">
            <v>60</v>
          </cell>
          <cell r="G192">
            <v>30</v>
          </cell>
          <cell r="H192">
            <v>0</v>
          </cell>
          <cell r="I192">
            <v>35</v>
          </cell>
          <cell r="J192">
            <v>1058</v>
          </cell>
          <cell r="K192">
            <v>100</v>
          </cell>
          <cell r="L192">
            <v>282</v>
          </cell>
          <cell r="M192">
            <v>0</v>
          </cell>
          <cell r="N192">
            <v>1002</v>
          </cell>
          <cell r="O192">
            <v>0</v>
          </cell>
          <cell r="P192">
            <v>3830</v>
          </cell>
        </row>
        <row r="193">
          <cell r="A193">
            <v>520101030018</v>
          </cell>
          <cell r="B193" t="str">
            <v xml:space="preserve">Gasto de Depreciacion Muebles y Enseres                               </v>
          </cell>
          <cell r="C193">
            <v>0</v>
          </cell>
          <cell r="D193">
            <v>16.16</v>
          </cell>
          <cell r="E193">
            <v>16.16</v>
          </cell>
          <cell r="F193">
            <v>16.16</v>
          </cell>
          <cell r="G193">
            <v>16.16</v>
          </cell>
          <cell r="H193">
            <v>16.16</v>
          </cell>
          <cell r="I193">
            <v>16.16</v>
          </cell>
          <cell r="J193">
            <v>16.16</v>
          </cell>
          <cell r="K193">
            <v>16.16</v>
          </cell>
          <cell r="L193">
            <v>16.16</v>
          </cell>
          <cell r="M193">
            <v>16.16</v>
          </cell>
          <cell r="N193">
            <v>16.16</v>
          </cell>
          <cell r="O193">
            <v>16.16</v>
          </cell>
          <cell r="P193">
            <v>193.92</v>
          </cell>
        </row>
        <row r="194">
          <cell r="A194">
            <v>520101030020</v>
          </cell>
          <cell r="B194" t="str">
            <v xml:space="preserve">Otros pagos bienes y servicios ventas                                 </v>
          </cell>
          <cell r="C194">
            <v>0</v>
          </cell>
          <cell r="D194">
            <v>187.3</v>
          </cell>
          <cell r="E194">
            <v>147.44</v>
          </cell>
          <cell r="F194">
            <v>46.93</v>
          </cell>
          <cell r="G194">
            <v>374.74</v>
          </cell>
          <cell r="H194">
            <v>221.37</v>
          </cell>
          <cell r="I194">
            <v>112.2</v>
          </cell>
          <cell r="J194">
            <v>295.17</v>
          </cell>
          <cell r="K194">
            <v>103.21</v>
          </cell>
          <cell r="L194">
            <v>214.71</v>
          </cell>
          <cell r="M194">
            <v>7109.28</v>
          </cell>
          <cell r="N194">
            <v>588.92999999999995</v>
          </cell>
          <cell r="O194">
            <v>182.25</v>
          </cell>
          <cell r="P194">
            <v>9583.5300000000007</v>
          </cell>
        </row>
        <row r="195">
          <cell r="A195">
            <v>520101030021</v>
          </cell>
          <cell r="B195" t="str">
            <v xml:space="preserve">Mant equipos de computo                                               </v>
          </cell>
          <cell r="C195">
            <v>0</v>
          </cell>
          <cell r="D195">
            <v>0</v>
          </cell>
          <cell r="E195">
            <v>0</v>
          </cell>
          <cell r="F195">
            <v>1002</v>
          </cell>
          <cell r="G195">
            <v>1002</v>
          </cell>
          <cell r="H195">
            <v>0</v>
          </cell>
          <cell r="I195">
            <v>1002</v>
          </cell>
          <cell r="J195">
            <v>0</v>
          </cell>
          <cell r="K195">
            <v>0</v>
          </cell>
          <cell r="L195">
            <v>0</v>
          </cell>
          <cell r="M195">
            <v>0</v>
          </cell>
          <cell r="N195">
            <v>0</v>
          </cell>
          <cell r="O195">
            <v>0</v>
          </cell>
          <cell r="P195">
            <v>3006</v>
          </cell>
        </row>
        <row r="196">
          <cell r="A196">
            <v>520101030022</v>
          </cell>
          <cell r="B196" t="str">
            <v xml:space="preserve">Correo y Courrier                                                     </v>
          </cell>
          <cell r="C196">
            <v>0</v>
          </cell>
          <cell r="D196">
            <v>3022.19</v>
          </cell>
          <cell r="E196">
            <v>0</v>
          </cell>
          <cell r="F196">
            <v>3152.15</v>
          </cell>
          <cell r="G196">
            <v>2339.58</v>
          </cell>
          <cell r="H196">
            <v>2581.42</v>
          </cell>
          <cell r="I196">
            <v>1897.41</v>
          </cell>
          <cell r="J196">
            <v>1645.05</v>
          </cell>
          <cell r="K196">
            <v>1487.01</v>
          </cell>
          <cell r="L196">
            <v>466.77</v>
          </cell>
          <cell r="M196">
            <v>2025.14</v>
          </cell>
          <cell r="N196">
            <v>106</v>
          </cell>
          <cell r="O196">
            <v>2495.8000000000002</v>
          </cell>
          <cell r="P196">
            <v>21218.52</v>
          </cell>
        </row>
        <row r="197">
          <cell r="A197">
            <v>520101030023</v>
          </cell>
          <cell r="B197" t="str">
            <v xml:space="preserve">Iva No aplicado ( Gasto)                                              </v>
          </cell>
          <cell r="C197">
            <v>0</v>
          </cell>
          <cell r="D197">
            <v>127.05</v>
          </cell>
          <cell r="E197">
            <v>289.33</v>
          </cell>
          <cell r="F197">
            <v>280.69</v>
          </cell>
          <cell r="G197">
            <v>379.62</v>
          </cell>
          <cell r="H197">
            <v>267.33</v>
          </cell>
          <cell r="I197">
            <v>717.09</v>
          </cell>
          <cell r="J197">
            <v>426.68</v>
          </cell>
          <cell r="K197">
            <v>2406.6799999999998</v>
          </cell>
          <cell r="L197">
            <v>791.59</v>
          </cell>
          <cell r="M197">
            <v>433.52</v>
          </cell>
          <cell r="N197">
            <v>6670.81</v>
          </cell>
          <cell r="O197">
            <v>114.88</v>
          </cell>
          <cell r="P197">
            <v>12905.27</v>
          </cell>
        </row>
        <row r="198">
          <cell r="A198">
            <v>520101030024</v>
          </cell>
          <cell r="B198" t="str">
            <v xml:space="preserve">Seguros de Exportación                                                </v>
          </cell>
          <cell r="C198">
            <v>0</v>
          </cell>
          <cell r="D198">
            <v>950.79</v>
          </cell>
          <cell r="E198">
            <v>1058.9000000000001</v>
          </cell>
          <cell r="F198">
            <v>1058.8900000000001</v>
          </cell>
          <cell r="G198">
            <v>1008.44</v>
          </cell>
          <cell r="H198">
            <v>1008.44</v>
          </cell>
          <cell r="I198">
            <v>1008.42</v>
          </cell>
          <cell r="J198">
            <v>108.1</v>
          </cell>
          <cell r="K198">
            <v>108.1</v>
          </cell>
          <cell r="L198">
            <v>108.1</v>
          </cell>
          <cell r="M198">
            <v>170.79</v>
          </cell>
          <cell r="N198">
            <v>0</v>
          </cell>
          <cell r="O198">
            <v>0</v>
          </cell>
          <cell r="P198">
            <v>6588.97</v>
          </cell>
        </row>
        <row r="199">
          <cell r="A199">
            <v>5202</v>
          </cell>
          <cell r="B199" t="str">
            <v xml:space="preserve">GASTOS DE ADMINISTRATIVOS                                             </v>
          </cell>
          <cell r="C199">
            <v>0</v>
          </cell>
          <cell r="D199">
            <v>106614.97</v>
          </cell>
          <cell r="E199">
            <v>89193.03</v>
          </cell>
          <cell r="F199">
            <v>127376.4</v>
          </cell>
          <cell r="G199">
            <v>89190.36</v>
          </cell>
          <cell r="H199">
            <v>87014.35</v>
          </cell>
          <cell r="I199">
            <v>124989.64</v>
          </cell>
          <cell r="J199">
            <v>122647.89</v>
          </cell>
          <cell r="K199">
            <v>162347.75</v>
          </cell>
          <cell r="L199">
            <v>129859.05</v>
          </cell>
          <cell r="M199">
            <v>116839.18</v>
          </cell>
          <cell r="N199">
            <v>568694.32999999996</v>
          </cell>
          <cell r="O199">
            <v>989537.48</v>
          </cell>
          <cell r="P199">
            <v>2714304.43</v>
          </cell>
        </row>
        <row r="200">
          <cell r="A200">
            <v>520201</v>
          </cell>
          <cell r="B200" t="str">
            <v xml:space="preserve">SUELDOS, SALARIOS Y DEMÁS REMUNERACIONES                              </v>
          </cell>
          <cell r="C200">
            <v>0</v>
          </cell>
          <cell r="D200">
            <v>28946.67</v>
          </cell>
          <cell r="E200">
            <v>29221.01</v>
          </cell>
          <cell r="F200">
            <v>29387.03</v>
          </cell>
          <cell r="G200">
            <v>33007.51</v>
          </cell>
          <cell r="H200">
            <v>31189.42</v>
          </cell>
          <cell r="I200">
            <v>32161.87</v>
          </cell>
          <cell r="J200">
            <v>36561.33</v>
          </cell>
          <cell r="K200">
            <v>36661.980000000003</v>
          </cell>
          <cell r="L200">
            <v>32563.83</v>
          </cell>
          <cell r="M200">
            <v>34281.93</v>
          </cell>
          <cell r="N200">
            <v>36082.449999999997</v>
          </cell>
          <cell r="O200">
            <v>126970.17</v>
          </cell>
          <cell r="P200">
            <v>487035.2</v>
          </cell>
        </row>
        <row r="201">
          <cell r="A201">
            <v>52020101</v>
          </cell>
          <cell r="B201" t="str">
            <v xml:space="preserve">GASTOS DE NOMINA DE ADMINISTRACION                                    </v>
          </cell>
          <cell r="C201">
            <v>0</v>
          </cell>
          <cell r="D201">
            <v>27869.17</v>
          </cell>
          <cell r="E201">
            <v>27998.44</v>
          </cell>
          <cell r="F201">
            <v>28485.08</v>
          </cell>
          <cell r="G201">
            <v>30748.9</v>
          </cell>
          <cell r="H201">
            <v>29760.62</v>
          </cell>
          <cell r="I201">
            <v>30170.49</v>
          </cell>
          <cell r="J201">
            <v>31263.71</v>
          </cell>
          <cell r="K201">
            <v>31311.119999999999</v>
          </cell>
          <cell r="L201">
            <v>31279.4</v>
          </cell>
          <cell r="M201">
            <v>32923.08</v>
          </cell>
          <cell r="N201">
            <v>33571.07</v>
          </cell>
          <cell r="O201">
            <v>32094.85</v>
          </cell>
          <cell r="P201">
            <v>367475.93</v>
          </cell>
        </row>
        <row r="202">
          <cell r="A202">
            <v>520201010001</v>
          </cell>
          <cell r="B202" t="str">
            <v xml:space="preserve">Sueldos                                                               </v>
          </cell>
          <cell r="C202">
            <v>0</v>
          </cell>
          <cell r="D202">
            <v>18884.419999999998</v>
          </cell>
          <cell r="E202">
            <v>18739.98</v>
          </cell>
          <cell r="F202">
            <v>19774.830000000002</v>
          </cell>
          <cell r="G202">
            <v>20855.54</v>
          </cell>
          <cell r="H202">
            <v>20411.09</v>
          </cell>
          <cell r="I202">
            <v>21601.13</v>
          </cell>
          <cell r="J202">
            <v>21234.42</v>
          </cell>
          <cell r="K202">
            <v>21456.09</v>
          </cell>
          <cell r="L202">
            <v>21317.759999999998</v>
          </cell>
          <cell r="M202">
            <v>22050.03</v>
          </cell>
          <cell r="N202">
            <v>22760.43</v>
          </cell>
          <cell r="O202">
            <v>22483.759999999998</v>
          </cell>
          <cell r="P202">
            <v>251569.48</v>
          </cell>
        </row>
        <row r="203">
          <cell r="A203">
            <v>520201010002</v>
          </cell>
          <cell r="B203" t="str">
            <v xml:space="preserve">Sobretiempos                                                          </v>
          </cell>
          <cell r="C203">
            <v>0</v>
          </cell>
          <cell r="D203">
            <v>419.84</v>
          </cell>
          <cell r="E203">
            <v>696.14</v>
          </cell>
          <cell r="F203">
            <v>645.19000000000005</v>
          </cell>
          <cell r="G203">
            <v>594.32000000000005</v>
          </cell>
          <cell r="H203">
            <v>496.98</v>
          </cell>
          <cell r="I203">
            <v>433.17</v>
          </cell>
          <cell r="J203">
            <v>796.17</v>
          </cell>
          <cell r="K203">
            <v>649.80999999999995</v>
          </cell>
          <cell r="L203">
            <v>455.45</v>
          </cell>
          <cell r="M203">
            <v>919.65</v>
          </cell>
          <cell r="N203">
            <v>1095.23</v>
          </cell>
          <cell r="O203">
            <v>964.49</v>
          </cell>
          <cell r="P203">
            <v>8166.44</v>
          </cell>
        </row>
        <row r="204">
          <cell r="A204">
            <v>520201010003</v>
          </cell>
          <cell r="B204" t="str">
            <v xml:space="preserve">Aporte Patronal 12.15%                                                </v>
          </cell>
          <cell r="C204">
            <v>0</v>
          </cell>
          <cell r="D204">
            <v>2453.88</v>
          </cell>
          <cell r="E204">
            <v>2428.89</v>
          </cell>
          <cell r="F204">
            <v>2456.2800000000002</v>
          </cell>
          <cell r="G204">
            <v>2736.48</v>
          </cell>
          <cell r="H204">
            <v>2540.33</v>
          </cell>
          <cell r="I204">
            <v>2681.88</v>
          </cell>
          <cell r="J204">
            <v>2785.12</v>
          </cell>
          <cell r="K204">
            <v>2685.88</v>
          </cell>
          <cell r="L204">
            <v>3037.35</v>
          </cell>
          <cell r="M204">
            <v>3005.28</v>
          </cell>
          <cell r="N204">
            <v>2912.68</v>
          </cell>
          <cell r="O204">
            <v>2848.92</v>
          </cell>
          <cell r="P204">
            <v>32572.97</v>
          </cell>
        </row>
        <row r="205">
          <cell r="A205">
            <v>520201010004</v>
          </cell>
          <cell r="B205" t="str">
            <v xml:space="preserve">Fondo de Reserva                                                      </v>
          </cell>
          <cell r="C205">
            <v>0</v>
          </cell>
          <cell r="D205">
            <v>1504.2</v>
          </cell>
          <cell r="E205">
            <v>1511.09</v>
          </cell>
          <cell r="F205">
            <v>1671.69</v>
          </cell>
          <cell r="G205">
            <v>1668.15</v>
          </cell>
          <cell r="H205">
            <v>1668.79</v>
          </cell>
          <cell r="I205">
            <v>1660.82</v>
          </cell>
          <cell r="J205">
            <v>1710.03</v>
          </cell>
          <cell r="K205">
            <v>1700.33</v>
          </cell>
          <cell r="L205">
            <v>1682.21</v>
          </cell>
          <cell r="M205">
            <v>1712.39</v>
          </cell>
          <cell r="N205">
            <v>1704.69</v>
          </cell>
          <cell r="O205">
            <v>1693.06</v>
          </cell>
          <cell r="P205">
            <v>19887.45</v>
          </cell>
        </row>
        <row r="206">
          <cell r="A206">
            <v>520201010005</v>
          </cell>
          <cell r="B206" t="str">
            <v xml:space="preserve">Decimo Tercer Sueldo                                                  </v>
          </cell>
          <cell r="C206">
            <v>0</v>
          </cell>
          <cell r="D206">
            <v>1586.46</v>
          </cell>
          <cell r="E206">
            <v>1611.14</v>
          </cell>
          <cell r="F206">
            <v>1684.69</v>
          </cell>
          <cell r="G206">
            <v>1768.22</v>
          </cell>
          <cell r="H206">
            <v>1742.32</v>
          </cell>
          <cell r="I206">
            <v>1742.85</v>
          </cell>
          <cell r="J206">
            <v>1813.67</v>
          </cell>
          <cell r="K206">
            <v>1842.15</v>
          </cell>
          <cell r="L206">
            <v>1814.43</v>
          </cell>
          <cell r="M206">
            <v>1899.26</v>
          </cell>
          <cell r="N206">
            <v>1987.98</v>
          </cell>
          <cell r="O206">
            <v>1954.02</v>
          </cell>
          <cell r="P206">
            <v>21447.19</v>
          </cell>
        </row>
        <row r="207">
          <cell r="A207">
            <v>520201010006</v>
          </cell>
          <cell r="B207" t="str">
            <v xml:space="preserve">Decimo Cuarto Sueldo                                                  </v>
          </cell>
          <cell r="C207">
            <v>0</v>
          </cell>
          <cell r="D207">
            <v>709.94</v>
          </cell>
          <cell r="E207">
            <v>699.93</v>
          </cell>
          <cell r="F207">
            <v>717.71</v>
          </cell>
          <cell r="G207">
            <v>732.15</v>
          </cell>
          <cell r="H207">
            <v>699.93</v>
          </cell>
          <cell r="I207">
            <v>699.93</v>
          </cell>
          <cell r="J207">
            <v>699.93</v>
          </cell>
          <cell r="K207">
            <v>732.15</v>
          </cell>
          <cell r="L207">
            <v>733.26</v>
          </cell>
          <cell r="M207">
            <v>762.14</v>
          </cell>
          <cell r="N207">
            <v>811.03</v>
          </cell>
          <cell r="O207">
            <v>799.92</v>
          </cell>
          <cell r="P207">
            <v>8798.02</v>
          </cell>
        </row>
        <row r="208">
          <cell r="A208">
            <v>520201010007</v>
          </cell>
          <cell r="B208" t="str">
            <v xml:space="preserve">Vacaciones                                                            </v>
          </cell>
          <cell r="C208">
            <v>0</v>
          </cell>
          <cell r="D208">
            <v>775.74</v>
          </cell>
          <cell r="E208">
            <v>776.58</v>
          </cell>
          <cell r="F208">
            <v>0</v>
          </cell>
          <cell r="G208">
            <v>859.35</v>
          </cell>
          <cell r="H208">
            <v>850.47</v>
          </cell>
          <cell r="I208">
            <v>0</v>
          </cell>
          <cell r="J208">
            <v>873.66</v>
          </cell>
          <cell r="K208">
            <v>894</v>
          </cell>
          <cell r="L208">
            <v>888.24</v>
          </cell>
          <cell r="M208">
            <v>1073.6600000000001</v>
          </cell>
          <cell r="N208">
            <v>948.35</v>
          </cell>
          <cell r="O208">
            <v>0</v>
          </cell>
          <cell r="P208">
            <v>7940.05</v>
          </cell>
        </row>
        <row r="209">
          <cell r="A209">
            <v>520201010008</v>
          </cell>
          <cell r="B209" t="str">
            <v xml:space="preserve">Desahucio Administración                                              </v>
          </cell>
          <cell r="C209">
            <v>0</v>
          </cell>
          <cell r="D209">
            <v>484.7</v>
          </cell>
          <cell r="E209">
            <v>484.7</v>
          </cell>
          <cell r="F209">
            <v>484.7</v>
          </cell>
          <cell r="G209">
            <v>484.7</v>
          </cell>
          <cell r="H209">
            <v>412.16</v>
          </cell>
          <cell r="I209">
            <v>412.16</v>
          </cell>
          <cell r="J209">
            <v>412.16</v>
          </cell>
          <cell r="K209">
            <v>412.16</v>
          </cell>
          <cell r="L209">
            <v>412.16</v>
          </cell>
          <cell r="M209">
            <v>412.13</v>
          </cell>
          <cell r="N209">
            <v>412.13</v>
          </cell>
          <cell r="O209">
            <v>412.13</v>
          </cell>
          <cell r="P209">
            <v>5235.99</v>
          </cell>
        </row>
        <row r="210">
          <cell r="A210">
            <v>520201010010</v>
          </cell>
          <cell r="B210" t="str">
            <v xml:space="preserve">Bonificaciones Voluntarias Administración                             </v>
          </cell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  <cell r="I210">
            <v>0</v>
          </cell>
          <cell r="J210">
            <v>0</v>
          </cell>
          <cell r="K210">
            <v>0</v>
          </cell>
          <cell r="L210">
            <v>0</v>
          </cell>
          <cell r="M210">
            <v>150</v>
          </cell>
          <cell r="N210">
            <v>0</v>
          </cell>
          <cell r="O210">
            <v>0</v>
          </cell>
          <cell r="P210">
            <v>150</v>
          </cell>
        </row>
        <row r="211">
          <cell r="A211">
            <v>520201010011</v>
          </cell>
          <cell r="B211" t="str">
            <v xml:space="preserve">Jubilación Patronal Administración                                    </v>
          </cell>
          <cell r="C211">
            <v>0</v>
          </cell>
          <cell r="D211">
            <v>1049.99</v>
          </cell>
          <cell r="E211">
            <v>1049.99</v>
          </cell>
          <cell r="F211">
            <v>1049.99</v>
          </cell>
          <cell r="G211">
            <v>1049.99</v>
          </cell>
          <cell r="H211">
            <v>938.55</v>
          </cell>
          <cell r="I211">
            <v>938.55</v>
          </cell>
          <cell r="J211">
            <v>938.55</v>
          </cell>
          <cell r="K211">
            <v>938.55</v>
          </cell>
          <cell r="L211">
            <v>938.54</v>
          </cell>
          <cell r="M211">
            <v>938.54</v>
          </cell>
          <cell r="N211">
            <v>938.55</v>
          </cell>
          <cell r="O211">
            <v>938.55</v>
          </cell>
          <cell r="P211">
            <v>11708.34</v>
          </cell>
        </row>
        <row r="212">
          <cell r="A212">
            <v>52020102</v>
          </cell>
          <cell r="B212" t="str">
            <v xml:space="preserve">OTRAS GASTOS DE PERSONAL                                              </v>
          </cell>
          <cell r="C212">
            <v>0</v>
          </cell>
          <cell r="D212">
            <v>1077.5</v>
          </cell>
          <cell r="E212">
            <v>1222.57</v>
          </cell>
          <cell r="F212">
            <v>901.95</v>
          </cell>
          <cell r="G212">
            <v>2258.61</v>
          </cell>
          <cell r="H212">
            <v>1428.8</v>
          </cell>
          <cell r="I212">
            <v>1991.38</v>
          </cell>
          <cell r="J212">
            <v>5297.62</v>
          </cell>
          <cell r="K212">
            <v>5350.86</v>
          </cell>
          <cell r="L212">
            <v>1284.43</v>
          </cell>
          <cell r="M212">
            <v>1358.85</v>
          </cell>
          <cell r="N212">
            <v>2511.38</v>
          </cell>
          <cell r="O212">
            <v>94875.32</v>
          </cell>
          <cell r="P212">
            <v>119559.27</v>
          </cell>
        </row>
        <row r="213">
          <cell r="A213">
            <v>520201020002</v>
          </cell>
          <cell r="B213" t="str">
            <v xml:space="preserve">Alimentacion Administración                                           </v>
          </cell>
          <cell r="C213">
            <v>0</v>
          </cell>
          <cell r="D213">
            <v>952.5</v>
          </cell>
          <cell r="E213">
            <v>903.26</v>
          </cell>
          <cell r="F213">
            <v>556.95000000000005</v>
          </cell>
          <cell r="G213">
            <v>714.43</v>
          </cell>
          <cell r="H213">
            <v>480.75</v>
          </cell>
          <cell r="I213">
            <v>1084.47</v>
          </cell>
          <cell r="J213">
            <v>738.86</v>
          </cell>
          <cell r="K213">
            <v>879.83</v>
          </cell>
          <cell r="L213">
            <v>830.82</v>
          </cell>
          <cell r="M213">
            <v>819.17</v>
          </cell>
          <cell r="N213">
            <v>884.98</v>
          </cell>
          <cell r="O213">
            <v>833.44</v>
          </cell>
          <cell r="P213">
            <v>9679.4599999999991</v>
          </cell>
        </row>
        <row r="214">
          <cell r="A214">
            <v>520201020003</v>
          </cell>
          <cell r="B214" t="str">
            <v xml:space="preserve">Movilizacion/Transp de Personal Administración                        </v>
          </cell>
          <cell r="C214">
            <v>0</v>
          </cell>
          <cell r="D214">
            <v>60</v>
          </cell>
          <cell r="E214">
            <v>60</v>
          </cell>
          <cell r="F214">
            <v>60</v>
          </cell>
          <cell r="G214">
            <v>60</v>
          </cell>
          <cell r="H214">
            <v>60</v>
          </cell>
          <cell r="I214">
            <v>60</v>
          </cell>
          <cell r="J214">
            <v>60</v>
          </cell>
          <cell r="K214">
            <v>60</v>
          </cell>
          <cell r="L214">
            <v>60</v>
          </cell>
          <cell r="M214">
            <v>68.64</v>
          </cell>
          <cell r="N214">
            <v>60</v>
          </cell>
          <cell r="O214">
            <v>60</v>
          </cell>
          <cell r="P214">
            <v>728.64</v>
          </cell>
        </row>
        <row r="215">
          <cell r="A215">
            <v>520201020004</v>
          </cell>
          <cell r="B215" t="str">
            <v xml:space="preserve">Gastos Médicos ventas y administración                                </v>
          </cell>
          <cell r="C215">
            <v>0</v>
          </cell>
          <cell r="D215">
            <v>65</v>
          </cell>
          <cell r="E215">
            <v>79.31</v>
          </cell>
          <cell r="F215">
            <v>45</v>
          </cell>
          <cell r="G215">
            <v>749.18</v>
          </cell>
          <cell r="H215">
            <v>293.05</v>
          </cell>
          <cell r="I215">
            <v>246.91</v>
          </cell>
          <cell r="J215">
            <v>4413.76</v>
          </cell>
          <cell r="K215">
            <v>4411.03</v>
          </cell>
          <cell r="L215">
            <v>108.61</v>
          </cell>
          <cell r="M215">
            <v>156.04</v>
          </cell>
          <cell r="N215">
            <v>0</v>
          </cell>
          <cell r="O215">
            <v>536.95000000000005</v>
          </cell>
          <cell r="P215">
            <v>11104.84</v>
          </cell>
        </row>
        <row r="216">
          <cell r="A216">
            <v>520201020005</v>
          </cell>
          <cell r="B216" t="str">
            <v xml:space="preserve">Uniformes personal ventas y administrativo                            </v>
          </cell>
          <cell r="C216">
            <v>0</v>
          </cell>
          <cell r="D216">
            <v>0</v>
          </cell>
          <cell r="E216">
            <v>0</v>
          </cell>
          <cell r="F216">
            <v>0</v>
          </cell>
          <cell r="G216">
            <v>0</v>
          </cell>
          <cell r="H216">
            <v>0</v>
          </cell>
          <cell r="I216">
            <v>0</v>
          </cell>
          <cell r="J216">
            <v>0</v>
          </cell>
          <cell r="K216">
            <v>0</v>
          </cell>
          <cell r="L216">
            <v>0</v>
          </cell>
          <cell r="M216">
            <v>0</v>
          </cell>
          <cell r="N216">
            <v>0</v>
          </cell>
          <cell r="O216">
            <v>4929.8</v>
          </cell>
          <cell r="P216">
            <v>4929.8</v>
          </cell>
        </row>
        <row r="217">
          <cell r="A217">
            <v>520201020006</v>
          </cell>
          <cell r="B217" t="str">
            <v xml:space="preserve">Capacitación y Seminarios Administración                              </v>
          </cell>
          <cell r="C217">
            <v>0</v>
          </cell>
          <cell r="D217">
            <v>0</v>
          </cell>
          <cell r="E217">
            <v>180</v>
          </cell>
          <cell r="F217">
            <v>240</v>
          </cell>
          <cell r="G217">
            <v>735</v>
          </cell>
          <cell r="H217">
            <v>595</v>
          </cell>
          <cell r="I217">
            <v>600</v>
          </cell>
          <cell r="J217">
            <v>85</v>
          </cell>
          <cell r="K217">
            <v>0</v>
          </cell>
          <cell r="L217">
            <v>285</v>
          </cell>
          <cell r="M217">
            <v>315</v>
          </cell>
          <cell r="N217">
            <v>1520</v>
          </cell>
          <cell r="O217">
            <v>5442.18</v>
          </cell>
          <cell r="P217">
            <v>9997.18</v>
          </cell>
        </row>
        <row r="218">
          <cell r="A218">
            <v>520201020007</v>
          </cell>
          <cell r="B218" t="str">
            <v xml:space="preserve">Agasajo al Personal Administración                                    </v>
          </cell>
          <cell r="C218">
            <v>0</v>
          </cell>
          <cell r="D218">
            <v>0</v>
          </cell>
          <cell r="E218">
            <v>0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83072.95</v>
          </cell>
          <cell r="P218">
            <v>83072.95</v>
          </cell>
        </row>
        <row r="219">
          <cell r="A219">
            <v>520201020008</v>
          </cell>
          <cell r="B219" t="str">
            <v xml:space="preserve">Otros gastos de personal Administración                               </v>
          </cell>
          <cell r="C219">
            <v>0</v>
          </cell>
          <cell r="D219">
            <v>0</v>
          </cell>
          <cell r="E219">
            <v>0</v>
          </cell>
          <cell r="F219">
            <v>0</v>
          </cell>
          <cell r="G219">
            <v>0</v>
          </cell>
          <cell r="H219">
            <v>0</v>
          </cell>
          <cell r="I219">
            <v>0</v>
          </cell>
          <cell r="J219">
            <v>0</v>
          </cell>
          <cell r="K219">
            <v>0</v>
          </cell>
          <cell r="L219">
            <v>0</v>
          </cell>
          <cell r="M219">
            <v>0</v>
          </cell>
          <cell r="N219">
            <v>46.4</v>
          </cell>
          <cell r="O219">
            <v>0</v>
          </cell>
          <cell r="P219">
            <v>46.4</v>
          </cell>
        </row>
        <row r="220">
          <cell r="A220">
            <v>520202</v>
          </cell>
          <cell r="B220" t="str">
            <v xml:space="preserve">HONORARIOS, COMISIONES Y DIETAS                                       </v>
          </cell>
          <cell r="C220">
            <v>0</v>
          </cell>
          <cell r="D220">
            <v>19998.330000000002</v>
          </cell>
          <cell r="E220">
            <v>12496.56</v>
          </cell>
          <cell r="F220">
            <v>13345.99</v>
          </cell>
          <cell r="G220">
            <v>13412.3</v>
          </cell>
          <cell r="H220">
            <v>16547.38</v>
          </cell>
          <cell r="I220">
            <v>14830.69</v>
          </cell>
          <cell r="J220">
            <v>16394.79</v>
          </cell>
          <cell r="K220">
            <v>12588.62</v>
          </cell>
          <cell r="L220">
            <v>16037.9</v>
          </cell>
          <cell r="M220">
            <v>28481.5</v>
          </cell>
          <cell r="N220">
            <v>390136.09</v>
          </cell>
          <cell r="O220">
            <v>699272.99</v>
          </cell>
          <cell r="P220">
            <v>1253543.1399999999</v>
          </cell>
        </row>
        <row r="221">
          <cell r="A221">
            <v>52020201</v>
          </cell>
          <cell r="B221" t="str">
            <v xml:space="preserve">HONORARIOS                                                            </v>
          </cell>
          <cell r="C221">
            <v>0</v>
          </cell>
          <cell r="D221">
            <v>19998.330000000002</v>
          </cell>
          <cell r="E221">
            <v>12496.56</v>
          </cell>
          <cell r="F221">
            <v>13345.99</v>
          </cell>
          <cell r="G221">
            <v>13412.3</v>
          </cell>
          <cell r="H221">
            <v>16547.38</v>
          </cell>
          <cell r="I221">
            <v>14830.69</v>
          </cell>
          <cell r="J221">
            <v>16394.79</v>
          </cell>
          <cell r="K221">
            <v>12588.62</v>
          </cell>
          <cell r="L221">
            <v>16037.9</v>
          </cell>
          <cell r="M221">
            <v>28481.5</v>
          </cell>
          <cell r="N221">
            <v>390136.09</v>
          </cell>
          <cell r="O221">
            <v>699272.99</v>
          </cell>
          <cell r="P221">
            <v>1253543.1399999999</v>
          </cell>
        </row>
        <row r="222">
          <cell r="A222">
            <v>520202010001</v>
          </cell>
          <cell r="B222" t="str">
            <v xml:space="preserve">Honorarios Profesionales                                              </v>
          </cell>
          <cell r="C222">
            <v>0</v>
          </cell>
          <cell r="D222">
            <v>19998.330000000002</v>
          </cell>
          <cell r="E222">
            <v>10243.219999999999</v>
          </cell>
          <cell r="F222">
            <v>12530.99</v>
          </cell>
          <cell r="G222">
            <v>13412.3</v>
          </cell>
          <cell r="H222">
            <v>16547.38</v>
          </cell>
          <cell r="I222">
            <v>14830.69</v>
          </cell>
          <cell r="J222">
            <v>16114.79</v>
          </cell>
          <cell r="K222">
            <v>12588.62</v>
          </cell>
          <cell r="L222">
            <v>16037.9</v>
          </cell>
          <cell r="M222">
            <v>28231.5</v>
          </cell>
          <cell r="N222">
            <v>390136.09</v>
          </cell>
          <cell r="O222">
            <v>698622.99</v>
          </cell>
          <cell r="P222">
            <v>1249294.8</v>
          </cell>
        </row>
        <row r="223">
          <cell r="A223">
            <v>520202010005</v>
          </cell>
          <cell r="B223" t="str">
            <v xml:space="preserve">Auditorías                                                            </v>
          </cell>
          <cell r="C223">
            <v>0</v>
          </cell>
          <cell r="D223">
            <v>0</v>
          </cell>
          <cell r="E223">
            <v>2253.34</v>
          </cell>
          <cell r="F223">
            <v>815</v>
          </cell>
          <cell r="G223">
            <v>0</v>
          </cell>
          <cell r="H223">
            <v>0</v>
          </cell>
          <cell r="I223">
            <v>0</v>
          </cell>
          <cell r="J223">
            <v>280</v>
          </cell>
          <cell r="K223">
            <v>0</v>
          </cell>
          <cell r="L223">
            <v>0</v>
          </cell>
          <cell r="M223">
            <v>250</v>
          </cell>
          <cell r="N223">
            <v>0</v>
          </cell>
          <cell r="O223">
            <v>650</v>
          </cell>
          <cell r="P223">
            <v>4248.34</v>
          </cell>
        </row>
        <row r="224">
          <cell r="A224">
            <v>520203</v>
          </cell>
          <cell r="B224" t="str">
            <v xml:space="preserve">MANTENIMIENTO Y REPARACIONES                                          </v>
          </cell>
          <cell r="C224">
            <v>0</v>
          </cell>
          <cell r="D224">
            <v>2304.4299999999998</v>
          </cell>
          <cell r="E224">
            <v>2109.16</v>
          </cell>
          <cell r="F224">
            <v>4205.75</v>
          </cell>
          <cell r="G224">
            <v>4408.82</v>
          </cell>
          <cell r="H224">
            <v>7426.64</v>
          </cell>
          <cell r="I224">
            <v>4842.0600000000004</v>
          </cell>
          <cell r="J224">
            <v>3958.44</v>
          </cell>
          <cell r="K224">
            <v>4134.38</v>
          </cell>
          <cell r="L224">
            <v>3202.81</v>
          </cell>
          <cell r="M224">
            <v>3568.5</v>
          </cell>
          <cell r="N224">
            <v>13739.51</v>
          </cell>
          <cell r="O224">
            <v>7516.09</v>
          </cell>
          <cell r="P224">
            <v>61416.59</v>
          </cell>
        </row>
        <row r="225">
          <cell r="A225">
            <v>52020301</v>
          </cell>
          <cell r="B225" t="str">
            <v xml:space="preserve">MANTENIMIENTO                                                         </v>
          </cell>
          <cell r="C225">
            <v>0</v>
          </cell>
          <cell r="D225">
            <v>2304.4299999999998</v>
          </cell>
          <cell r="E225">
            <v>2109.16</v>
          </cell>
          <cell r="F225">
            <v>4205.75</v>
          </cell>
          <cell r="G225">
            <v>4408.82</v>
          </cell>
          <cell r="H225">
            <v>7426.64</v>
          </cell>
          <cell r="I225">
            <v>4842.0600000000004</v>
          </cell>
          <cell r="J225">
            <v>3958.44</v>
          </cell>
          <cell r="K225">
            <v>4134.38</v>
          </cell>
          <cell r="L225">
            <v>3202.81</v>
          </cell>
          <cell r="M225">
            <v>3568.5</v>
          </cell>
          <cell r="N225">
            <v>13739.51</v>
          </cell>
          <cell r="O225">
            <v>7516.09</v>
          </cell>
          <cell r="P225">
            <v>61416.59</v>
          </cell>
        </row>
        <row r="226">
          <cell r="A226">
            <v>520203010001</v>
          </cell>
          <cell r="B226" t="str">
            <v xml:space="preserve">Mantenimiento de Edificios y oficinas Administración                  </v>
          </cell>
          <cell r="C226">
            <v>0</v>
          </cell>
          <cell r="D226">
            <v>0</v>
          </cell>
          <cell r="E226">
            <v>0</v>
          </cell>
          <cell r="F226">
            <v>1000</v>
          </cell>
          <cell r="G226">
            <v>0</v>
          </cell>
          <cell r="H226">
            <v>0</v>
          </cell>
          <cell r="I226">
            <v>0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  <cell r="N226">
            <v>0</v>
          </cell>
          <cell r="O226">
            <v>0</v>
          </cell>
          <cell r="P226">
            <v>1000</v>
          </cell>
        </row>
        <row r="227">
          <cell r="A227">
            <v>520203010002</v>
          </cell>
          <cell r="B227" t="str">
            <v xml:space="preserve">Mantenimiento Instalaciones                                           </v>
          </cell>
          <cell r="C227">
            <v>0</v>
          </cell>
          <cell r="D227">
            <v>0</v>
          </cell>
          <cell r="E227">
            <v>0</v>
          </cell>
          <cell r="F227">
            <v>30</v>
          </cell>
          <cell r="G227">
            <v>850</v>
          </cell>
          <cell r="H227">
            <v>0</v>
          </cell>
          <cell r="I227">
            <v>120</v>
          </cell>
          <cell r="J227">
            <v>0</v>
          </cell>
          <cell r="K227">
            <v>0</v>
          </cell>
          <cell r="L227">
            <v>0</v>
          </cell>
          <cell r="M227">
            <v>113</v>
          </cell>
          <cell r="N227">
            <v>6400</v>
          </cell>
          <cell r="O227">
            <v>0</v>
          </cell>
          <cell r="P227">
            <v>7513</v>
          </cell>
        </row>
        <row r="228">
          <cell r="A228">
            <v>520203010003</v>
          </cell>
          <cell r="B228" t="str">
            <v xml:space="preserve">Mant. Vehiculos Administracion                                        </v>
          </cell>
          <cell r="C228">
            <v>0</v>
          </cell>
          <cell r="D228">
            <v>1351.18</v>
          </cell>
          <cell r="E228">
            <v>0</v>
          </cell>
          <cell r="F228">
            <v>1733.51</v>
          </cell>
          <cell r="G228">
            <v>1671.43</v>
          </cell>
          <cell r="H228">
            <v>1680.47</v>
          </cell>
          <cell r="I228">
            <v>87</v>
          </cell>
          <cell r="J228">
            <v>2910.08</v>
          </cell>
          <cell r="K228">
            <v>1125.03</v>
          </cell>
          <cell r="L228">
            <v>88.39</v>
          </cell>
          <cell r="M228">
            <v>705.14</v>
          </cell>
          <cell r="N228">
            <v>580.76</v>
          </cell>
          <cell r="O228">
            <v>900</v>
          </cell>
          <cell r="P228">
            <v>12832.99</v>
          </cell>
        </row>
        <row r="229">
          <cell r="A229">
            <v>520203010004</v>
          </cell>
          <cell r="B229" t="str">
            <v xml:space="preserve">Mantenimiento Muebles y Equipos Administración                        </v>
          </cell>
          <cell r="C229">
            <v>0</v>
          </cell>
          <cell r="D229">
            <v>420</v>
          </cell>
          <cell r="E229">
            <v>1644.97</v>
          </cell>
          <cell r="F229">
            <v>425</v>
          </cell>
          <cell r="G229">
            <v>1075</v>
          </cell>
          <cell r="H229">
            <v>6.86</v>
          </cell>
          <cell r="I229">
            <v>2110</v>
          </cell>
          <cell r="J229">
            <v>90</v>
          </cell>
          <cell r="K229">
            <v>2187</v>
          </cell>
          <cell r="L229">
            <v>1434</v>
          </cell>
          <cell r="M229">
            <v>1470.8</v>
          </cell>
          <cell r="N229">
            <v>5590</v>
          </cell>
          <cell r="O229">
            <v>6129.5</v>
          </cell>
          <cell r="P229">
            <v>22583.13</v>
          </cell>
        </row>
        <row r="230">
          <cell r="A230">
            <v>520203010005</v>
          </cell>
          <cell r="B230" t="str">
            <v xml:space="preserve">Combustibles Administración                                           </v>
          </cell>
          <cell r="C230">
            <v>0</v>
          </cell>
          <cell r="D230">
            <v>533.25</v>
          </cell>
          <cell r="E230">
            <v>464.19</v>
          </cell>
          <cell r="F230">
            <v>1017.24</v>
          </cell>
          <cell r="G230">
            <v>812.39</v>
          </cell>
          <cell r="H230">
            <v>570.92999999999995</v>
          </cell>
          <cell r="I230">
            <v>683.36</v>
          </cell>
          <cell r="J230">
            <v>958.36</v>
          </cell>
          <cell r="K230">
            <v>654.85</v>
          </cell>
          <cell r="L230">
            <v>549.30999999999995</v>
          </cell>
          <cell r="M230">
            <v>1279.56</v>
          </cell>
          <cell r="N230">
            <v>810.68</v>
          </cell>
          <cell r="O230">
            <v>486.59</v>
          </cell>
          <cell r="P230">
            <v>8820.7099999999991</v>
          </cell>
        </row>
        <row r="231">
          <cell r="A231">
            <v>520203010007</v>
          </cell>
          <cell r="B231" t="str">
            <v xml:space="preserve">Matricula e impuestos  vehicular  Adm                                 </v>
          </cell>
          <cell r="C231">
            <v>0</v>
          </cell>
          <cell r="D231">
            <v>0</v>
          </cell>
          <cell r="E231">
            <v>0</v>
          </cell>
          <cell r="F231">
            <v>0</v>
          </cell>
          <cell r="G231">
            <v>0</v>
          </cell>
          <cell r="H231">
            <v>5168.38</v>
          </cell>
          <cell r="I231">
            <v>1841.7</v>
          </cell>
          <cell r="J231">
            <v>0</v>
          </cell>
          <cell r="K231">
            <v>167.5</v>
          </cell>
          <cell r="L231">
            <v>1131.1099999999999</v>
          </cell>
          <cell r="M231">
            <v>0</v>
          </cell>
          <cell r="N231">
            <v>358.07</v>
          </cell>
          <cell r="O231">
            <v>0</v>
          </cell>
          <cell r="P231">
            <v>8666.76</v>
          </cell>
        </row>
        <row r="232">
          <cell r="A232">
            <v>520204</v>
          </cell>
          <cell r="B232" t="str">
            <v xml:space="preserve">SEGUROS Y REASEGUROS                                                  </v>
          </cell>
          <cell r="C232">
            <v>0</v>
          </cell>
          <cell r="D232">
            <v>403.09</v>
          </cell>
          <cell r="E232">
            <v>958.7</v>
          </cell>
          <cell r="F232">
            <v>3770.52</v>
          </cell>
          <cell r="G232">
            <v>2534.5100000000002</v>
          </cell>
          <cell r="H232">
            <v>2201.9899999999998</v>
          </cell>
          <cell r="I232">
            <v>1016.01</v>
          </cell>
          <cell r="J232">
            <v>3559.53</v>
          </cell>
          <cell r="K232">
            <v>15004.79</v>
          </cell>
          <cell r="L232">
            <v>1465.01</v>
          </cell>
          <cell r="M232">
            <v>3093.62</v>
          </cell>
          <cell r="N232">
            <v>1.55</v>
          </cell>
          <cell r="O232">
            <v>866.6</v>
          </cell>
          <cell r="P232">
            <v>34875.919999999998</v>
          </cell>
        </row>
        <row r="233">
          <cell r="A233">
            <v>52020401</v>
          </cell>
          <cell r="B233" t="str">
            <v xml:space="preserve">SEGUROS Y REASEGUROS                                                  </v>
          </cell>
          <cell r="C233">
            <v>0</v>
          </cell>
          <cell r="D233">
            <v>403.09</v>
          </cell>
          <cell r="E233">
            <v>958.7</v>
          </cell>
          <cell r="F233">
            <v>3770.52</v>
          </cell>
          <cell r="G233">
            <v>2534.5100000000002</v>
          </cell>
          <cell r="H233">
            <v>2201.9899999999998</v>
          </cell>
          <cell r="I233">
            <v>1016.01</v>
          </cell>
          <cell r="J233">
            <v>3559.53</v>
          </cell>
          <cell r="K233">
            <v>15004.79</v>
          </cell>
          <cell r="L233">
            <v>1465.01</v>
          </cell>
          <cell r="M233">
            <v>3093.62</v>
          </cell>
          <cell r="N233">
            <v>1.55</v>
          </cell>
          <cell r="O233">
            <v>866.6</v>
          </cell>
          <cell r="P233">
            <v>34875.919999999998</v>
          </cell>
        </row>
        <row r="234">
          <cell r="A234">
            <v>520204010002</v>
          </cell>
          <cell r="B234" t="str">
            <v xml:space="preserve">Seguro de Vehiculos                                                   </v>
          </cell>
          <cell r="C234">
            <v>0</v>
          </cell>
          <cell r="D234">
            <v>403.09</v>
          </cell>
          <cell r="E234">
            <v>958.7</v>
          </cell>
          <cell r="F234">
            <v>958.7</v>
          </cell>
          <cell r="G234">
            <v>958.7</v>
          </cell>
          <cell r="H234">
            <v>998.24</v>
          </cell>
          <cell r="I234">
            <v>998.24</v>
          </cell>
          <cell r="J234">
            <v>998.24</v>
          </cell>
          <cell r="K234">
            <v>998.24</v>
          </cell>
          <cell r="L234">
            <v>1100.82</v>
          </cell>
          <cell r="M234">
            <v>1970.03</v>
          </cell>
          <cell r="N234">
            <v>0</v>
          </cell>
          <cell r="O234">
            <v>0</v>
          </cell>
          <cell r="P234">
            <v>10343</v>
          </cell>
        </row>
        <row r="235">
          <cell r="A235">
            <v>520204010004</v>
          </cell>
          <cell r="B235" t="str">
            <v xml:space="preserve">Seguro Contra Asalto y Robos                                          </v>
          </cell>
          <cell r="C235">
            <v>0</v>
          </cell>
          <cell r="D235">
            <v>0</v>
          </cell>
          <cell r="E235">
            <v>0</v>
          </cell>
          <cell r="F235">
            <v>2811.82</v>
          </cell>
          <cell r="G235">
            <v>0</v>
          </cell>
          <cell r="H235">
            <v>1185.98</v>
          </cell>
          <cell r="I235">
            <v>0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  <cell r="N235">
            <v>0</v>
          </cell>
          <cell r="O235">
            <v>0</v>
          </cell>
          <cell r="P235">
            <v>3997.8</v>
          </cell>
        </row>
        <row r="236">
          <cell r="A236">
            <v>520204010007</v>
          </cell>
          <cell r="B236" t="str">
            <v xml:space="preserve">Otros seguros                                                         </v>
          </cell>
          <cell r="C236">
            <v>0</v>
          </cell>
          <cell r="D236">
            <v>0</v>
          </cell>
          <cell r="E236">
            <v>0</v>
          </cell>
          <cell r="F236">
            <v>0</v>
          </cell>
          <cell r="G236">
            <v>1575.81</v>
          </cell>
          <cell r="H236">
            <v>17.77</v>
          </cell>
          <cell r="I236">
            <v>17.77</v>
          </cell>
          <cell r="J236">
            <v>2561.29</v>
          </cell>
          <cell r="K236">
            <v>14006.55</v>
          </cell>
          <cell r="L236">
            <v>364.19</v>
          </cell>
          <cell r="M236">
            <v>1123.5899999999999</v>
          </cell>
          <cell r="N236">
            <v>1.55</v>
          </cell>
          <cell r="O236">
            <v>866.6</v>
          </cell>
          <cell r="P236">
            <v>20535.12</v>
          </cell>
        </row>
        <row r="237">
          <cell r="A237">
            <v>520205</v>
          </cell>
          <cell r="B237" t="str">
            <v xml:space="preserve">OTROS GASTOS DE ADMINISTRACION                                        </v>
          </cell>
          <cell r="C237">
            <v>0</v>
          </cell>
          <cell r="D237">
            <v>46845.36</v>
          </cell>
          <cell r="E237">
            <v>40520.269999999997</v>
          </cell>
          <cell r="F237">
            <v>72227.839999999997</v>
          </cell>
          <cell r="G237">
            <v>30057.5</v>
          </cell>
          <cell r="H237">
            <v>25258.639999999999</v>
          </cell>
          <cell r="I237">
            <v>50038.42</v>
          </cell>
          <cell r="J237">
            <v>56860.44</v>
          </cell>
          <cell r="K237">
            <v>67986.11</v>
          </cell>
          <cell r="L237">
            <v>55675.42</v>
          </cell>
          <cell r="M237">
            <v>40916.800000000003</v>
          </cell>
          <cell r="N237">
            <v>123374.36</v>
          </cell>
          <cell r="O237">
            <v>149368.84</v>
          </cell>
          <cell r="P237">
            <v>759130</v>
          </cell>
        </row>
        <row r="238">
          <cell r="A238">
            <v>52020501</v>
          </cell>
          <cell r="B238" t="str">
            <v xml:space="preserve">OTROS GASTOS                                                          </v>
          </cell>
          <cell r="C238">
            <v>0</v>
          </cell>
          <cell r="D238">
            <v>46845.36</v>
          </cell>
          <cell r="E238">
            <v>40520.269999999997</v>
          </cell>
          <cell r="F238">
            <v>72227.839999999997</v>
          </cell>
          <cell r="G238">
            <v>30057.5</v>
          </cell>
          <cell r="H238">
            <v>25258.639999999999</v>
          </cell>
          <cell r="I238">
            <v>50038.42</v>
          </cell>
          <cell r="J238">
            <v>56860.44</v>
          </cell>
          <cell r="K238">
            <v>67986.11</v>
          </cell>
          <cell r="L238">
            <v>55675.42</v>
          </cell>
          <cell r="M238">
            <v>40916.800000000003</v>
          </cell>
          <cell r="N238">
            <v>123374.36</v>
          </cell>
          <cell r="O238">
            <v>149368.84</v>
          </cell>
          <cell r="P238">
            <v>759130</v>
          </cell>
        </row>
        <row r="239">
          <cell r="A239">
            <v>520205010001</v>
          </cell>
          <cell r="B239" t="str">
            <v xml:space="preserve">Gastos de Viaje Administración                                        </v>
          </cell>
          <cell r="C239">
            <v>0</v>
          </cell>
          <cell r="D239">
            <v>0</v>
          </cell>
          <cell r="E239">
            <v>0</v>
          </cell>
          <cell r="F239">
            <v>0</v>
          </cell>
          <cell r="G239">
            <v>0</v>
          </cell>
          <cell r="H239">
            <v>0</v>
          </cell>
          <cell r="I239">
            <v>0</v>
          </cell>
          <cell r="J239">
            <v>996</v>
          </cell>
          <cell r="K239">
            <v>0</v>
          </cell>
          <cell r="L239">
            <v>0</v>
          </cell>
          <cell r="M239">
            <v>0</v>
          </cell>
          <cell r="N239">
            <v>0</v>
          </cell>
          <cell r="O239">
            <v>2680.33</v>
          </cell>
          <cell r="P239">
            <v>3676.33</v>
          </cell>
        </row>
        <row r="240">
          <cell r="A240">
            <v>520205010002</v>
          </cell>
          <cell r="B240" t="str">
            <v xml:space="preserve">Gastos de Gestión                                                     </v>
          </cell>
          <cell r="C240">
            <v>0</v>
          </cell>
          <cell r="D240">
            <v>878.62</v>
          </cell>
          <cell r="E240">
            <v>576.11</v>
          </cell>
          <cell r="F240">
            <v>2279.38</v>
          </cell>
          <cell r="G240">
            <v>783.71</v>
          </cell>
          <cell r="H240">
            <v>1108.1400000000001</v>
          </cell>
          <cell r="I240">
            <v>1316.92</v>
          </cell>
          <cell r="J240">
            <v>3451.26</v>
          </cell>
          <cell r="K240">
            <v>1000.47</v>
          </cell>
          <cell r="L240">
            <v>950.99</v>
          </cell>
          <cell r="M240">
            <v>970.36</v>
          </cell>
          <cell r="N240">
            <v>1760.46</v>
          </cell>
          <cell r="O240">
            <v>2560.37</v>
          </cell>
          <cell r="P240">
            <v>17636.79</v>
          </cell>
        </row>
        <row r="241">
          <cell r="A241">
            <v>520205010003</v>
          </cell>
          <cell r="B241" t="str">
            <v xml:space="preserve">Telefonía Celular                                                     </v>
          </cell>
          <cell r="C241">
            <v>0</v>
          </cell>
          <cell r="D241">
            <v>141.66999999999999</v>
          </cell>
          <cell r="E241">
            <v>150.82</v>
          </cell>
          <cell r="F241">
            <v>150.6</v>
          </cell>
          <cell r="G241">
            <v>144.63999999999999</v>
          </cell>
          <cell r="H241">
            <v>134.22999999999999</v>
          </cell>
          <cell r="I241">
            <v>144.26</v>
          </cell>
          <cell r="J241">
            <v>150.38</v>
          </cell>
          <cell r="K241">
            <v>246.3</v>
          </cell>
          <cell r="L241">
            <v>192.89</v>
          </cell>
          <cell r="M241">
            <v>150.38</v>
          </cell>
          <cell r="N241">
            <v>141.44999999999999</v>
          </cell>
          <cell r="O241">
            <v>218.86</v>
          </cell>
          <cell r="P241">
            <v>1966.48</v>
          </cell>
        </row>
        <row r="242">
          <cell r="A242">
            <v>520205010004</v>
          </cell>
          <cell r="B242" t="str">
            <v xml:space="preserve">Correo y Courrier                                                     </v>
          </cell>
          <cell r="C242">
            <v>0</v>
          </cell>
          <cell r="D242">
            <v>3.84</v>
          </cell>
          <cell r="E242">
            <v>0</v>
          </cell>
          <cell r="F242">
            <v>0</v>
          </cell>
          <cell r="G242">
            <v>0</v>
          </cell>
          <cell r="H242">
            <v>0</v>
          </cell>
          <cell r="I242">
            <v>0</v>
          </cell>
          <cell r="J242">
            <v>0</v>
          </cell>
          <cell r="K242">
            <v>0</v>
          </cell>
          <cell r="L242">
            <v>0</v>
          </cell>
          <cell r="M242">
            <v>0</v>
          </cell>
          <cell r="N242">
            <v>0</v>
          </cell>
          <cell r="O242">
            <v>0</v>
          </cell>
          <cell r="P242">
            <v>3.84</v>
          </cell>
        </row>
        <row r="243">
          <cell r="A243">
            <v>520205010005</v>
          </cell>
          <cell r="B243" t="str">
            <v xml:space="preserve">Suministros de Oficina y Computación                                  </v>
          </cell>
          <cell r="C243">
            <v>0</v>
          </cell>
          <cell r="D243">
            <v>327.84</v>
          </cell>
          <cell r="E243">
            <v>245.54</v>
          </cell>
          <cell r="F243">
            <v>65</v>
          </cell>
          <cell r="G243">
            <v>1168.43</v>
          </cell>
          <cell r="H243">
            <v>3589.86</v>
          </cell>
          <cell r="I243">
            <v>763.43</v>
          </cell>
          <cell r="J243">
            <v>885.08</v>
          </cell>
          <cell r="K243">
            <v>2645.95</v>
          </cell>
          <cell r="L243">
            <v>984.56</v>
          </cell>
          <cell r="M243">
            <v>4112.76</v>
          </cell>
          <cell r="N243">
            <v>1256.92</v>
          </cell>
          <cell r="O243">
            <v>607.20000000000005</v>
          </cell>
          <cell r="P243">
            <v>16652.57</v>
          </cell>
        </row>
        <row r="244">
          <cell r="A244">
            <v>520205010006</v>
          </cell>
          <cell r="B244" t="str">
            <v xml:space="preserve">Energía Eléctrica Administración                                      </v>
          </cell>
          <cell r="C244">
            <v>0</v>
          </cell>
          <cell r="D244">
            <v>1669.52</v>
          </cell>
          <cell r="E244">
            <v>1733.9</v>
          </cell>
          <cell r="F244">
            <v>1534.4</v>
          </cell>
          <cell r="G244">
            <v>2103.4499999999998</v>
          </cell>
          <cell r="H244">
            <v>2084.5700000000002</v>
          </cell>
          <cell r="I244">
            <v>2174.15</v>
          </cell>
          <cell r="J244">
            <v>0</v>
          </cell>
          <cell r="K244">
            <v>4845.18</v>
          </cell>
          <cell r="L244">
            <v>2234.9899999999998</v>
          </cell>
          <cell r="M244">
            <v>2653.41</v>
          </cell>
          <cell r="N244">
            <v>2451.9699999999998</v>
          </cell>
          <cell r="O244">
            <v>0</v>
          </cell>
          <cell r="P244">
            <v>23485.54</v>
          </cell>
        </row>
        <row r="245">
          <cell r="A245">
            <v>520205010007</v>
          </cell>
          <cell r="B245" t="str">
            <v xml:space="preserve">Agua Administración                                                   </v>
          </cell>
          <cell r="C245">
            <v>0</v>
          </cell>
          <cell r="D245">
            <v>78.739999999999995</v>
          </cell>
          <cell r="E245">
            <v>63.49</v>
          </cell>
          <cell r="F245">
            <v>48.62</v>
          </cell>
          <cell r="G245">
            <v>53.59</v>
          </cell>
          <cell r="H245">
            <v>48.18</v>
          </cell>
          <cell r="I245">
            <v>87.58</v>
          </cell>
          <cell r="J245">
            <v>55.06</v>
          </cell>
          <cell r="K245">
            <v>120.04</v>
          </cell>
          <cell r="L245">
            <v>94.31</v>
          </cell>
          <cell r="M245">
            <v>65.37</v>
          </cell>
          <cell r="N245">
            <v>69.260000000000005</v>
          </cell>
          <cell r="O245">
            <v>66.540000000000006</v>
          </cell>
          <cell r="P245">
            <v>850.78</v>
          </cell>
        </row>
        <row r="246">
          <cell r="A246">
            <v>520205010008</v>
          </cell>
          <cell r="B246" t="str">
            <v xml:space="preserve">Telefonía Convencional                                                </v>
          </cell>
          <cell r="C246">
            <v>0</v>
          </cell>
          <cell r="D246">
            <v>245.24</v>
          </cell>
          <cell r="E246">
            <v>271.08999999999997</v>
          </cell>
          <cell r="F246">
            <v>271.02</v>
          </cell>
          <cell r="G246">
            <v>295.07</v>
          </cell>
          <cell r="H246">
            <v>257</v>
          </cell>
          <cell r="I246">
            <v>266.52</v>
          </cell>
          <cell r="J246">
            <v>241.53</v>
          </cell>
          <cell r="K246">
            <v>215.76</v>
          </cell>
          <cell r="L246">
            <v>237.78</v>
          </cell>
          <cell r="M246">
            <v>270.63</v>
          </cell>
          <cell r="N246">
            <v>237.47</v>
          </cell>
          <cell r="O246">
            <v>280.25</v>
          </cell>
          <cell r="P246">
            <v>3089.36</v>
          </cell>
        </row>
        <row r="247">
          <cell r="A247">
            <v>520205010009</v>
          </cell>
          <cell r="B247" t="str">
            <v xml:space="preserve">Internet                                                              </v>
          </cell>
          <cell r="C247">
            <v>0</v>
          </cell>
          <cell r="D247">
            <v>1076</v>
          </cell>
          <cell r="E247">
            <v>1076</v>
          </cell>
          <cell r="F247">
            <v>1076</v>
          </cell>
          <cell r="G247">
            <v>1076</v>
          </cell>
          <cell r="H247">
            <v>1076</v>
          </cell>
          <cell r="I247">
            <v>1076</v>
          </cell>
          <cell r="J247">
            <v>1076</v>
          </cell>
          <cell r="K247">
            <v>1076</v>
          </cell>
          <cell r="L247">
            <v>1076</v>
          </cell>
          <cell r="M247">
            <v>1076</v>
          </cell>
          <cell r="N247">
            <v>1076</v>
          </cell>
          <cell r="O247">
            <v>1076</v>
          </cell>
          <cell r="P247">
            <v>12912</v>
          </cell>
        </row>
        <row r="248">
          <cell r="A248">
            <v>520205010010</v>
          </cell>
          <cell r="B248" t="str">
            <v xml:space="preserve">Utiles de Limpieza/Cafeteria                                          </v>
          </cell>
          <cell r="C248">
            <v>0</v>
          </cell>
          <cell r="D248">
            <v>206.43</v>
          </cell>
          <cell r="E248">
            <v>81.06</v>
          </cell>
          <cell r="F248">
            <v>41.51</v>
          </cell>
          <cell r="G248">
            <v>327.68</v>
          </cell>
          <cell r="H248">
            <v>77.900000000000006</v>
          </cell>
          <cell r="I248">
            <v>306.42</v>
          </cell>
          <cell r="J248">
            <v>67.680000000000007</v>
          </cell>
          <cell r="K248">
            <v>366.09</v>
          </cell>
          <cell r="L248">
            <v>85.77</v>
          </cell>
          <cell r="M248">
            <v>289.10000000000002</v>
          </cell>
          <cell r="N248">
            <v>79.02</v>
          </cell>
          <cell r="O248">
            <v>0</v>
          </cell>
          <cell r="P248">
            <v>1928.66</v>
          </cell>
        </row>
        <row r="249">
          <cell r="A249">
            <v>520205010011</v>
          </cell>
          <cell r="B249" t="str">
            <v xml:space="preserve">Gastos Menores de activos Administración                              </v>
          </cell>
          <cell r="C249">
            <v>0</v>
          </cell>
          <cell r="D249">
            <v>102.68</v>
          </cell>
          <cell r="E249">
            <v>0</v>
          </cell>
          <cell r="F249">
            <v>0</v>
          </cell>
          <cell r="G249">
            <v>0</v>
          </cell>
          <cell r="H249">
            <v>0</v>
          </cell>
          <cell r="I249">
            <v>0</v>
          </cell>
          <cell r="J249">
            <v>0</v>
          </cell>
          <cell r="K249">
            <v>0</v>
          </cell>
          <cell r="L249">
            <v>0</v>
          </cell>
          <cell r="M249">
            <v>0</v>
          </cell>
          <cell r="N249">
            <v>0</v>
          </cell>
          <cell r="O249">
            <v>0</v>
          </cell>
          <cell r="P249">
            <v>102.68</v>
          </cell>
        </row>
        <row r="250">
          <cell r="A250">
            <v>520205010012</v>
          </cell>
          <cell r="B250" t="str">
            <v xml:space="preserve">Donaciones                                                            </v>
          </cell>
          <cell r="C250">
            <v>0</v>
          </cell>
          <cell r="D250">
            <v>0</v>
          </cell>
          <cell r="E250">
            <v>0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287.97000000000003</v>
          </cell>
          <cell r="K250">
            <v>530</v>
          </cell>
          <cell r="L250">
            <v>0</v>
          </cell>
          <cell r="M250">
            <v>0</v>
          </cell>
          <cell r="N250">
            <v>1140.6199999999999</v>
          </cell>
          <cell r="O250">
            <v>0</v>
          </cell>
          <cell r="P250">
            <v>1958.59</v>
          </cell>
        </row>
        <row r="251">
          <cell r="A251">
            <v>520205010013</v>
          </cell>
          <cell r="B251" t="str">
            <v xml:space="preserve">Cuotas y Suscripciones                                                </v>
          </cell>
          <cell r="C251">
            <v>0</v>
          </cell>
          <cell r="D251">
            <v>1061.3800000000001</v>
          </cell>
          <cell r="E251">
            <v>2778.06</v>
          </cell>
          <cell r="F251">
            <v>1048.56</v>
          </cell>
          <cell r="G251">
            <v>951.56</v>
          </cell>
          <cell r="H251">
            <v>951.56</v>
          </cell>
          <cell r="I251">
            <v>951.56</v>
          </cell>
          <cell r="J251">
            <v>951.56</v>
          </cell>
          <cell r="K251">
            <v>1051.56</v>
          </cell>
          <cell r="L251">
            <v>913.09</v>
          </cell>
          <cell r="M251">
            <v>903.5</v>
          </cell>
          <cell r="N251">
            <v>780</v>
          </cell>
          <cell r="O251">
            <v>780</v>
          </cell>
          <cell r="P251">
            <v>13122.39</v>
          </cell>
        </row>
        <row r="252">
          <cell r="A252">
            <v>520205010014</v>
          </cell>
          <cell r="B252" t="str">
            <v xml:space="preserve">IVA no aplicado (gasto)                                               </v>
          </cell>
          <cell r="C252">
            <v>0</v>
          </cell>
          <cell r="D252">
            <v>8616.9699999999993</v>
          </cell>
          <cell r="E252">
            <v>5760.84</v>
          </cell>
          <cell r="F252">
            <v>5764.49</v>
          </cell>
          <cell r="G252">
            <v>4199.91</v>
          </cell>
          <cell r="H252">
            <v>4069.8</v>
          </cell>
          <cell r="I252">
            <v>12830.42</v>
          </cell>
          <cell r="J252">
            <v>6812.08</v>
          </cell>
          <cell r="K252">
            <v>7326.58</v>
          </cell>
          <cell r="L252">
            <v>7217.54</v>
          </cell>
          <cell r="M252">
            <v>7992.5</v>
          </cell>
          <cell r="N252">
            <v>50763.09</v>
          </cell>
          <cell r="O252">
            <v>92595.55</v>
          </cell>
          <cell r="P252">
            <v>213949.77</v>
          </cell>
        </row>
        <row r="253">
          <cell r="A253">
            <v>520205010015</v>
          </cell>
          <cell r="B253" t="str">
            <v xml:space="preserve">Suministros, materiales y repuestos Administración                    </v>
          </cell>
          <cell r="C253">
            <v>0</v>
          </cell>
          <cell r="D253">
            <v>789.33</v>
          </cell>
          <cell r="E253">
            <v>54.06</v>
          </cell>
          <cell r="F253">
            <v>0</v>
          </cell>
          <cell r="G253">
            <v>0</v>
          </cell>
          <cell r="H253">
            <v>15.73</v>
          </cell>
          <cell r="I253">
            <v>0</v>
          </cell>
          <cell r="J253">
            <v>0</v>
          </cell>
          <cell r="K253">
            <v>3.66</v>
          </cell>
          <cell r="L253">
            <v>0</v>
          </cell>
          <cell r="M253">
            <v>0</v>
          </cell>
          <cell r="N253">
            <v>0</v>
          </cell>
          <cell r="O253">
            <v>0</v>
          </cell>
          <cell r="P253">
            <v>862.78</v>
          </cell>
        </row>
        <row r="254">
          <cell r="A254">
            <v>520205010016</v>
          </cell>
          <cell r="B254" t="str">
            <v xml:space="preserve">Arriendo                                                              </v>
          </cell>
          <cell r="C254">
            <v>0</v>
          </cell>
          <cell r="D254">
            <v>15000</v>
          </cell>
          <cell r="E254">
            <v>15000</v>
          </cell>
          <cell r="F254">
            <v>15000</v>
          </cell>
          <cell r="G254">
            <v>1500</v>
          </cell>
          <cell r="H254">
            <v>0</v>
          </cell>
          <cell r="I254">
            <v>15000</v>
          </cell>
          <cell r="J254">
            <v>28746</v>
          </cell>
          <cell r="K254">
            <v>15000</v>
          </cell>
          <cell r="L254">
            <v>30000</v>
          </cell>
          <cell r="M254">
            <v>15000</v>
          </cell>
          <cell r="N254">
            <v>15000</v>
          </cell>
          <cell r="O254">
            <v>15000</v>
          </cell>
          <cell r="P254">
            <v>180246</v>
          </cell>
        </row>
        <row r="255">
          <cell r="A255">
            <v>520205010018</v>
          </cell>
          <cell r="B255" t="str">
            <v xml:space="preserve">Multas e Intereses                                                    </v>
          </cell>
          <cell r="C255">
            <v>0</v>
          </cell>
          <cell r="D255">
            <v>200.92</v>
          </cell>
          <cell r="E255">
            <v>1026.1199999999999</v>
          </cell>
          <cell r="F255">
            <v>0</v>
          </cell>
          <cell r="G255">
            <v>0</v>
          </cell>
          <cell r="H255">
            <v>305.88</v>
          </cell>
          <cell r="I255">
            <v>0</v>
          </cell>
          <cell r="J255">
            <v>0</v>
          </cell>
          <cell r="K255">
            <v>216.93</v>
          </cell>
          <cell r="L255">
            <v>0</v>
          </cell>
          <cell r="M255">
            <v>282.64</v>
          </cell>
          <cell r="N255">
            <v>0</v>
          </cell>
          <cell r="O255">
            <v>0</v>
          </cell>
          <cell r="P255">
            <v>2032.49</v>
          </cell>
        </row>
        <row r="256">
          <cell r="A256">
            <v>520205010020</v>
          </cell>
          <cell r="B256" t="str">
            <v xml:space="preserve">Ajustes de centavos                                                   </v>
          </cell>
          <cell r="C256">
            <v>0</v>
          </cell>
          <cell r="D256">
            <v>-26.58</v>
          </cell>
          <cell r="E256">
            <v>-0.17</v>
          </cell>
          <cell r="F256">
            <v>-0.13</v>
          </cell>
          <cell r="G256">
            <v>-0.18</v>
          </cell>
          <cell r="H256">
            <v>-0.5</v>
          </cell>
          <cell r="I256">
            <v>73.16</v>
          </cell>
          <cell r="J256">
            <v>0.1</v>
          </cell>
          <cell r="K256">
            <v>-4.58</v>
          </cell>
          <cell r="L256">
            <v>5.23</v>
          </cell>
          <cell r="M256">
            <v>0.2</v>
          </cell>
          <cell r="N256">
            <v>1.43</v>
          </cell>
          <cell r="O256">
            <v>81.53</v>
          </cell>
          <cell r="P256">
            <v>129.51</v>
          </cell>
        </row>
        <row r="257">
          <cell r="A257">
            <v>520205010022</v>
          </cell>
          <cell r="B257" t="str">
            <v xml:space="preserve">Seguridad                                                             </v>
          </cell>
          <cell r="C257">
            <v>0</v>
          </cell>
          <cell r="D257">
            <v>2640</v>
          </cell>
          <cell r="E257">
            <v>2640</v>
          </cell>
          <cell r="F257">
            <v>2640</v>
          </cell>
          <cell r="G257">
            <v>2640</v>
          </cell>
          <cell r="H257">
            <v>2640</v>
          </cell>
          <cell r="I257">
            <v>2640</v>
          </cell>
          <cell r="J257">
            <v>2640</v>
          </cell>
          <cell r="K257">
            <v>2640</v>
          </cell>
          <cell r="L257">
            <v>2640</v>
          </cell>
          <cell r="M257">
            <v>2640</v>
          </cell>
          <cell r="N257">
            <v>3751.62</v>
          </cell>
          <cell r="O257">
            <v>2640</v>
          </cell>
          <cell r="P257">
            <v>32791.620000000003</v>
          </cell>
        </row>
        <row r="258">
          <cell r="A258">
            <v>520205010023</v>
          </cell>
          <cell r="B258" t="str">
            <v xml:space="preserve">Gastos no Deducibles                                                  </v>
          </cell>
          <cell r="C258">
            <v>0</v>
          </cell>
          <cell r="D258">
            <v>463.04</v>
          </cell>
          <cell r="E258">
            <v>435.41</v>
          </cell>
          <cell r="F258">
            <v>35080.14</v>
          </cell>
          <cell r="G258">
            <v>469.83</v>
          </cell>
          <cell r="H258">
            <v>589.61</v>
          </cell>
          <cell r="I258">
            <v>515.78</v>
          </cell>
          <cell r="J258">
            <v>312.49</v>
          </cell>
          <cell r="K258">
            <v>170.76</v>
          </cell>
          <cell r="L258">
            <v>179.55</v>
          </cell>
          <cell r="M258">
            <v>206.49</v>
          </cell>
          <cell r="N258">
            <v>1046.5</v>
          </cell>
          <cell r="O258">
            <v>404.98</v>
          </cell>
          <cell r="P258">
            <v>39874.58</v>
          </cell>
        </row>
        <row r="259">
          <cell r="A259">
            <v>520205010024</v>
          </cell>
          <cell r="B259" t="str">
            <v xml:space="preserve">Gastos de licencias -software y mant ERP                              </v>
          </cell>
          <cell r="C259">
            <v>0</v>
          </cell>
          <cell r="D259">
            <v>8199.98</v>
          </cell>
          <cell r="E259">
            <v>4848.01</v>
          </cell>
          <cell r="F259">
            <v>3311.78</v>
          </cell>
          <cell r="G259">
            <v>3637.17</v>
          </cell>
          <cell r="H259">
            <v>4656.1099999999997</v>
          </cell>
          <cell r="I259">
            <v>4346.68</v>
          </cell>
          <cell r="J259">
            <v>2620.89</v>
          </cell>
          <cell r="K259">
            <v>2703.4</v>
          </cell>
          <cell r="L259">
            <v>3828.36</v>
          </cell>
          <cell r="M259">
            <v>872.4</v>
          </cell>
          <cell r="N259">
            <v>728</v>
          </cell>
          <cell r="O259">
            <v>4076</v>
          </cell>
          <cell r="P259">
            <v>43828.78</v>
          </cell>
        </row>
        <row r="260">
          <cell r="A260">
            <v>520205010026</v>
          </cell>
          <cell r="B260" t="str">
            <v xml:space="preserve">Iva Facrtor de Proporcionalidad                                       </v>
          </cell>
          <cell r="C260">
            <v>0</v>
          </cell>
          <cell r="D260">
            <v>1828.22</v>
          </cell>
          <cell r="E260">
            <v>1741.4</v>
          </cell>
          <cell r="F260">
            <v>2428.98</v>
          </cell>
          <cell r="G260">
            <v>8102.49</v>
          </cell>
          <cell r="H260">
            <v>1769.76</v>
          </cell>
          <cell r="I260">
            <v>4756.05</v>
          </cell>
          <cell r="J260">
            <v>6939.73</v>
          </cell>
          <cell r="K260">
            <v>22354.89</v>
          </cell>
          <cell r="L260">
            <v>2388.7800000000002</v>
          </cell>
          <cell r="M260">
            <v>0</v>
          </cell>
          <cell r="N260">
            <v>0</v>
          </cell>
          <cell r="O260">
            <v>0</v>
          </cell>
          <cell r="P260">
            <v>52310.3</v>
          </cell>
        </row>
        <row r="261">
          <cell r="A261">
            <v>520205010027</v>
          </cell>
          <cell r="B261" t="str">
            <v xml:space="preserve">Promocion y Publicidad Administracion                                 </v>
          </cell>
          <cell r="C261">
            <v>0</v>
          </cell>
          <cell r="D261">
            <v>0</v>
          </cell>
          <cell r="E261">
            <v>0</v>
          </cell>
          <cell r="F261">
            <v>197</v>
          </cell>
          <cell r="G261">
            <v>199.8</v>
          </cell>
          <cell r="H261">
            <v>0</v>
          </cell>
          <cell r="I261">
            <v>0</v>
          </cell>
          <cell r="J261">
            <v>0</v>
          </cell>
          <cell r="K261">
            <v>0</v>
          </cell>
          <cell r="L261">
            <v>0</v>
          </cell>
          <cell r="M261">
            <v>0</v>
          </cell>
          <cell r="N261">
            <v>0</v>
          </cell>
          <cell r="O261">
            <v>0</v>
          </cell>
          <cell r="P261">
            <v>396.8</v>
          </cell>
        </row>
        <row r="262">
          <cell r="A262">
            <v>520205010030</v>
          </cell>
          <cell r="B262" t="str">
            <v xml:space="preserve">Gasto Movilizacion Administración                                     </v>
          </cell>
          <cell r="C262">
            <v>0</v>
          </cell>
          <cell r="D262">
            <v>33</v>
          </cell>
          <cell r="E262">
            <v>192</v>
          </cell>
          <cell r="F262">
            <v>211.5</v>
          </cell>
          <cell r="G262">
            <v>104.3</v>
          </cell>
          <cell r="H262">
            <v>180</v>
          </cell>
          <cell r="I262">
            <v>855.89</v>
          </cell>
          <cell r="J262">
            <v>188.85</v>
          </cell>
          <cell r="K262">
            <v>233.9</v>
          </cell>
          <cell r="L262">
            <v>229</v>
          </cell>
          <cell r="M262">
            <v>212</v>
          </cell>
          <cell r="N262">
            <v>56.5</v>
          </cell>
          <cell r="O262">
            <v>46.1</v>
          </cell>
          <cell r="P262">
            <v>2543.04</v>
          </cell>
        </row>
        <row r="263">
          <cell r="A263">
            <v>520205010036</v>
          </cell>
          <cell r="B263" t="str">
            <v xml:space="preserve">Otros pagos bienes y servicios administración                         </v>
          </cell>
          <cell r="C263">
            <v>0</v>
          </cell>
          <cell r="D263">
            <v>640.51</v>
          </cell>
          <cell r="E263">
            <v>1729.33</v>
          </cell>
          <cell r="F263">
            <v>936.99</v>
          </cell>
          <cell r="G263">
            <v>1782.55</v>
          </cell>
          <cell r="H263">
            <v>692.25</v>
          </cell>
          <cell r="I263">
            <v>1933.6</v>
          </cell>
          <cell r="J263">
            <v>437.78</v>
          </cell>
          <cell r="K263">
            <v>3402.18</v>
          </cell>
          <cell r="L263">
            <v>2416.58</v>
          </cell>
          <cell r="M263">
            <v>1485.14</v>
          </cell>
          <cell r="N263">
            <v>43034.05</v>
          </cell>
          <cell r="O263">
            <v>25991.13</v>
          </cell>
          <cell r="P263">
            <v>84482.09</v>
          </cell>
        </row>
        <row r="264">
          <cell r="A264">
            <v>520205010037</v>
          </cell>
          <cell r="B264" t="str">
            <v xml:space="preserve">Mant equipos de computo                                               </v>
          </cell>
          <cell r="C264">
            <v>0</v>
          </cell>
          <cell r="D264">
            <v>0</v>
          </cell>
          <cell r="E264">
            <v>0</v>
          </cell>
          <cell r="F264">
            <v>142</v>
          </cell>
          <cell r="G264">
            <v>0</v>
          </cell>
          <cell r="H264">
            <v>0</v>
          </cell>
          <cell r="I264">
            <v>0</v>
          </cell>
          <cell r="J264">
            <v>0</v>
          </cell>
          <cell r="K264">
            <v>0</v>
          </cell>
          <cell r="L264">
            <v>0</v>
          </cell>
          <cell r="M264">
            <v>0</v>
          </cell>
          <cell r="N264">
            <v>0</v>
          </cell>
          <cell r="O264">
            <v>0</v>
          </cell>
          <cell r="P264">
            <v>142</v>
          </cell>
        </row>
        <row r="265">
          <cell r="A265">
            <v>520205010039</v>
          </cell>
          <cell r="B265" t="str">
            <v xml:space="preserve">Registros y derechos                                                  </v>
          </cell>
          <cell r="C265">
            <v>0</v>
          </cell>
          <cell r="D265">
            <v>0</v>
          </cell>
          <cell r="E265">
            <v>0</v>
          </cell>
          <cell r="F265">
            <v>0</v>
          </cell>
          <cell r="G265">
            <v>0</v>
          </cell>
          <cell r="H265">
            <v>0</v>
          </cell>
          <cell r="I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  <cell r="N265">
            <v>0</v>
          </cell>
          <cell r="O265">
            <v>264</v>
          </cell>
          <cell r="P265">
            <v>264</v>
          </cell>
        </row>
        <row r="266">
          <cell r="A266">
            <v>520205010040</v>
          </cell>
          <cell r="B266" t="str">
            <v xml:space="preserve">Obsequios y muestras a clientes (autoconsumo)                         </v>
          </cell>
          <cell r="C266">
            <v>0</v>
          </cell>
          <cell r="D266">
            <v>2668.01</v>
          </cell>
          <cell r="E266">
            <v>117.2</v>
          </cell>
          <cell r="F266">
            <v>0</v>
          </cell>
          <cell r="G266">
            <v>517.5</v>
          </cell>
          <cell r="H266">
            <v>1012.56</v>
          </cell>
          <cell r="I266">
            <v>0</v>
          </cell>
          <cell r="J266">
            <v>0</v>
          </cell>
          <cell r="K266">
            <v>1841.04</v>
          </cell>
          <cell r="L266">
            <v>0</v>
          </cell>
          <cell r="M266">
            <v>1733.92</v>
          </cell>
          <cell r="N266">
            <v>0</v>
          </cell>
          <cell r="O266">
            <v>0</v>
          </cell>
          <cell r="P266">
            <v>7890.23</v>
          </cell>
        </row>
        <row r="267">
          <cell r="A267">
            <v>520206</v>
          </cell>
          <cell r="B267" t="str">
            <v xml:space="preserve">IMPUESTOS, CONTRIBUCIONES Y OTROS                                     </v>
          </cell>
          <cell r="C267">
            <v>0</v>
          </cell>
          <cell r="D267">
            <v>4399.82</v>
          </cell>
          <cell r="E267">
            <v>204.51</v>
          </cell>
          <cell r="F267">
            <v>787.75</v>
          </cell>
          <cell r="G267">
            <v>2118.1999999999998</v>
          </cell>
          <cell r="H267">
            <v>258.75</v>
          </cell>
          <cell r="I267">
            <v>18016.45</v>
          </cell>
          <cell r="J267">
            <v>267.89999999999998</v>
          </cell>
          <cell r="K267">
            <v>20972.12</v>
          </cell>
          <cell r="L267">
            <v>15915.71</v>
          </cell>
          <cell r="M267">
            <v>1499.19</v>
          </cell>
          <cell r="N267">
            <v>376.78</v>
          </cell>
          <cell r="O267">
            <v>629.80999999999995</v>
          </cell>
          <cell r="P267">
            <v>65446.99</v>
          </cell>
        </row>
        <row r="268">
          <cell r="A268">
            <v>52020601</v>
          </cell>
          <cell r="B268" t="str">
            <v xml:space="preserve">IMPUESTOS Y CONTRIBUCIONES                                            </v>
          </cell>
          <cell r="C268">
            <v>0</v>
          </cell>
          <cell r="D268">
            <v>4399.82</v>
          </cell>
          <cell r="E268">
            <v>204.51</v>
          </cell>
          <cell r="F268">
            <v>787.75</v>
          </cell>
          <cell r="G268">
            <v>2118.1999999999998</v>
          </cell>
          <cell r="H268">
            <v>258.75</v>
          </cell>
          <cell r="I268">
            <v>18016.45</v>
          </cell>
          <cell r="J268">
            <v>267.89999999999998</v>
          </cell>
          <cell r="K268">
            <v>20972.12</v>
          </cell>
          <cell r="L268">
            <v>15915.71</v>
          </cell>
          <cell r="M268">
            <v>1499.19</v>
          </cell>
          <cell r="N268">
            <v>376.78</v>
          </cell>
          <cell r="O268">
            <v>629.80999999999995</v>
          </cell>
          <cell r="P268">
            <v>65446.99</v>
          </cell>
        </row>
        <row r="269">
          <cell r="A269">
            <v>520206010001</v>
          </cell>
          <cell r="B269" t="str">
            <v xml:space="preserve">Impuestos  municipales                                                </v>
          </cell>
          <cell r="C269">
            <v>0</v>
          </cell>
          <cell r="D269">
            <v>3932.52</v>
          </cell>
          <cell r="E269">
            <v>0</v>
          </cell>
          <cell r="F269">
            <v>550</v>
          </cell>
          <cell r="G269">
            <v>1854.84</v>
          </cell>
          <cell r="H269">
            <v>0</v>
          </cell>
          <cell r="I269">
            <v>17346.060000000001</v>
          </cell>
          <cell r="J269">
            <v>0</v>
          </cell>
          <cell r="K269">
            <v>20662.580000000002</v>
          </cell>
          <cell r="L269">
            <v>0</v>
          </cell>
          <cell r="M269">
            <v>0</v>
          </cell>
          <cell r="N269">
            <v>344.23</v>
          </cell>
          <cell r="O269">
            <v>0</v>
          </cell>
          <cell r="P269">
            <v>44690.23</v>
          </cell>
        </row>
        <row r="270">
          <cell r="A270">
            <v>520206010002</v>
          </cell>
          <cell r="B270" t="str">
            <v xml:space="preserve">Impuesto Cuerpo de Bomberos                                           </v>
          </cell>
          <cell r="C270">
            <v>0</v>
          </cell>
          <cell r="D270">
            <v>0</v>
          </cell>
          <cell r="E270">
            <v>0</v>
          </cell>
          <cell r="F270">
            <v>0</v>
          </cell>
          <cell r="G270">
            <v>0</v>
          </cell>
          <cell r="H270">
            <v>0</v>
          </cell>
          <cell r="I270">
            <v>414</v>
          </cell>
          <cell r="J270">
            <v>0</v>
          </cell>
          <cell r="K270">
            <v>0</v>
          </cell>
          <cell r="L270">
            <v>0</v>
          </cell>
          <cell r="M270">
            <v>1224</v>
          </cell>
          <cell r="N270">
            <v>0</v>
          </cell>
          <cell r="O270">
            <v>0</v>
          </cell>
          <cell r="P270">
            <v>1638</v>
          </cell>
        </row>
        <row r="271">
          <cell r="A271">
            <v>520206010004</v>
          </cell>
          <cell r="B271" t="str">
            <v xml:space="preserve">Contribuciones  Super de Compania                                     </v>
          </cell>
          <cell r="C271">
            <v>0</v>
          </cell>
          <cell r="D271">
            <v>0</v>
          </cell>
          <cell r="E271">
            <v>0</v>
          </cell>
          <cell r="F271">
            <v>0</v>
          </cell>
          <cell r="G271">
            <v>0</v>
          </cell>
          <cell r="H271">
            <v>0</v>
          </cell>
          <cell r="I271">
            <v>0</v>
          </cell>
          <cell r="J271">
            <v>0</v>
          </cell>
          <cell r="K271">
            <v>0</v>
          </cell>
          <cell r="L271">
            <v>15627.28</v>
          </cell>
          <cell r="M271">
            <v>0</v>
          </cell>
          <cell r="N271">
            <v>0</v>
          </cell>
          <cell r="O271">
            <v>0</v>
          </cell>
          <cell r="P271">
            <v>15627.28</v>
          </cell>
        </row>
        <row r="272">
          <cell r="A272">
            <v>520206010005</v>
          </cell>
          <cell r="B272" t="str">
            <v xml:space="preserve">Contribucion Solca                                                    </v>
          </cell>
          <cell r="C272">
            <v>0</v>
          </cell>
          <cell r="D272">
            <v>0.38</v>
          </cell>
          <cell r="E272">
            <v>0</v>
          </cell>
          <cell r="F272">
            <v>0.69</v>
          </cell>
          <cell r="G272">
            <v>0</v>
          </cell>
          <cell r="H272">
            <v>0</v>
          </cell>
          <cell r="I272">
            <v>0</v>
          </cell>
          <cell r="J272">
            <v>0.31</v>
          </cell>
          <cell r="K272">
            <v>0.76</v>
          </cell>
          <cell r="L272">
            <v>0</v>
          </cell>
          <cell r="M272">
            <v>0</v>
          </cell>
          <cell r="N272">
            <v>0.05</v>
          </cell>
          <cell r="O272">
            <v>0</v>
          </cell>
          <cell r="P272">
            <v>2.19</v>
          </cell>
        </row>
        <row r="273">
          <cell r="A273">
            <v>520206010006</v>
          </cell>
          <cell r="B273" t="str">
            <v xml:space="preserve">Impuesto salida de divisa                                             </v>
          </cell>
          <cell r="C273">
            <v>0</v>
          </cell>
          <cell r="D273">
            <v>247.5</v>
          </cell>
          <cell r="E273">
            <v>0</v>
          </cell>
          <cell r="F273">
            <v>24.5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32.5</v>
          </cell>
          <cell r="O273">
            <v>0</v>
          </cell>
          <cell r="P273">
            <v>304.5</v>
          </cell>
        </row>
        <row r="274">
          <cell r="A274">
            <v>520206010008</v>
          </cell>
          <cell r="B274" t="str">
            <v xml:space="preserve">Tasa de recoleccion de basura                                         </v>
          </cell>
          <cell r="C274">
            <v>0</v>
          </cell>
          <cell r="D274">
            <v>219.42</v>
          </cell>
          <cell r="E274">
            <v>204.51</v>
          </cell>
          <cell r="F274">
            <v>212.56</v>
          </cell>
          <cell r="G274">
            <v>263.36</v>
          </cell>
          <cell r="H274">
            <v>258.75</v>
          </cell>
          <cell r="I274">
            <v>256.39</v>
          </cell>
          <cell r="J274">
            <v>267.58999999999997</v>
          </cell>
          <cell r="K274">
            <v>308.77999999999997</v>
          </cell>
          <cell r="L274">
            <v>288.43</v>
          </cell>
          <cell r="M274">
            <v>275.19</v>
          </cell>
          <cell r="N274">
            <v>0</v>
          </cell>
          <cell r="O274">
            <v>629.80999999999995</v>
          </cell>
          <cell r="P274">
            <v>3184.79</v>
          </cell>
        </row>
        <row r="275">
          <cell r="A275">
            <v>520207</v>
          </cell>
          <cell r="B275" t="str">
            <v xml:space="preserve">DEPRECIACIONES:                                                       </v>
          </cell>
          <cell r="C275">
            <v>0</v>
          </cell>
          <cell r="D275">
            <v>3717.27</v>
          </cell>
          <cell r="E275">
            <v>3682.82</v>
          </cell>
          <cell r="F275">
            <v>3651.52</v>
          </cell>
          <cell r="G275">
            <v>3651.52</v>
          </cell>
          <cell r="H275">
            <v>4131.53</v>
          </cell>
          <cell r="I275">
            <v>4084.14</v>
          </cell>
          <cell r="J275">
            <v>5045.46</v>
          </cell>
          <cell r="K275">
            <v>4999.75</v>
          </cell>
          <cell r="L275">
            <v>4998.37</v>
          </cell>
          <cell r="M275">
            <v>4997.6400000000003</v>
          </cell>
          <cell r="N275">
            <v>4983.59</v>
          </cell>
          <cell r="O275">
            <v>4912.9799999999996</v>
          </cell>
          <cell r="P275">
            <v>52856.59</v>
          </cell>
        </row>
        <row r="276">
          <cell r="A276">
            <v>52020701</v>
          </cell>
          <cell r="B276" t="str">
            <v xml:space="preserve">PROPIEDADES, PLANTA Y EQUIPO                                          </v>
          </cell>
          <cell r="C276">
            <v>0</v>
          </cell>
          <cell r="D276">
            <v>3717.27</v>
          </cell>
          <cell r="E276">
            <v>3682.82</v>
          </cell>
          <cell r="F276">
            <v>3651.52</v>
          </cell>
          <cell r="G276">
            <v>3651.52</v>
          </cell>
          <cell r="H276">
            <v>4131.53</v>
          </cell>
          <cell r="I276">
            <v>4084.14</v>
          </cell>
          <cell r="J276">
            <v>5045.46</v>
          </cell>
          <cell r="K276">
            <v>4999.75</v>
          </cell>
          <cell r="L276">
            <v>4998.37</v>
          </cell>
          <cell r="M276">
            <v>4997.6400000000003</v>
          </cell>
          <cell r="N276">
            <v>4983.59</v>
          </cell>
          <cell r="O276">
            <v>4912.9799999999996</v>
          </cell>
          <cell r="P276">
            <v>52856.59</v>
          </cell>
        </row>
        <row r="277">
          <cell r="A277">
            <v>520207010001</v>
          </cell>
          <cell r="B277" t="str">
            <v xml:space="preserve">Gastos de Depreciación de Edificios                                   </v>
          </cell>
          <cell r="C277">
            <v>0</v>
          </cell>
          <cell r="D277">
            <v>682.68</v>
          </cell>
          <cell r="E277">
            <v>682.68</v>
          </cell>
          <cell r="F277">
            <v>682.68</v>
          </cell>
          <cell r="G277">
            <v>682.68</v>
          </cell>
          <cell r="H277">
            <v>682.68</v>
          </cell>
          <cell r="I277">
            <v>682.68</v>
          </cell>
          <cell r="J277">
            <v>682.68</v>
          </cell>
          <cell r="K277">
            <v>682.68</v>
          </cell>
          <cell r="L277">
            <v>682.68</v>
          </cell>
          <cell r="M277">
            <v>682.68</v>
          </cell>
          <cell r="N277">
            <v>682.68</v>
          </cell>
          <cell r="O277">
            <v>682.68</v>
          </cell>
          <cell r="P277">
            <v>8192.16</v>
          </cell>
        </row>
        <row r="278">
          <cell r="A278">
            <v>520207010003</v>
          </cell>
          <cell r="B278" t="str">
            <v xml:space="preserve">Gastos de Depreciaciones de Muebles y Enseres                         </v>
          </cell>
          <cell r="C278">
            <v>0</v>
          </cell>
          <cell r="D278">
            <v>364.59</v>
          </cell>
          <cell r="E278">
            <v>363.76</v>
          </cell>
          <cell r="F278">
            <v>362.09</v>
          </cell>
          <cell r="G278">
            <v>362.09</v>
          </cell>
          <cell r="H278">
            <v>386.87</v>
          </cell>
          <cell r="I278">
            <v>339.48</v>
          </cell>
          <cell r="J278">
            <v>296.97000000000003</v>
          </cell>
          <cell r="K278">
            <v>290.8</v>
          </cell>
          <cell r="L278">
            <v>289.42</v>
          </cell>
          <cell r="M278">
            <v>288.69</v>
          </cell>
          <cell r="N278">
            <v>287.55</v>
          </cell>
          <cell r="O278">
            <v>228.74</v>
          </cell>
          <cell r="P278">
            <v>3861.05</v>
          </cell>
        </row>
        <row r="279">
          <cell r="A279">
            <v>520207010004</v>
          </cell>
          <cell r="B279" t="str">
            <v xml:space="preserve">Gastos de Depreciación de Equipos de computacion                      </v>
          </cell>
          <cell r="C279">
            <v>0</v>
          </cell>
          <cell r="D279">
            <v>184.14</v>
          </cell>
          <cell r="E279">
            <v>150.52000000000001</v>
          </cell>
          <cell r="F279">
            <v>120.89</v>
          </cell>
          <cell r="G279">
            <v>120.89</v>
          </cell>
          <cell r="H279">
            <v>120.89</v>
          </cell>
          <cell r="I279">
            <v>120.89</v>
          </cell>
          <cell r="J279">
            <v>102.79</v>
          </cell>
          <cell r="K279">
            <v>63.25</v>
          </cell>
          <cell r="L279">
            <v>63.25</v>
          </cell>
          <cell r="M279">
            <v>63.25</v>
          </cell>
          <cell r="N279">
            <v>50.34</v>
          </cell>
          <cell r="O279">
            <v>38.54</v>
          </cell>
          <cell r="P279">
            <v>1199.6400000000001</v>
          </cell>
        </row>
        <row r="280">
          <cell r="A280">
            <v>520207010005</v>
          </cell>
          <cell r="B280" t="str">
            <v xml:space="preserve">Gastos de Depreciación de Vehiculos                                   </v>
          </cell>
          <cell r="C280">
            <v>0</v>
          </cell>
          <cell r="D280">
            <v>2477.08</v>
          </cell>
          <cell r="E280">
            <v>2477.08</v>
          </cell>
          <cell r="F280">
            <v>2477.08</v>
          </cell>
          <cell r="G280">
            <v>2477.08</v>
          </cell>
          <cell r="H280">
            <v>2932.31</v>
          </cell>
          <cell r="I280">
            <v>2932.31</v>
          </cell>
          <cell r="J280">
            <v>3954.24</v>
          </cell>
          <cell r="K280">
            <v>3954.24</v>
          </cell>
          <cell r="L280">
            <v>3954.24</v>
          </cell>
          <cell r="M280">
            <v>3954.24</v>
          </cell>
          <cell r="N280">
            <v>3954.24</v>
          </cell>
          <cell r="O280">
            <v>3954.24</v>
          </cell>
          <cell r="P280">
            <v>39498.379999999997</v>
          </cell>
        </row>
        <row r="281">
          <cell r="A281">
            <v>520207010007</v>
          </cell>
          <cell r="B281" t="str">
            <v xml:space="preserve">Gastos depreciacion equipos de seguridad                              </v>
          </cell>
          <cell r="C281">
            <v>0</v>
          </cell>
          <cell r="D281">
            <v>8.7799999999999994</v>
          </cell>
          <cell r="E281">
            <v>8.7799999999999994</v>
          </cell>
          <cell r="F281">
            <v>8.7799999999999994</v>
          </cell>
          <cell r="G281">
            <v>8.7799999999999994</v>
          </cell>
          <cell r="H281">
            <v>8.7799999999999994</v>
          </cell>
          <cell r="I281">
            <v>8.7799999999999994</v>
          </cell>
          <cell r="J281">
            <v>8.7799999999999994</v>
          </cell>
          <cell r="K281">
            <v>8.7799999999999994</v>
          </cell>
          <cell r="L281">
            <v>8.7799999999999994</v>
          </cell>
          <cell r="M281">
            <v>8.7799999999999994</v>
          </cell>
          <cell r="N281">
            <v>8.7799999999999994</v>
          </cell>
          <cell r="O281">
            <v>8.7799999999999994</v>
          </cell>
          <cell r="P281">
            <v>105.36</v>
          </cell>
        </row>
        <row r="282">
          <cell r="A282">
            <v>5203</v>
          </cell>
          <cell r="B282" t="str">
            <v xml:space="preserve">GASTOS  FINANCIEROS                                                   </v>
          </cell>
          <cell r="C282">
            <v>0</v>
          </cell>
          <cell r="D282">
            <v>1381.86</v>
          </cell>
          <cell r="E282">
            <v>660.63</v>
          </cell>
          <cell r="F282">
            <v>1166.25</v>
          </cell>
          <cell r="G282">
            <v>850.47</v>
          </cell>
          <cell r="H282">
            <v>503.49</v>
          </cell>
          <cell r="I282">
            <v>1013.73</v>
          </cell>
          <cell r="J282">
            <v>13185.71</v>
          </cell>
          <cell r="K282">
            <v>22570.9</v>
          </cell>
          <cell r="L282">
            <v>1336.66</v>
          </cell>
          <cell r="M282">
            <v>882</v>
          </cell>
          <cell r="N282">
            <v>1089.02</v>
          </cell>
          <cell r="O282">
            <v>1428.08</v>
          </cell>
          <cell r="P282">
            <v>46068.800000000003</v>
          </cell>
        </row>
        <row r="283">
          <cell r="A283">
            <v>520301</v>
          </cell>
          <cell r="B283" t="str">
            <v xml:space="preserve">GASTOS FINANCIEROS                                                    </v>
          </cell>
          <cell r="C283">
            <v>0</v>
          </cell>
          <cell r="D283">
            <v>1381.86</v>
          </cell>
          <cell r="E283">
            <v>660.63</v>
          </cell>
          <cell r="F283">
            <v>1166.25</v>
          </cell>
          <cell r="G283">
            <v>850.47</v>
          </cell>
          <cell r="H283">
            <v>503.49</v>
          </cell>
          <cell r="I283">
            <v>1013.73</v>
          </cell>
          <cell r="J283">
            <v>13185.71</v>
          </cell>
          <cell r="K283">
            <v>22570.9</v>
          </cell>
          <cell r="L283">
            <v>1336.66</v>
          </cell>
          <cell r="M283">
            <v>882</v>
          </cell>
          <cell r="N283">
            <v>1089.02</v>
          </cell>
          <cell r="O283">
            <v>1428.08</v>
          </cell>
          <cell r="P283">
            <v>46068.800000000003</v>
          </cell>
        </row>
        <row r="284">
          <cell r="A284">
            <v>52030102</v>
          </cell>
          <cell r="B284" t="str">
            <v xml:space="preserve">OTROS GASTOS FINANCIEROS                                              </v>
          </cell>
          <cell r="C284">
            <v>0</v>
          </cell>
          <cell r="D284">
            <v>1381.86</v>
          </cell>
          <cell r="E284">
            <v>660.63</v>
          </cell>
          <cell r="F284">
            <v>1166.25</v>
          </cell>
          <cell r="G284">
            <v>850.47</v>
          </cell>
          <cell r="H284">
            <v>503.49</v>
          </cell>
          <cell r="I284">
            <v>1013.73</v>
          </cell>
          <cell r="J284">
            <v>13185.71</v>
          </cell>
          <cell r="K284">
            <v>22570.9</v>
          </cell>
          <cell r="L284">
            <v>1336.66</v>
          </cell>
          <cell r="M284">
            <v>882</v>
          </cell>
          <cell r="N284">
            <v>1089.02</v>
          </cell>
          <cell r="O284">
            <v>1428.08</v>
          </cell>
          <cell r="P284">
            <v>46068.800000000003</v>
          </cell>
        </row>
        <row r="285">
          <cell r="A285">
            <v>520301020001</v>
          </cell>
          <cell r="B285" t="str">
            <v xml:space="preserve">Gastos Bancarios                                                      </v>
          </cell>
          <cell r="C285">
            <v>0</v>
          </cell>
          <cell r="D285">
            <v>1381.86</v>
          </cell>
          <cell r="E285">
            <v>660.63</v>
          </cell>
          <cell r="F285">
            <v>1166.25</v>
          </cell>
          <cell r="G285">
            <v>850.47</v>
          </cell>
          <cell r="H285">
            <v>503.49</v>
          </cell>
          <cell r="I285">
            <v>1013.73</v>
          </cell>
          <cell r="J285">
            <v>908.51</v>
          </cell>
          <cell r="K285">
            <v>1261.08</v>
          </cell>
          <cell r="L285">
            <v>1336.66</v>
          </cell>
          <cell r="M285">
            <v>882</v>
          </cell>
          <cell r="N285">
            <v>1089.02</v>
          </cell>
          <cell r="O285">
            <v>1428.08</v>
          </cell>
          <cell r="P285">
            <v>12481.78</v>
          </cell>
        </row>
        <row r="286">
          <cell r="A286">
            <v>520301020002</v>
          </cell>
          <cell r="B286" t="str">
            <v xml:space="preserve">Diferencia en Cambio                                                  </v>
          </cell>
          <cell r="C286">
            <v>0</v>
          </cell>
          <cell r="D286">
            <v>0</v>
          </cell>
          <cell r="E286">
            <v>0</v>
          </cell>
          <cell r="F286">
            <v>0</v>
          </cell>
          <cell r="G286">
            <v>0</v>
          </cell>
          <cell r="H286">
            <v>0</v>
          </cell>
          <cell r="I286">
            <v>0</v>
          </cell>
          <cell r="J286">
            <v>12277.2</v>
          </cell>
          <cell r="K286">
            <v>21309.82</v>
          </cell>
          <cell r="L286">
            <v>0</v>
          </cell>
          <cell r="M286">
            <v>0</v>
          </cell>
          <cell r="N286">
            <v>0</v>
          </cell>
          <cell r="O286">
            <v>0</v>
          </cell>
          <cell r="P286">
            <v>33587.019999999997</v>
          </cell>
        </row>
        <row r="287">
          <cell r="A287">
            <v>54</v>
          </cell>
          <cell r="B287" t="str">
            <v xml:space="preserve">OTROS INGRESOS Y EGRESOS                                              </v>
          </cell>
          <cell r="C287">
            <v>0</v>
          </cell>
          <cell r="D287">
            <v>-3.63</v>
          </cell>
          <cell r="E287">
            <v>0.61</v>
          </cell>
          <cell r="F287">
            <v>-60.75</v>
          </cell>
          <cell r="G287">
            <v>101470.03</v>
          </cell>
          <cell r="H287">
            <v>-0.04</v>
          </cell>
          <cell r="I287">
            <v>75769.070000000007</v>
          </cell>
          <cell r="J287">
            <v>0.41</v>
          </cell>
          <cell r="K287">
            <v>-3.26</v>
          </cell>
          <cell r="L287">
            <v>-490.03</v>
          </cell>
          <cell r="M287">
            <v>-109.12</v>
          </cell>
          <cell r="N287">
            <v>-53.06</v>
          </cell>
          <cell r="O287">
            <v>0.06</v>
          </cell>
          <cell r="P287">
            <v>176520.29</v>
          </cell>
        </row>
        <row r="288">
          <cell r="A288">
            <v>5401</v>
          </cell>
          <cell r="B288" t="str">
            <v xml:space="preserve">OTROS INGRESOS                                                        </v>
          </cell>
          <cell r="C288">
            <v>0</v>
          </cell>
          <cell r="D288">
            <v>-3.63</v>
          </cell>
          <cell r="E288">
            <v>0.61</v>
          </cell>
          <cell r="F288">
            <v>-60.75</v>
          </cell>
          <cell r="G288">
            <v>101470.03</v>
          </cell>
          <cell r="H288">
            <v>-0.04</v>
          </cell>
          <cell r="I288">
            <v>75769.070000000007</v>
          </cell>
          <cell r="J288">
            <v>0.41</v>
          </cell>
          <cell r="K288">
            <v>-3.26</v>
          </cell>
          <cell r="L288">
            <v>-490.03</v>
          </cell>
          <cell r="M288">
            <v>-109.12</v>
          </cell>
          <cell r="N288">
            <v>-53.06</v>
          </cell>
          <cell r="O288">
            <v>0.06</v>
          </cell>
          <cell r="P288">
            <v>176520.29</v>
          </cell>
        </row>
        <row r="289">
          <cell r="A289">
            <v>540101</v>
          </cell>
          <cell r="B289" t="str">
            <v xml:space="preserve">OTROS INGRESOS                                                        </v>
          </cell>
          <cell r="C289">
            <v>0</v>
          </cell>
          <cell r="D289">
            <v>-3.63</v>
          </cell>
          <cell r="E289">
            <v>0.61</v>
          </cell>
          <cell r="F289">
            <v>-60.75</v>
          </cell>
          <cell r="G289">
            <v>101470.03</v>
          </cell>
          <cell r="H289">
            <v>-0.04</v>
          </cell>
          <cell r="I289">
            <v>75769.070000000007</v>
          </cell>
          <cell r="J289">
            <v>0.41</v>
          </cell>
          <cell r="K289">
            <v>-3.26</v>
          </cell>
          <cell r="L289">
            <v>-490.03</v>
          </cell>
          <cell r="M289">
            <v>-109.12</v>
          </cell>
          <cell r="N289">
            <v>-53.06</v>
          </cell>
          <cell r="O289">
            <v>0.06</v>
          </cell>
          <cell r="P289">
            <v>176520.29</v>
          </cell>
        </row>
        <row r="290">
          <cell r="A290">
            <v>54010103</v>
          </cell>
          <cell r="B290" t="str">
            <v xml:space="preserve">OTROS INGRESOS                                                        </v>
          </cell>
          <cell r="C290">
            <v>0</v>
          </cell>
          <cell r="D290">
            <v>-3.66</v>
          </cell>
          <cell r="E290">
            <v>-0.91</v>
          </cell>
          <cell r="F290">
            <v>-60.86</v>
          </cell>
          <cell r="G290">
            <v>-657.4</v>
          </cell>
          <cell r="H290">
            <v>-0.09</v>
          </cell>
          <cell r="I290">
            <v>-2144.14</v>
          </cell>
          <cell r="J290">
            <v>-0.42</v>
          </cell>
          <cell r="K290">
            <v>-3.32</v>
          </cell>
          <cell r="L290">
            <v>-490.07</v>
          </cell>
          <cell r="M290">
            <v>-109.23</v>
          </cell>
          <cell r="N290">
            <v>-53.6</v>
          </cell>
          <cell r="O290">
            <v>-0.55000000000000004</v>
          </cell>
          <cell r="P290">
            <v>-3524.25</v>
          </cell>
        </row>
        <row r="291">
          <cell r="A291">
            <v>540101030008</v>
          </cell>
          <cell r="B291" t="str">
            <v xml:space="preserve">Otros Intereses ganados                                               </v>
          </cell>
          <cell r="C291">
            <v>0</v>
          </cell>
          <cell r="D291">
            <v>0</v>
          </cell>
          <cell r="E291">
            <v>0</v>
          </cell>
          <cell r="F291">
            <v>0</v>
          </cell>
          <cell r="G291">
            <v>-620.73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  <cell r="N291">
            <v>0</v>
          </cell>
          <cell r="O291">
            <v>0</v>
          </cell>
          <cell r="P291">
            <v>-620.73</v>
          </cell>
        </row>
        <row r="292">
          <cell r="A292">
            <v>540101030011</v>
          </cell>
          <cell r="B292" t="str">
            <v xml:space="preserve">Otros ingresos                                                        </v>
          </cell>
          <cell r="C292">
            <v>0</v>
          </cell>
          <cell r="D292">
            <v>-3.66</v>
          </cell>
          <cell r="E292">
            <v>-0.91</v>
          </cell>
          <cell r="F292">
            <v>-60.86</v>
          </cell>
          <cell r="G292">
            <v>-36.67</v>
          </cell>
          <cell r="H292">
            <v>-0.09</v>
          </cell>
          <cell r="I292">
            <v>-2144.14</v>
          </cell>
          <cell r="J292">
            <v>-0.42</v>
          </cell>
          <cell r="K292">
            <v>-3.32</v>
          </cell>
          <cell r="L292">
            <v>-996.07</v>
          </cell>
          <cell r="M292">
            <v>-109.23</v>
          </cell>
          <cell r="N292">
            <v>-53.6</v>
          </cell>
          <cell r="O292">
            <v>-0.55000000000000004</v>
          </cell>
          <cell r="P292">
            <v>-3409.52</v>
          </cell>
        </row>
        <row r="293">
          <cell r="A293">
            <v>540101030012</v>
          </cell>
          <cell r="B293" t="str">
            <v xml:space="preserve">Otros Ingresos  excento -Seguro                                       </v>
          </cell>
          <cell r="C293">
            <v>0</v>
          </cell>
          <cell r="D293">
            <v>0</v>
          </cell>
          <cell r="E293">
            <v>0</v>
          </cell>
          <cell r="F293">
            <v>0</v>
          </cell>
          <cell r="G293">
            <v>0</v>
          </cell>
          <cell r="H293">
            <v>0</v>
          </cell>
          <cell r="I293">
            <v>0</v>
          </cell>
          <cell r="J293">
            <v>0</v>
          </cell>
          <cell r="K293">
            <v>0</v>
          </cell>
          <cell r="L293">
            <v>506</v>
          </cell>
          <cell r="M293">
            <v>0</v>
          </cell>
          <cell r="N293">
            <v>0</v>
          </cell>
          <cell r="O293">
            <v>0</v>
          </cell>
          <cell r="P293">
            <v>506</v>
          </cell>
        </row>
        <row r="294">
          <cell r="A294">
            <v>54010104</v>
          </cell>
          <cell r="B294" t="str">
            <v xml:space="preserve">OTROS EGRESOS                                                         </v>
          </cell>
          <cell r="C294">
            <v>0</v>
          </cell>
          <cell r="D294">
            <v>0.03</v>
          </cell>
          <cell r="E294">
            <v>1.52</v>
          </cell>
          <cell r="F294">
            <v>0.11</v>
          </cell>
          <cell r="G294">
            <v>102127.43</v>
          </cell>
          <cell r="H294">
            <v>0.05</v>
          </cell>
          <cell r="I294">
            <v>77913.210000000006</v>
          </cell>
          <cell r="J294">
            <v>0.83</v>
          </cell>
          <cell r="K294">
            <v>0.06</v>
          </cell>
          <cell r="L294">
            <v>0.04</v>
          </cell>
          <cell r="M294">
            <v>0.11</v>
          </cell>
          <cell r="N294">
            <v>0.54</v>
          </cell>
          <cell r="O294">
            <v>0.61</v>
          </cell>
          <cell r="P294">
            <v>180044.54</v>
          </cell>
        </row>
        <row r="295">
          <cell r="A295">
            <v>540101040009</v>
          </cell>
          <cell r="B295" t="str">
            <v xml:space="preserve">Otros egresos                                                         </v>
          </cell>
          <cell r="C295">
            <v>0</v>
          </cell>
          <cell r="D295">
            <v>0.03</v>
          </cell>
          <cell r="E295">
            <v>1.52</v>
          </cell>
          <cell r="F295">
            <v>0.11</v>
          </cell>
          <cell r="G295">
            <v>0.43</v>
          </cell>
          <cell r="H295">
            <v>0.05</v>
          </cell>
          <cell r="I295">
            <v>1.38</v>
          </cell>
          <cell r="J295">
            <v>0.83</v>
          </cell>
          <cell r="K295">
            <v>0.06</v>
          </cell>
          <cell r="L295">
            <v>0.04</v>
          </cell>
          <cell r="M295">
            <v>0.11</v>
          </cell>
          <cell r="N295">
            <v>0.54</v>
          </cell>
          <cell r="O295">
            <v>0.61</v>
          </cell>
          <cell r="P295">
            <v>5.71</v>
          </cell>
        </row>
        <row r="296">
          <cell r="A296">
            <v>540101040013</v>
          </cell>
          <cell r="B296" t="str">
            <v xml:space="preserve">Dada de baja de invetarios                                            </v>
          </cell>
          <cell r="C296">
            <v>0</v>
          </cell>
          <cell r="D296">
            <v>0</v>
          </cell>
          <cell r="E296">
            <v>0</v>
          </cell>
          <cell r="F296">
            <v>0</v>
          </cell>
          <cell r="G296">
            <v>102127</v>
          </cell>
          <cell r="H296">
            <v>0</v>
          </cell>
          <cell r="I296">
            <v>77911.83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  <cell r="N296">
            <v>0</v>
          </cell>
          <cell r="O296">
            <v>0</v>
          </cell>
          <cell r="P296">
            <v>180038.83</v>
          </cell>
        </row>
        <row r="297">
          <cell r="A297">
            <v>91</v>
          </cell>
          <cell r="B297" t="str">
            <v xml:space="preserve">CUENTAS DE ORDEN DEUDORAS                                             </v>
          </cell>
          <cell r="C297">
            <v>0</v>
          </cell>
          <cell r="D297">
            <v>0</v>
          </cell>
          <cell r="E297">
            <v>0</v>
          </cell>
          <cell r="F297">
            <v>0</v>
          </cell>
          <cell r="G297">
            <v>0</v>
          </cell>
          <cell r="H297">
            <v>0</v>
          </cell>
          <cell r="I297">
            <v>48000</v>
          </cell>
          <cell r="J297">
            <v>0</v>
          </cell>
          <cell r="K297">
            <v>0</v>
          </cell>
          <cell r="L297">
            <v>0</v>
          </cell>
          <cell r="M297">
            <v>0</v>
          </cell>
          <cell r="N297">
            <v>0</v>
          </cell>
          <cell r="O297">
            <v>0</v>
          </cell>
          <cell r="P297">
            <v>48000</v>
          </cell>
        </row>
        <row r="298">
          <cell r="A298">
            <v>9101</v>
          </cell>
          <cell r="B298" t="str">
            <v xml:space="preserve">CUENTAS DE ORDEN DEUDORAS                                             </v>
          </cell>
          <cell r="C298">
            <v>0</v>
          </cell>
          <cell r="D298">
            <v>0</v>
          </cell>
          <cell r="E298">
            <v>0</v>
          </cell>
          <cell r="F298">
            <v>0</v>
          </cell>
          <cell r="G298">
            <v>0</v>
          </cell>
          <cell r="H298">
            <v>0</v>
          </cell>
          <cell r="I298">
            <v>48000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  <cell r="N298">
            <v>0</v>
          </cell>
          <cell r="O298">
            <v>0</v>
          </cell>
          <cell r="P298">
            <v>48000</v>
          </cell>
        </row>
        <row r="299">
          <cell r="A299">
            <v>910101</v>
          </cell>
          <cell r="B299" t="str">
            <v xml:space="preserve">CUENTAS DE ORDEN DEUDORAS                                             </v>
          </cell>
          <cell r="C299">
            <v>0</v>
          </cell>
          <cell r="D299">
            <v>0</v>
          </cell>
          <cell r="E299">
            <v>0</v>
          </cell>
          <cell r="F299">
            <v>0</v>
          </cell>
          <cell r="G299">
            <v>0</v>
          </cell>
          <cell r="H299">
            <v>0</v>
          </cell>
          <cell r="I299">
            <v>48000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  <cell r="N299">
            <v>0</v>
          </cell>
          <cell r="O299">
            <v>0</v>
          </cell>
          <cell r="P299">
            <v>48000</v>
          </cell>
        </row>
        <row r="300">
          <cell r="A300">
            <v>9101010001</v>
          </cell>
          <cell r="B300" t="str">
            <v xml:space="preserve">Cheques recibidos en garantía                                         </v>
          </cell>
          <cell r="C300">
            <v>0</v>
          </cell>
          <cell r="D300">
            <v>0</v>
          </cell>
          <cell r="E300">
            <v>0</v>
          </cell>
          <cell r="F300">
            <v>0</v>
          </cell>
          <cell r="G300">
            <v>0</v>
          </cell>
          <cell r="H300">
            <v>0</v>
          </cell>
          <cell r="I300">
            <v>48000</v>
          </cell>
          <cell r="J300">
            <v>0</v>
          </cell>
          <cell r="K300">
            <v>0</v>
          </cell>
          <cell r="L300">
            <v>0</v>
          </cell>
          <cell r="M300">
            <v>0</v>
          </cell>
          <cell r="N300">
            <v>0</v>
          </cell>
          <cell r="O300">
            <v>0</v>
          </cell>
          <cell r="P300">
            <v>48000</v>
          </cell>
        </row>
        <row r="301">
          <cell r="A301">
            <v>92</v>
          </cell>
          <cell r="B301" t="str">
            <v xml:space="preserve">CUENTAS DE ORDEN ACREEDORAS                                           </v>
          </cell>
          <cell r="C301">
            <v>0</v>
          </cell>
          <cell r="D301">
            <v>0</v>
          </cell>
          <cell r="E301">
            <v>0</v>
          </cell>
          <cell r="F301">
            <v>0</v>
          </cell>
          <cell r="G301">
            <v>0</v>
          </cell>
          <cell r="H301">
            <v>0</v>
          </cell>
          <cell r="I301">
            <v>-48000</v>
          </cell>
          <cell r="J301">
            <v>0</v>
          </cell>
          <cell r="K301">
            <v>0</v>
          </cell>
          <cell r="L301">
            <v>0</v>
          </cell>
          <cell r="M301">
            <v>0</v>
          </cell>
          <cell r="N301">
            <v>0</v>
          </cell>
          <cell r="O301">
            <v>0</v>
          </cell>
          <cell r="P301">
            <v>-48000</v>
          </cell>
        </row>
        <row r="302">
          <cell r="A302">
            <v>9201</v>
          </cell>
          <cell r="B302" t="str">
            <v xml:space="preserve">CUENTAS DE ORDEN ACREEDORAS                                           </v>
          </cell>
          <cell r="C302">
            <v>0</v>
          </cell>
          <cell r="D302">
            <v>0</v>
          </cell>
          <cell r="E302">
            <v>0</v>
          </cell>
          <cell r="F302">
            <v>0</v>
          </cell>
          <cell r="G302">
            <v>0</v>
          </cell>
          <cell r="H302">
            <v>0</v>
          </cell>
          <cell r="I302">
            <v>-48000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-48000</v>
          </cell>
        </row>
        <row r="303">
          <cell r="A303">
            <v>920101</v>
          </cell>
          <cell r="B303" t="str">
            <v xml:space="preserve">CUENTAS DE ORDEN ACREEDORAS                                           </v>
          </cell>
          <cell r="C303">
            <v>0</v>
          </cell>
          <cell r="D303">
            <v>0</v>
          </cell>
          <cell r="E303">
            <v>0</v>
          </cell>
          <cell r="F303">
            <v>0</v>
          </cell>
          <cell r="G303">
            <v>0</v>
          </cell>
          <cell r="H303">
            <v>0</v>
          </cell>
          <cell r="I303">
            <v>-48000</v>
          </cell>
          <cell r="J303">
            <v>0</v>
          </cell>
          <cell r="K303">
            <v>0</v>
          </cell>
          <cell r="L303">
            <v>0</v>
          </cell>
          <cell r="M303">
            <v>0</v>
          </cell>
          <cell r="N303">
            <v>0</v>
          </cell>
          <cell r="O303">
            <v>0</v>
          </cell>
          <cell r="P303">
            <v>-48000</v>
          </cell>
        </row>
        <row r="304">
          <cell r="A304">
            <v>9201010001</v>
          </cell>
          <cell r="B304" t="str">
            <v xml:space="preserve">Acreedores por cheques recibidos en garantía                          </v>
          </cell>
          <cell r="C304">
            <v>0</v>
          </cell>
          <cell r="D304">
            <v>0</v>
          </cell>
          <cell r="E304">
            <v>0</v>
          </cell>
          <cell r="F304">
            <v>0</v>
          </cell>
          <cell r="G304">
            <v>0</v>
          </cell>
          <cell r="H304">
            <v>0</v>
          </cell>
          <cell r="I304">
            <v>-48000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  <cell r="N304">
            <v>0</v>
          </cell>
          <cell r="O304">
            <v>0</v>
          </cell>
          <cell r="P304">
            <v>-48000</v>
          </cell>
        </row>
      </sheetData>
      <sheetData sheetId="8">
        <row r="1">
          <cell r="H1">
            <v>3</v>
          </cell>
          <cell r="J1">
            <v>4</v>
          </cell>
          <cell r="L1">
            <v>5</v>
          </cell>
          <cell r="N1">
            <v>6</v>
          </cell>
          <cell r="P1">
            <v>7</v>
          </cell>
          <cell r="R1">
            <v>8</v>
          </cell>
          <cell r="T1">
            <v>9</v>
          </cell>
          <cell r="V1">
            <v>10</v>
          </cell>
          <cell r="X1">
            <v>11</v>
          </cell>
          <cell r="Z1">
            <v>12</v>
          </cell>
          <cell r="AB1">
            <v>13</v>
          </cell>
          <cell r="AD1">
            <v>14</v>
          </cell>
        </row>
        <row r="2">
          <cell r="E2" t="str">
            <v xml:space="preserve">Expresado en $ Miles 000´ USD </v>
          </cell>
          <cell r="H2" t="str">
            <v>Real</v>
          </cell>
          <cell r="J2" t="str">
            <v>Real</v>
          </cell>
          <cell r="L2" t="str">
            <v>Real</v>
          </cell>
          <cell r="N2" t="str">
            <v>Real</v>
          </cell>
          <cell r="P2" t="str">
            <v>Real</v>
          </cell>
          <cell r="R2" t="str">
            <v>Real</v>
          </cell>
          <cell r="T2" t="str">
            <v>Real</v>
          </cell>
          <cell r="V2" t="str">
            <v>Real</v>
          </cell>
          <cell r="X2" t="str">
            <v>Real</v>
          </cell>
          <cell r="Z2" t="str">
            <v>Real</v>
          </cell>
          <cell r="AB2" t="str">
            <v>Real</v>
          </cell>
          <cell r="AD2" t="str">
            <v>Real</v>
          </cell>
          <cell r="AG2" t="str">
            <v>YTD</v>
          </cell>
          <cell r="AI2" t="str">
            <v>TOTAL 2020</v>
          </cell>
        </row>
        <row r="3">
          <cell r="H3" t="str">
            <v>Enero</v>
          </cell>
          <cell r="I3" t="str">
            <v>%</v>
          </cell>
          <cell r="J3" t="str">
            <v>Febrero</v>
          </cell>
          <cell r="K3" t="str">
            <v>%</v>
          </cell>
          <cell r="L3" t="str">
            <v>Marzo</v>
          </cell>
          <cell r="M3" t="str">
            <v>%</v>
          </cell>
          <cell r="N3" t="str">
            <v>Abril</v>
          </cell>
          <cell r="O3" t="str">
            <v>%</v>
          </cell>
          <cell r="P3" t="str">
            <v>Mayo</v>
          </cell>
          <cell r="Q3" t="str">
            <v>%</v>
          </cell>
          <cell r="R3" t="str">
            <v>Junio</v>
          </cell>
          <cell r="S3" t="str">
            <v>%</v>
          </cell>
          <cell r="T3" t="str">
            <v>Julio</v>
          </cell>
          <cell r="U3" t="str">
            <v>%</v>
          </cell>
          <cell r="V3" t="str">
            <v>Agosto</v>
          </cell>
          <cell r="W3" t="str">
            <v>%</v>
          </cell>
          <cell r="X3" t="str">
            <v>Septiembre</v>
          </cell>
          <cell r="Y3" t="str">
            <v>%</v>
          </cell>
          <cell r="Z3" t="str">
            <v>Octubre</v>
          </cell>
          <cell r="AA3" t="str">
            <v>%</v>
          </cell>
          <cell r="AB3" t="str">
            <v>Noviembre</v>
          </cell>
          <cell r="AC3" t="str">
            <v>%</v>
          </cell>
          <cell r="AD3" t="str">
            <v>Diciembre</v>
          </cell>
          <cell r="AE3" t="str">
            <v>%</v>
          </cell>
          <cell r="AG3">
            <v>2020</v>
          </cell>
          <cell r="AH3" t="str">
            <v>%</v>
          </cell>
          <cell r="AI3">
            <v>2020</v>
          </cell>
          <cell r="AJ3" t="str">
            <v>%</v>
          </cell>
        </row>
        <row r="6">
          <cell r="E6" t="str">
            <v>Venta Bruta</v>
          </cell>
          <cell r="H6">
            <v>23295.174230000001</v>
          </cell>
          <cell r="J6">
            <v>25005.447170000003</v>
          </cell>
          <cell r="L6">
            <v>0</v>
          </cell>
          <cell r="N6">
            <v>0</v>
          </cell>
          <cell r="P6">
            <v>-6.8396015011156557E-5</v>
          </cell>
          <cell r="R6">
            <v>0</v>
          </cell>
          <cell r="T6">
            <v>0</v>
          </cell>
          <cell r="V6">
            <v>0</v>
          </cell>
          <cell r="X6">
            <v>0</v>
          </cell>
          <cell r="Z6">
            <v>0</v>
          </cell>
          <cell r="AB6">
            <v>0</v>
          </cell>
          <cell r="AD6">
            <v>0</v>
          </cell>
          <cell r="AG6">
            <v>0</v>
          </cell>
          <cell r="AI6">
            <v>0</v>
          </cell>
        </row>
        <row r="7">
          <cell r="E7" t="str">
            <v>Descuentos</v>
          </cell>
          <cell r="H7">
            <v>6191.4813600000007</v>
          </cell>
          <cell r="J7">
            <v>6560.7468399999998</v>
          </cell>
          <cell r="L7">
            <v>0</v>
          </cell>
          <cell r="N7">
            <v>0</v>
          </cell>
          <cell r="P7">
            <v>-5.6284061709047654E-5</v>
          </cell>
          <cell r="R7">
            <v>0</v>
          </cell>
          <cell r="T7">
            <v>0</v>
          </cell>
          <cell r="V7">
            <v>0</v>
          </cell>
          <cell r="X7">
            <v>0</v>
          </cell>
          <cell r="Z7">
            <v>0</v>
          </cell>
          <cell r="AB7">
            <v>0</v>
          </cell>
          <cell r="AD7">
            <v>0</v>
          </cell>
          <cell r="AG7">
            <v>0</v>
          </cell>
          <cell r="AI7">
            <v>0</v>
          </cell>
        </row>
        <row r="8">
          <cell r="A8">
            <v>41010101</v>
          </cell>
          <cell r="B8">
            <v>41010105</v>
          </cell>
          <cell r="C8">
            <v>410102</v>
          </cell>
          <cell r="E8" t="str">
            <v>Venta Local</v>
          </cell>
          <cell r="H8">
            <v>1914.57062</v>
          </cell>
          <cell r="I8">
            <v>0.94037429573499487</v>
          </cell>
          <cell r="J8">
            <v>1777.5726299999999</v>
          </cell>
          <cell r="K8">
            <v>0.9332538938775492</v>
          </cell>
          <cell r="L8">
            <v>1313.5720700000002</v>
          </cell>
          <cell r="M8">
            <v>0.92054160364672288</v>
          </cell>
          <cell r="N8">
            <v>1993.6548</v>
          </cell>
          <cell r="O8">
            <v>0.90304042945277085</v>
          </cell>
          <cell r="P8">
            <v>2060.19074</v>
          </cell>
          <cell r="Q8">
            <v>0.90669921480032001</v>
          </cell>
          <cell r="R8">
            <v>1862.2117499999999</v>
          </cell>
          <cell r="S8">
            <v>0.92662756736341367</v>
          </cell>
          <cell r="T8">
            <v>1202.95218</v>
          </cell>
          <cell r="U8">
            <v>0.90762402117100971</v>
          </cell>
          <cell r="V8">
            <v>1492.1363899999999</v>
          </cell>
          <cell r="W8">
            <v>0.96663581812538601</v>
          </cell>
          <cell r="X8">
            <v>1576.9635000000001</v>
          </cell>
          <cell r="Y8">
            <v>0.92460192239566674</v>
          </cell>
          <cell r="Z8">
            <v>1640.0537300000001</v>
          </cell>
          <cell r="AA8">
            <v>0.93769993651979411</v>
          </cell>
          <cell r="AB8">
            <v>1966.98667</v>
          </cell>
          <cell r="AC8">
            <v>0.94477217341882913</v>
          </cell>
          <cell r="AD8">
            <v>1509.4025000000001</v>
          </cell>
          <cell r="AE8">
            <v>0.98616546859586296</v>
          </cell>
          <cell r="AG8">
            <v>20310.26758</v>
          </cell>
          <cell r="AH8">
            <v>0.93194827943323233</v>
          </cell>
          <cell r="AI8">
            <v>20310.26758</v>
          </cell>
          <cell r="AJ8">
            <v>0.93194827943323233</v>
          </cell>
        </row>
        <row r="9">
          <cell r="A9">
            <v>41010103</v>
          </cell>
          <cell r="B9">
            <v>410101030031</v>
          </cell>
          <cell r="E9" t="str">
            <v>Exportaciones</v>
          </cell>
          <cell r="H9">
            <v>121.39594</v>
          </cell>
          <cell r="I9">
            <v>5.9625704265005221E-2</v>
          </cell>
          <cell r="J9">
            <v>127.13159</v>
          </cell>
          <cell r="K9">
            <v>6.6746106122450868E-2</v>
          </cell>
          <cell r="L9">
            <v>113.38360999999999</v>
          </cell>
          <cell r="M9">
            <v>7.9458396353277047E-2</v>
          </cell>
          <cell r="N9">
            <v>214.05898000000002</v>
          </cell>
          <cell r="O9">
            <v>9.6959570547229187E-2</v>
          </cell>
          <cell r="P9">
            <v>211.99688999999995</v>
          </cell>
          <cell r="Q9">
            <v>9.3300785199679992E-2</v>
          </cell>
          <cell r="R9">
            <v>147.45407</v>
          </cell>
          <cell r="S9">
            <v>7.3372432636586313E-2</v>
          </cell>
          <cell r="T9">
            <v>122.43382999999999</v>
          </cell>
          <cell r="U9">
            <v>9.2375978828990346E-2</v>
          </cell>
          <cell r="V9">
            <v>51.50224</v>
          </cell>
          <cell r="W9">
            <v>3.3364181874614013E-2</v>
          </cell>
          <cell r="X9">
            <v>128.5959</v>
          </cell>
          <cell r="Y9">
            <v>7.5398077604333216E-2</v>
          </cell>
          <cell r="Z9">
            <v>108.96390999999998</v>
          </cell>
          <cell r="AA9">
            <v>6.230006348020594E-2</v>
          </cell>
          <cell r="AB9">
            <v>114.98264</v>
          </cell>
          <cell r="AC9">
            <v>5.5227826581170883E-2</v>
          </cell>
          <cell r="AD9">
            <v>21.174820000000004</v>
          </cell>
          <cell r="AE9">
            <v>1.3834531404137103E-2</v>
          </cell>
          <cell r="AG9">
            <v>1483.0744199999997</v>
          </cell>
          <cell r="AH9">
            <v>6.8051720566767573E-2</v>
          </cell>
          <cell r="AI9">
            <v>1483.0744199999997</v>
          </cell>
          <cell r="AJ9">
            <v>6.8051720566767573E-2</v>
          </cell>
        </row>
        <row r="10">
          <cell r="E10" t="str">
            <v>Venta Neta</v>
          </cell>
          <cell r="H10">
            <v>2035.9665599999998</v>
          </cell>
          <cell r="I10">
            <v>1</v>
          </cell>
          <cell r="J10">
            <v>1904.7042199999999</v>
          </cell>
          <cell r="K10">
            <v>1</v>
          </cell>
          <cell r="L10">
            <v>1426.9556800000003</v>
          </cell>
          <cell r="M10">
            <v>1</v>
          </cell>
          <cell r="N10">
            <v>2207.71378</v>
          </cell>
          <cell r="O10">
            <v>1</v>
          </cell>
          <cell r="P10">
            <v>2272.1876299999999</v>
          </cell>
          <cell r="Q10">
            <v>1</v>
          </cell>
          <cell r="R10">
            <v>2009.6658199999999</v>
          </cell>
          <cell r="S10">
            <v>1</v>
          </cell>
          <cell r="T10">
            <v>1325.3860099999999</v>
          </cell>
          <cell r="U10">
            <v>1</v>
          </cell>
          <cell r="V10">
            <v>1543.6386299999999</v>
          </cell>
          <cell r="W10">
            <v>1</v>
          </cell>
          <cell r="X10">
            <v>1705.5594000000001</v>
          </cell>
          <cell r="Y10">
            <v>1</v>
          </cell>
          <cell r="Z10">
            <v>1749.01764</v>
          </cell>
          <cell r="AA10">
            <v>1</v>
          </cell>
          <cell r="AB10">
            <v>2081.96931</v>
          </cell>
          <cell r="AC10">
            <v>1</v>
          </cell>
          <cell r="AD10">
            <v>1530.5773200000001</v>
          </cell>
          <cell r="AE10">
            <v>1</v>
          </cell>
          <cell r="AG10">
            <v>21793.342000000001</v>
          </cell>
          <cell r="AH10">
            <v>1</v>
          </cell>
          <cell r="AI10">
            <v>21793.342000000001</v>
          </cell>
          <cell r="AJ10">
            <v>1</v>
          </cell>
        </row>
        <row r="12">
          <cell r="A12">
            <v>5101</v>
          </cell>
          <cell r="B12">
            <v>5102</v>
          </cell>
          <cell r="C12">
            <v>5103</v>
          </cell>
          <cell r="D12">
            <v>510101010031</v>
          </cell>
          <cell r="E12" t="str">
            <v>Costo de Venta Local</v>
          </cell>
          <cell r="H12">
            <v>1426.01331</v>
          </cell>
          <cell r="I12">
            <v>0.74482147333901949</v>
          </cell>
          <cell r="J12">
            <v>1329.0678499999999</v>
          </cell>
          <cell r="K12">
            <v>0.74768694542737191</v>
          </cell>
          <cell r="L12">
            <v>1082.4737500000001</v>
          </cell>
          <cell r="M12">
            <v>0.82406879281469492</v>
          </cell>
          <cell r="N12">
            <v>1432.6461400000001</v>
          </cell>
          <cell r="O12">
            <v>0.71860290959096829</v>
          </cell>
          <cell r="P12">
            <v>1686.65978</v>
          </cell>
          <cell r="Q12">
            <v>0.81869107905999028</v>
          </cell>
          <cell r="R12">
            <v>1341.6826000000001</v>
          </cell>
          <cell r="S12">
            <v>0.72047800149472807</v>
          </cell>
          <cell r="T12">
            <v>914.6540399999999</v>
          </cell>
          <cell r="U12">
            <v>0.76034114672787734</v>
          </cell>
          <cell r="V12">
            <v>1196.80438</v>
          </cell>
          <cell r="W12">
            <v>0.80207438677907994</v>
          </cell>
          <cell r="X12">
            <v>2674.7855700000005</v>
          </cell>
          <cell r="Y12">
            <v>1.6961620037496115</v>
          </cell>
          <cell r="Z12">
            <v>-240.28460999999999</v>
          </cell>
          <cell r="AA12">
            <v>-0.14651020610160131</v>
          </cell>
          <cell r="AB12">
            <v>2181.2461400000002</v>
          </cell>
          <cell r="AC12">
            <v>1.1089277691953043</v>
          </cell>
          <cell r="AD12">
            <v>1782.0035300000009</v>
          </cell>
          <cell r="AE12">
            <v>1.1806019467968289</v>
          </cell>
          <cell r="AG12">
            <v>16807.752479999999</v>
          </cell>
          <cell r="AH12">
            <v>0.8275495344310968</v>
          </cell>
          <cell r="AI12">
            <v>16807.752479999999</v>
          </cell>
          <cell r="AJ12">
            <v>0.8275495344310968</v>
          </cell>
        </row>
        <row r="13">
          <cell r="A13">
            <v>510101010010</v>
          </cell>
          <cell r="E13" t="str">
            <v>Costo de Venta Exportacion</v>
          </cell>
          <cell r="H13">
            <v>80.470130000000012</v>
          </cell>
          <cell r="I13">
            <v>0.66287332179313418</v>
          </cell>
          <cell r="J13">
            <v>74.891670000000005</v>
          </cell>
          <cell r="K13">
            <v>0.58908781051192705</v>
          </cell>
          <cell r="L13">
            <v>89.709550000000007</v>
          </cell>
          <cell r="M13">
            <v>0.79120386094603989</v>
          </cell>
          <cell r="N13">
            <v>141.10760000000002</v>
          </cell>
          <cell r="O13">
            <v>0.65919962806512489</v>
          </cell>
          <cell r="P13">
            <v>161.02952999999999</v>
          </cell>
          <cell r="Q13">
            <v>0.75958439767677743</v>
          </cell>
          <cell r="R13">
            <v>74.891670000000005</v>
          </cell>
          <cell r="S13">
            <v>0.50789828995564523</v>
          </cell>
          <cell r="T13">
            <v>97.777990000000003</v>
          </cell>
          <cell r="U13">
            <v>0.79861905814757261</v>
          </cell>
          <cell r="V13">
            <v>39.749839999999999</v>
          </cell>
          <cell r="W13">
            <v>0.77180798349741675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241.47846999999999</v>
          </cell>
          <cell r="AE13">
            <v>11.404038853695093</v>
          </cell>
          <cell r="AG13">
            <v>1001.10645</v>
          </cell>
          <cell r="AH13">
            <v>0.67502104850544198</v>
          </cell>
          <cell r="AI13">
            <v>1001.10645</v>
          </cell>
          <cell r="AJ13">
            <v>0.67502104850544198</v>
          </cell>
        </row>
        <row r="15">
          <cell r="E15" t="str">
            <v>Utilidad Bruta</v>
          </cell>
          <cell r="H15">
            <v>529.48311999999976</v>
          </cell>
          <cell r="I15">
            <v>0.26006474291011922</v>
          </cell>
          <cell r="J15">
            <v>500.74469999999997</v>
          </cell>
          <cell r="K15">
            <v>0.26289892926262326</v>
          </cell>
          <cell r="L15">
            <v>254.77238000000014</v>
          </cell>
          <cell r="M15">
            <v>0.17854260196784816</v>
          </cell>
          <cell r="N15">
            <v>633.96003999999994</v>
          </cell>
          <cell r="O15">
            <v>0.28715680707487357</v>
          </cell>
          <cell r="P15">
            <v>424.49831999999992</v>
          </cell>
          <cell r="Q15">
            <v>0.18682362072361072</v>
          </cell>
          <cell r="R15">
            <v>593.09154999999987</v>
          </cell>
          <cell r="S15">
            <v>0.29511948907007829</v>
          </cell>
          <cell r="T15">
            <v>312.95398000000006</v>
          </cell>
          <cell r="U15">
            <v>0.23612289373719891</v>
          </cell>
          <cell r="V15">
            <v>307.08440999999988</v>
          </cell>
          <cell r="W15">
            <v>0.19893542700469985</v>
          </cell>
          <cell r="X15">
            <v>-969.22617000000037</v>
          </cell>
          <cell r="Y15">
            <v>-0.56827464936137684</v>
          </cell>
          <cell r="Z15">
            <v>1989.30225</v>
          </cell>
          <cell r="AA15">
            <v>1.1373826109609735</v>
          </cell>
          <cell r="AB15">
            <v>-99.276830000000245</v>
          </cell>
          <cell r="AC15">
            <v>-4.7684098667141378E-2</v>
          </cell>
          <cell r="AD15">
            <v>-492.90468000000078</v>
          </cell>
          <cell r="AE15">
            <v>-0.32203840574352738</v>
          </cell>
          <cell r="AG15">
            <v>3984.4830700000011</v>
          </cell>
          <cell r="AH15">
            <v>0.18283029147158802</v>
          </cell>
          <cell r="AI15">
            <v>3984.4830700000011</v>
          </cell>
          <cell r="AJ15">
            <v>0.18283029147158802</v>
          </cell>
        </row>
        <row r="17">
          <cell r="A17">
            <v>5201</v>
          </cell>
          <cell r="E17" t="str">
            <v>Gastos de ventas</v>
          </cell>
          <cell r="H17">
            <v>54.557470000000002</v>
          </cell>
          <cell r="I17">
            <v>2.6796839924522142E-2</v>
          </cell>
          <cell r="J17">
            <v>47.831980000000001</v>
          </cell>
          <cell r="K17">
            <v>2.5112550021021113E-2</v>
          </cell>
          <cell r="L17">
            <v>38.5473</v>
          </cell>
          <cell r="M17">
            <v>2.7013663101295476E-2</v>
          </cell>
          <cell r="N17">
            <v>38.767330000000001</v>
          </cell>
          <cell r="O17">
            <v>1.7559943843807508E-2</v>
          </cell>
          <cell r="P17">
            <v>46.903269999999999</v>
          </cell>
          <cell r="Q17">
            <v>2.0642340175049716E-2</v>
          </cell>
          <cell r="R17">
            <v>39.29598</v>
          </cell>
          <cell r="S17">
            <v>1.9553489743881897E-2</v>
          </cell>
          <cell r="T17">
            <v>60.569810000000004</v>
          </cell>
          <cell r="U17">
            <v>4.5699750520227692E-2</v>
          </cell>
          <cell r="V17">
            <v>42.292650000000002</v>
          </cell>
          <cell r="W17">
            <v>2.7398025145302308E-2</v>
          </cell>
          <cell r="X17">
            <v>68.925080000000008</v>
          </cell>
          <cell r="Y17">
            <v>4.0412007931239453E-2</v>
          </cell>
          <cell r="Z17">
            <v>40.646639999999998</v>
          </cell>
          <cell r="AA17">
            <v>2.3239696999282407E-2</v>
          </cell>
          <cell r="AB17">
            <v>38.446379999999998</v>
          </cell>
          <cell r="AC17">
            <v>1.8466352897392131E-2</v>
          </cell>
          <cell r="AD17">
            <v>42.551600000000001</v>
          </cell>
          <cell r="AE17">
            <v>2.7801013019061328E-2</v>
          </cell>
          <cell r="AG17">
            <v>559.33549000000005</v>
          </cell>
          <cell r="AH17">
            <v>2.5665429836323406E-2</v>
          </cell>
          <cell r="AI17">
            <v>559.33549000000005</v>
          </cell>
          <cell r="AJ17">
            <v>2.5665429836323406E-2</v>
          </cell>
        </row>
        <row r="18">
          <cell r="A18">
            <v>5202</v>
          </cell>
          <cell r="E18" t="str">
            <v>Gastos Administrativos</v>
          </cell>
          <cell r="H18">
            <v>142.10570999999999</v>
          </cell>
          <cell r="I18">
            <v>6.979766406379484E-2</v>
          </cell>
          <cell r="J18">
            <v>90.855729999999994</v>
          </cell>
          <cell r="K18">
            <v>4.7700702841935221E-2</v>
          </cell>
          <cell r="L18">
            <v>80.007649999999998</v>
          </cell>
          <cell r="M18">
            <v>5.6068770124661466E-2</v>
          </cell>
          <cell r="N18">
            <v>88.353750000000005</v>
          </cell>
          <cell r="O18">
            <v>4.0020473124917487E-2</v>
          </cell>
          <cell r="P18">
            <v>143.87351000000001</v>
          </cell>
          <cell r="Q18">
            <v>6.3319379130675063E-2</v>
          </cell>
          <cell r="R18">
            <v>90.377719999999997</v>
          </cell>
          <cell r="S18">
            <v>4.4971516707190649E-2</v>
          </cell>
          <cell r="T18">
            <v>103.76389</v>
          </cell>
          <cell r="U18">
            <v>7.8289561846212649E-2</v>
          </cell>
          <cell r="V18">
            <v>97.631749999999997</v>
          </cell>
          <cell r="W18">
            <v>6.3247801721572627E-2</v>
          </cell>
          <cell r="X18">
            <v>173.75363000000002</v>
          </cell>
          <cell r="Y18">
            <v>0.10187486287490193</v>
          </cell>
          <cell r="Z18">
            <v>130.4324</v>
          </cell>
          <cell r="AA18">
            <v>7.4574662380191892E-2</v>
          </cell>
          <cell r="AB18">
            <v>154.70348000000001</v>
          </cell>
          <cell r="AC18">
            <v>7.4306321066759634E-2</v>
          </cell>
          <cell r="AD18">
            <v>300.19536999999997</v>
          </cell>
          <cell r="AE18">
            <v>0.19613211699752611</v>
          </cell>
          <cell r="AG18">
            <v>1596.0545899999997</v>
          </cell>
          <cell r="AH18">
            <v>7.3235880481295604E-2</v>
          </cell>
          <cell r="AI18">
            <v>1596.0545899999997</v>
          </cell>
          <cell r="AJ18">
            <v>7.3235880481295604E-2</v>
          </cell>
        </row>
        <row r="19">
          <cell r="A19">
            <v>520101030002</v>
          </cell>
          <cell r="E19" t="str">
            <v>Marketing y Publicidad</v>
          </cell>
          <cell r="H19">
            <v>1.17852</v>
          </cell>
          <cell r="I19">
            <v>5.7885037168783362E-4</v>
          </cell>
          <cell r="J19">
            <v>0.93813000000000002</v>
          </cell>
          <cell r="K19">
            <v>4.9253316612066938E-4</v>
          </cell>
          <cell r="L19">
            <v>1.5081300000000002</v>
          </cell>
          <cell r="M19">
            <v>1.0568863638427788E-3</v>
          </cell>
          <cell r="N19">
            <v>0.93813000000000002</v>
          </cell>
          <cell r="O19">
            <v>4.2493280084522552E-4</v>
          </cell>
          <cell r="P19">
            <v>0.93813000000000002</v>
          </cell>
          <cell r="Q19">
            <v>4.1287523425167138E-4</v>
          </cell>
          <cell r="R19">
            <v>1.5081300000000002</v>
          </cell>
          <cell r="S19">
            <v>7.5043819972019045E-4</v>
          </cell>
          <cell r="T19">
            <v>1.5081300000000002</v>
          </cell>
          <cell r="U19">
            <v>1.1378798241577939E-3</v>
          </cell>
          <cell r="V19">
            <v>0</v>
          </cell>
          <cell r="W19">
            <v>0</v>
          </cell>
          <cell r="X19">
            <v>0.93813000000000002</v>
          </cell>
          <cell r="Y19">
            <v>5.5004240837346389E-4</v>
          </cell>
          <cell r="Z19">
            <v>0</v>
          </cell>
          <cell r="AA19">
            <v>0</v>
          </cell>
          <cell r="AB19">
            <v>2</v>
          </cell>
          <cell r="AC19">
            <v>9.60628953747642E-4</v>
          </cell>
          <cell r="AD19">
            <v>0.13250000000000001</v>
          </cell>
          <cell r="AE19">
            <v>8.6568641955311339E-5</v>
          </cell>
          <cell r="AG19">
            <v>11.58793</v>
          </cell>
          <cell r="AH19">
            <v>5.3171881577410206E-4</v>
          </cell>
          <cell r="AI19">
            <v>11.58793</v>
          </cell>
          <cell r="AJ19">
            <v>5.3171881577410206E-4</v>
          </cell>
        </row>
        <row r="20">
          <cell r="A20">
            <v>510202050010</v>
          </cell>
          <cell r="E20" t="str">
            <v>Distribucion</v>
          </cell>
          <cell r="H20">
            <v>7.03</v>
          </cell>
          <cell r="I20">
            <v>3.4529054347533098E-3</v>
          </cell>
          <cell r="J20">
            <v>7.5</v>
          </cell>
          <cell r="K20">
            <v>3.9376192488301412E-3</v>
          </cell>
          <cell r="L20">
            <v>0</v>
          </cell>
          <cell r="M20">
            <v>0</v>
          </cell>
          <cell r="N20">
            <v>7.8550000000000004</v>
          </cell>
          <cell r="O20">
            <v>3.5579793319041567E-3</v>
          </cell>
          <cell r="P20">
            <v>0</v>
          </cell>
          <cell r="Q20">
            <v>0</v>
          </cell>
          <cell r="R20">
            <v>12.59</v>
          </cell>
          <cell r="S20">
            <v>6.2647231568082303E-3</v>
          </cell>
          <cell r="T20">
            <v>5.88</v>
          </cell>
          <cell r="U20">
            <v>4.4364433875380953E-3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12.43</v>
          </cell>
          <cell r="AA20">
            <v>7.1068465610215339E-3</v>
          </cell>
          <cell r="AB20">
            <v>6.665</v>
          </cell>
          <cell r="AC20">
            <v>3.2012959883640168E-3</v>
          </cell>
          <cell r="AD20">
            <v>0</v>
          </cell>
          <cell r="AE20">
            <v>0</v>
          </cell>
          <cell r="AG20">
            <v>59.95</v>
          </cell>
          <cell r="AH20">
            <v>2.7508401419112315E-3</v>
          </cell>
          <cell r="AI20">
            <v>59.95</v>
          </cell>
          <cell r="AJ20">
            <v>2.7508401419112315E-3</v>
          </cell>
        </row>
        <row r="21">
          <cell r="E21" t="str">
            <v>Gastos Generales de Fábrica</v>
          </cell>
          <cell r="H21">
            <v>204.87169999999998</v>
          </cell>
          <cell r="I21">
            <v>0.10062625979475812</v>
          </cell>
          <cell r="J21">
            <v>147.12583999999998</v>
          </cell>
          <cell r="K21">
            <v>7.7243405277907129E-2</v>
          </cell>
          <cell r="L21">
            <v>120.06307999999999</v>
          </cell>
          <cell r="M21">
            <v>8.4139319589799713E-2</v>
          </cell>
          <cell r="N21">
            <v>135.91421</v>
          </cell>
          <cell r="O21">
            <v>6.1563329101474377E-2</v>
          </cell>
          <cell r="P21">
            <v>191.71491</v>
          </cell>
          <cell r="Q21">
            <v>8.4374594539976436E-2</v>
          </cell>
          <cell r="R21">
            <v>143.77182999999999</v>
          </cell>
          <cell r="S21">
            <v>7.154016780760096E-2</v>
          </cell>
          <cell r="T21">
            <v>171.72183000000001</v>
          </cell>
          <cell r="U21">
            <v>0.12956363557813622</v>
          </cell>
          <cell r="V21">
            <v>139.92439999999999</v>
          </cell>
          <cell r="W21">
            <v>9.0645826866874918E-2</v>
          </cell>
          <cell r="X21">
            <v>243.61684000000002</v>
          </cell>
          <cell r="Y21">
            <v>0.14283691321451483</v>
          </cell>
          <cell r="Z21">
            <v>183.50904</v>
          </cell>
          <cell r="AA21">
            <v>0.10492120594049582</v>
          </cell>
          <cell r="AB21">
            <v>201.81486000000001</v>
          </cell>
          <cell r="AC21">
            <v>9.6934598906263422E-2</v>
          </cell>
          <cell r="AD21">
            <v>342.87946999999997</v>
          </cell>
          <cell r="AE21">
            <v>0.22401969865854274</v>
          </cell>
          <cell r="AG21">
            <v>2226.9280099999996</v>
          </cell>
          <cell r="AH21">
            <v>0.10218386927530433</v>
          </cell>
          <cell r="AI21">
            <v>2226.9280099999996</v>
          </cell>
          <cell r="AJ21">
            <v>0.10218386927530433</v>
          </cell>
        </row>
        <row r="23">
          <cell r="E23" t="str">
            <v>Utilidad Operacional</v>
          </cell>
          <cell r="H23">
            <v>324.61141999999978</v>
          </cell>
          <cell r="I23">
            <v>0.1594384831153611</v>
          </cell>
          <cell r="J23">
            <v>353.61885999999998</v>
          </cell>
          <cell r="K23">
            <v>0.18565552398471613</v>
          </cell>
          <cell r="L23">
            <v>134.70930000000016</v>
          </cell>
          <cell r="M23">
            <v>9.4403282378048445E-2</v>
          </cell>
          <cell r="N23">
            <v>498.04582999999991</v>
          </cell>
          <cell r="O23">
            <v>0.22559347797339921</v>
          </cell>
          <cell r="P23">
            <v>232.78340999999992</v>
          </cell>
          <cell r="Q23">
            <v>0.10244902618363429</v>
          </cell>
          <cell r="R23">
            <v>449.31971999999985</v>
          </cell>
          <cell r="S23">
            <v>0.22357932126247729</v>
          </cell>
          <cell r="T23">
            <v>141.23215000000005</v>
          </cell>
          <cell r="U23">
            <v>0.1065592581590627</v>
          </cell>
          <cell r="V23">
            <v>167.16000999999989</v>
          </cell>
          <cell r="W23">
            <v>0.10828960013782493</v>
          </cell>
          <cell r="X23">
            <v>-1212.8430100000005</v>
          </cell>
          <cell r="Y23">
            <v>-0.71111156257589181</v>
          </cell>
          <cell r="Z23">
            <v>1805.79321</v>
          </cell>
          <cell r="AA23">
            <v>1.0324614050204777</v>
          </cell>
          <cell r="AB23">
            <v>-301.09169000000026</v>
          </cell>
          <cell r="AC23">
            <v>-0.14461869757340479</v>
          </cell>
          <cell r="AD23">
            <v>-835.78415000000075</v>
          </cell>
          <cell r="AE23">
            <v>-0.54605810440207014</v>
          </cell>
          <cell r="AG23">
            <v>1757.5550600000015</v>
          </cell>
          <cell r="AH23">
            <v>8.0646422196283679E-2</v>
          </cell>
          <cell r="AI23">
            <v>1757.5550600000015</v>
          </cell>
          <cell r="AJ23">
            <v>8.0646422196283679E-2</v>
          </cell>
        </row>
        <row r="25">
          <cell r="A25">
            <v>5203</v>
          </cell>
          <cell r="E25" t="str">
            <v>Gastos Financieros</v>
          </cell>
          <cell r="H25">
            <v>14.81551</v>
          </cell>
          <cell r="I25">
            <v>7.2768926027940266E-3</v>
          </cell>
          <cell r="J25">
            <v>10.293010000000001</v>
          </cell>
          <cell r="K25">
            <v>5.4039939072534852E-3</v>
          </cell>
          <cell r="L25">
            <v>10.26741</v>
          </cell>
          <cell r="M25">
            <v>7.1953250853593418E-3</v>
          </cell>
          <cell r="N25">
            <v>10.19491</v>
          </cell>
          <cell r="O25">
            <v>4.6178585704166782E-3</v>
          </cell>
          <cell r="P25">
            <v>9.79406</v>
          </cell>
          <cell r="Q25">
            <v>4.3104098757900553E-3</v>
          </cell>
          <cell r="R25">
            <v>8.0506099999999989</v>
          </cell>
          <cell r="S25">
            <v>4.0059446301375611E-3</v>
          </cell>
          <cell r="T25">
            <v>4.6187399999999998</v>
          </cell>
          <cell r="U25">
            <v>3.484826280911174E-3</v>
          </cell>
          <cell r="V25">
            <v>0.46949999999999997</v>
          </cell>
          <cell r="W25">
            <v>3.0415149690831463E-4</v>
          </cell>
          <cell r="X25">
            <v>1.34741</v>
          </cell>
          <cell r="Y25">
            <v>7.9001059710966375E-4</v>
          </cell>
          <cell r="Z25">
            <v>1.0469300000000001</v>
          </cell>
          <cell r="AA25">
            <v>5.9858172728320799E-4</v>
          </cell>
          <cell r="AB25">
            <v>0.83611000000000002</v>
          </cell>
          <cell r="AC25">
            <v>4.0159573725897049E-4</v>
          </cell>
          <cell r="AD25">
            <v>1.26406</v>
          </cell>
          <cell r="AE25">
            <v>8.2587137773608194E-4</v>
          </cell>
          <cell r="AG25">
            <v>72.998260000000002</v>
          </cell>
          <cell r="AH25">
            <v>3.34956703749246E-3</v>
          </cell>
          <cell r="AI25">
            <v>72.998260000000002</v>
          </cell>
          <cell r="AJ25">
            <v>3.34956703749246E-3</v>
          </cell>
        </row>
        <row r="26">
          <cell r="A26">
            <v>54</v>
          </cell>
          <cell r="B26">
            <v>42</v>
          </cell>
          <cell r="E26" t="str">
            <v>Otros Ingresos</v>
          </cell>
          <cell r="H26">
            <v>-0.16941000000000001</v>
          </cell>
          <cell r="I26">
            <v>-8.3208635803920086E-5</v>
          </cell>
          <cell r="J26">
            <v>-5.2569999999999999E-2</v>
          </cell>
          <cell r="K26">
            <v>-2.7600085854800073E-5</v>
          </cell>
          <cell r="L26">
            <v>-3.524E-2</v>
          </cell>
          <cell r="M26">
            <v>-2.4695931691445382E-5</v>
          </cell>
          <cell r="N26">
            <v>-4.3959999999999999E-2</v>
          </cell>
          <cell r="O26">
            <v>-1.9912001455188633E-5</v>
          </cell>
          <cell r="P26">
            <v>-0.40194000000000002</v>
          </cell>
          <cell r="Q26">
            <v>-1.7689560258718601E-4</v>
          </cell>
          <cell r="R26">
            <v>-0.61008000000000007</v>
          </cell>
          <cell r="S26">
            <v>-3.0357285969067238E-4</v>
          </cell>
          <cell r="T26">
            <v>-8.8050800000000002</v>
          </cell>
          <cell r="U26">
            <v>-6.6434079834598531E-3</v>
          </cell>
          <cell r="V26">
            <v>-1.1513300000000002</v>
          </cell>
          <cell r="W26">
            <v>-7.458546175408944E-4</v>
          </cell>
          <cell r="X26">
            <v>-0.74403000000000008</v>
          </cell>
          <cell r="Y26">
            <v>-4.3623810463593352E-4</v>
          </cell>
          <cell r="Z26">
            <v>-3.271999999999764E-2</v>
          </cell>
          <cell r="AA26">
            <v>-1.8707644366581481E-5</v>
          </cell>
          <cell r="AB26">
            <v>-17.982469999999999</v>
          </cell>
          <cell r="AC26">
            <v>-8.637240670949179E-3</v>
          </cell>
          <cell r="AD26">
            <v>-3.0612000000000137</v>
          </cell>
          <cell r="AE26">
            <v>-2.0000296358762284E-3</v>
          </cell>
          <cell r="AG26">
            <v>-33.090030000000013</v>
          </cell>
          <cell r="AH26">
            <v>-1.5183550095253869E-3</v>
          </cell>
          <cell r="AI26">
            <v>-33.090030000000013</v>
          </cell>
          <cell r="AJ26">
            <v>-1.5183550095253869E-3</v>
          </cell>
        </row>
        <row r="27">
          <cell r="A27">
            <v>54010104</v>
          </cell>
          <cell r="E27" t="str">
            <v>Otros Egresos</v>
          </cell>
          <cell r="H27">
            <v>2.9999999999999997E-5</v>
          </cell>
          <cell r="I27">
            <v>1.4735016080028347E-8</v>
          </cell>
          <cell r="J27">
            <v>2.9999999999999997E-5</v>
          </cell>
          <cell r="K27">
            <v>1.5750476995320565E-8</v>
          </cell>
          <cell r="L27">
            <v>7.0000000000000007E-5</v>
          </cell>
          <cell r="M27">
            <v>4.905548292852375E-8</v>
          </cell>
          <cell r="N27">
            <v>2.9999999999999997E-5</v>
          </cell>
          <cell r="O27">
            <v>1.3588718008545472E-8</v>
          </cell>
          <cell r="P27">
            <v>2.0000000000000002E-5</v>
          </cell>
          <cell r="Q27">
            <v>8.8020899928937664E-9</v>
          </cell>
          <cell r="R27">
            <v>5.9999999999999995E-4</v>
          </cell>
          <cell r="S27">
            <v>2.9855710040388702E-7</v>
          </cell>
          <cell r="T27">
            <v>8.9999999999999992E-5</v>
          </cell>
          <cell r="U27">
            <v>6.7904745727623907E-8</v>
          </cell>
          <cell r="V27">
            <v>1.1E-4</v>
          </cell>
          <cell r="W27">
            <v>7.1260201618561472E-8</v>
          </cell>
          <cell r="X27">
            <v>7.0000000000000007E-5</v>
          </cell>
          <cell r="Y27">
            <v>4.1042252764694097E-8</v>
          </cell>
          <cell r="Z27">
            <v>88.485339999999994</v>
          </cell>
          <cell r="AA27">
            <v>5.0591450867242246E-2</v>
          </cell>
          <cell r="AB27">
            <v>75.110550000000003</v>
          </cell>
          <cell r="AC27">
            <v>3.6076684530954979E-2</v>
          </cell>
          <cell r="AD27">
            <v>68.091970000000003</v>
          </cell>
          <cell r="AE27">
            <v>4.448776883744756E-2</v>
          </cell>
          <cell r="AG27">
            <v>231.68891000000002</v>
          </cell>
          <cell r="AH27">
            <v>1.0631178549852519E-2</v>
          </cell>
          <cell r="AI27">
            <v>231.68891000000002</v>
          </cell>
          <cell r="AJ27">
            <v>1.0631178549852519E-2</v>
          </cell>
        </row>
        <row r="29">
          <cell r="E29" t="str">
            <v>Resultado antes del 15% e Imp. Rta</v>
          </cell>
          <cell r="H29">
            <v>309.96528999999981</v>
          </cell>
          <cell r="I29">
            <v>0.15224478441335493</v>
          </cell>
          <cell r="J29">
            <v>343.37839000000002</v>
          </cell>
          <cell r="K29">
            <v>0.18027911441284047</v>
          </cell>
          <cell r="L29">
            <v>124.47706000000017</v>
          </cell>
          <cell r="M29">
            <v>8.7232604168897623E-2</v>
          </cell>
          <cell r="N29">
            <v>487.89484999999996</v>
          </cell>
          <cell r="O29">
            <v>0.22099551781571974</v>
          </cell>
          <cell r="P29">
            <v>223.39126999999991</v>
          </cell>
          <cell r="Q29">
            <v>9.8315503108341418E-2</v>
          </cell>
          <cell r="R29">
            <v>441.8785899999998</v>
          </cell>
          <cell r="S29">
            <v>0.21987665093492997</v>
          </cell>
          <cell r="T29">
            <v>145.41840000000005</v>
          </cell>
          <cell r="U29">
            <v>0.10971777195686565</v>
          </cell>
          <cell r="V29">
            <v>167.84172999999987</v>
          </cell>
          <cell r="W29">
            <v>0.10873123199825589</v>
          </cell>
          <cell r="X29">
            <v>-1213.4464600000006</v>
          </cell>
          <cell r="Y29">
            <v>-0.71146537611061833</v>
          </cell>
          <cell r="Z29">
            <v>1716.29366</v>
          </cell>
          <cell r="AA29">
            <v>0.98129008007031882</v>
          </cell>
          <cell r="AB29">
            <v>-359.05588000000029</v>
          </cell>
          <cell r="AC29">
            <v>-0.17245973717066959</v>
          </cell>
          <cell r="AD29">
            <v>-902.07898000000068</v>
          </cell>
          <cell r="AE29">
            <v>-0.58937171498137753</v>
          </cell>
          <cell r="AG29">
            <v>1485.9579200000014</v>
          </cell>
          <cell r="AH29">
            <v>6.8184031618464092E-2</v>
          </cell>
          <cell r="AI29">
            <v>1485.9579200000014</v>
          </cell>
          <cell r="AJ29">
            <v>6.8184031618464092E-2</v>
          </cell>
        </row>
        <row r="31">
          <cell r="E31" t="str">
            <v>15% Participacion de Trabajadores</v>
          </cell>
          <cell r="H31">
            <v>46.494793499999972</v>
          </cell>
          <cell r="I31">
            <v>2.2836717662003236E-2</v>
          </cell>
          <cell r="J31">
            <v>51.506758500000004</v>
          </cell>
          <cell r="K31">
            <v>2.704186716192607E-2</v>
          </cell>
          <cell r="L31">
            <v>18.671559000000023</v>
          </cell>
          <cell r="M31">
            <v>1.3084890625334642E-2</v>
          </cell>
          <cell r="N31">
            <v>73.184227499999992</v>
          </cell>
          <cell r="O31">
            <v>3.314932767235796E-2</v>
          </cell>
          <cell r="P31">
            <v>33.508690499999986</v>
          </cell>
          <cell r="Q31">
            <v>1.4747325466251212E-2</v>
          </cell>
          <cell r="R31">
            <v>66.281788499999962</v>
          </cell>
          <cell r="S31">
            <v>3.2981497640239492E-2</v>
          </cell>
          <cell r="T31">
            <v>21.812760000000008</v>
          </cell>
          <cell r="U31">
            <v>1.6457665793529849E-2</v>
          </cell>
          <cell r="V31">
            <v>25.176259499999979</v>
          </cell>
          <cell r="W31">
            <v>1.6309684799738381E-2</v>
          </cell>
          <cell r="X31">
            <v>-182.01696900000007</v>
          </cell>
          <cell r="Y31">
            <v>-0.10671980641659275</v>
          </cell>
          <cell r="Z31">
            <v>257.44404900000001</v>
          </cell>
          <cell r="AA31">
            <v>0.14719351201054781</v>
          </cell>
          <cell r="AB31">
            <v>-53.858382000000042</v>
          </cell>
          <cell r="AC31">
            <v>-2.5868960575600435E-2</v>
          </cell>
          <cell r="AD31">
            <v>-135.31184700000009</v>
          </cell>
          <cell r="AE31">
            <v>-8.8405757247206618E-2</v>
          </cell>
          <cell r="AG31">
            <v>222.89368799999968</v>
          </cell>
          <cell r="AH31">
            <v>1.0227604742769588E-2</v>
          </cell>
          <cell r="AI31">
            <v>222.89368799999968</v>
          </cell>
          <cell r="AJ31">
            <v>1.0227604742769588E-2</v>
          </cell>
        </row>
        <row r="32">
          <cell r="E32" t="str">
            <v>25% Impuesto a la Renta Causado</v>
          </cell>
          <cell r="H32">
            <v>65.867624124999963</v>
          </cell>
          <cell r="I32">
            <v>3.2352016687837923E-2</v>
          </cell>
          <cell r="J32">
            <v>72.967907875000009</v>
          </cell>
          <cell r="K32">
            <v>3.8309311812728598E-2</v>
          </cell>
          <cell r="L32">
            <v>26.451375250000034</v>
          </cell>
          <cell r="M32">
            <v>1.8536928385890744E-2</v>
          </cell>
          <cell r="N32">
            <v>103.677655625</v>
          </cell>
          <cell r="O32">
            <v>4.6961547535840448E-2</v>
          </cell>
          <cell r="P32">
            <v>47.470644874999977</v>
          </cell>
          <cell r="Q32">
            <v>2.0892044410522548E-2</v>
          </cell>
          <cell r="R32">
            <v>93.899200374999964</v>
          </cell>
          <cell r="S32">
            <v>4.6723788323672626E-2</v>
          </cell>
          <cell r="T32">
            <v>30.901410000000009</v>
          </cell>
          <cell r="U32">
            <v>2.331502654083395E-2</v>
          </cell>
          <cell r="V32">
            <v>35.666367624999971</v>
          </cell>
          <cell r="W32">
            <v>2.3105386799629375E-2</v>
          </cell>
          <cell r="X32">
            <v>-257.85737275000014</v>
          </cell>
          <cell r="Y32">
            <v>-0.1511863924235064</v>
          </cell>
          <cell r="Z32">
            <v>364.71240275000002</v>
          </cell>
          <cell r="AA32">
            <v>0.20852414201494276</v>
          </cell>
          <cell r="AB32">
            <v>-76.299374500000056</v>
          </cell>
          <cell r="AC32">
            <v>-3.6647694148767285E-2</v>
          </cell>
          <cell r="AD32">
            <v>-175.69178325000016</v>
          </cell>
          <cell r="AE32">
            <v>-0.11478791757478815</v>
          </cell>
          <cell r="AG32">
            <v>331.7660579999997</v>
          </cell>
          <cell r="AH32">
            <v>1.5223275897748941E-2</v>
          </cell>
          <cell r="AI32">
            <v>331.7660579999997</v>
          </cell>
          <cell r="AJ32">
            <v>1.5223275897748941E-2</v>
          </cell>
        </row>
        <row r="34">
          <cell r="E34" t="str">
            <v>Resultado Neto</v>
          </cell>
          <cell r="H34">
            <v>197.60287237499989</v>
          </cell>
          <cell r="I34">
            <v>9.7056050063513769E-2</v>
          </cell>
          <cell r="J34">
            <v>218.90372362500003</v>
          </cell>
          <cell r="K34">
            <v>0.1149279354381858</v>
          </cell>
          <cell r="L34">
            <v>79.354125750000094</v>
          </cell>
          <cell r="M34">
            <v>5.5610785157672225E-2</v>
          </cell>
          <cell r="N34">
            <v>311.032966875</v>
          </cell>
          <cell r="O34">
            <v>0.14088464260752134</v>
          </cell>
          <cell r="P34">
            <v>142.41193462499993</v>
          </cell>
          <cell r="Q34">
            <v>6.2676133231567649E-2</v>
          </cell>
          <cell r="R34">
            <v>281.69760112499989</v>
          </cell>
          <cell r="S34">
            <v>0.14017136497101787</v>
          </cell>
          <cell r="T34">
            <v>92.704230000000024</v>
          </cell>
          <cell r="U34">
            <v>6.9945079622501849E-2</v>
          </cell>
          <cell r="V34">
            <v>106.99910287499992</v>
          </cell>
          <cell r="W34">
            <v>6.9316160398888133E-2</v>
          </cell>
          <cell r="X34">
            <v>-773.57211825000036</v>
          </cell>
          <cell r="Y34">
            <v>-0.4535591772705192</v>
          </cell>
          <cell r="Z34">
            <v>1094.1372082500002</v>
          </cell>
          <cell r="AA34">
            <v>0.62557242604482832</v>
          </cell>
          <cell r="AB34">
            <v>-228.89812350000017</v>
          </cell>
          <cell r="AC34">
            <v>-0.10994308244630185</v>
          </cell>
          <cell r="AD34">
            <v>-591.07534975000044</v>
          </cell>
          <cell r="AE34">
            <v>-0.38617804015938273</v>
          </cell>
          <cell r="AG34">
            <v>931.29817400000206</v>
          </cell>
          <cell r="AH34">
            <v>4.2733150977945562E-2</v>
          </cell>
          <cell r="AI34">
            <v>931.29817400000206</v>
          </cell>
          <cell r="AJ34">
            <v>4.2733150977945562E-2</v>
          </cell>
        </row>
        <row r="36">
          <cell r="E36" t="str">
            <v>EBITDA</v>
          </cell>
          <cell r="H36">
            <v>314.47049649999985</v>
          </cell>
          <cell r="I36">
            <v>0.15445759408739987</v>
          </cell>
          <cell r="J36">
            <v>342.87163150000003</v>
          </cell>
          <cell r="K36">
            <v>0.18001305814295937</v>
          </cell>
          <cell r="L36">
            <v>156.80550100000013</v>
          </cell>
          <cell r="M36">
            <v>0.10988813682005885</v>
          </cell>
          <cell r="N36">
            <v>465.7106225</v>
          </cell>
          <cell r="O36">
            <v>0.2109470107578891</v>
          </cell>
          <cell r="P36">
            <v>240.88257949999991</v>
          </cell>
          <cell r="Q36">
            <v>0.1060135071239693</v>
          </cell>
          <cell r="R36">
            <v>426.59680149999986</v>
          </cell>
          <cell r="S36">
            <v>0.21227250682902088</v>
          </cell>
          <cell r="T36">
            <v>174.60564000000002</v>
          </cell>
          <cell r="U36">
            <v>0.13173946207565601</v>
          </cell>
          <cell r="V36">
            <v>193.66547049999988</v>
          </cell>
          <cell r="W36">
            <v>0.12546036794894144</v>
          </cell>
          <cell r="X36">
            <v>-980.42949100000055</v>
          </cell>
          <cell r="Y36">
            <v>-0.57484335696546274</v>
          </cell>
          <cell r="Z36">
            <v>1509.8496110000001</v>
          </cell>
          <cell r="AA36">
            <v>0.86325579369228089</v>
          </cell>
          <cell r="AB36">
            <v>-254.19749800000022</v>
          </cell>
          <cell r="AC36">
            <v>-0.12209473827450426</v>
          </cell>
          <cell r="AD36">
            <v>-715.76713300000063</v>
          </cell>
          <cell r="AE36">
            <v>-0.4676451974343907</v>
          </cell>
          <cell r="AG36">
            <v>1875.0642319999984</v>
          </cell>
          <cell r="AH36">
            <v>8.6038397965763957E-2</v>
          </cell>
          <cell r="AI36">
            <v>1875.0642319999984</v>
          </cell>
          <cell r="AJ36">
            <v>8.6038397965763957E-2</v>
          </cell>
        </row>
        <row r="38">
          <cell r="H38">
            <v>1914.57062</v>
          </cell>
          <cell r="J38">
            <v>1777.5726299999999</v>
          </cell>
          <cell r="L38">
            <v>1313.5720700000002</v>
          </cell>
          <cell r="N38">
            <v>1993.6548</v>
          </cell>
          <cell r="P38">
            <v>2060.19074</v>
          </cell>
          <cell r="R38">
            <v>1862.2117499999999</v>
          </cell>
          <cell r="T38">
            <v>1202.95218</v>
          </cell>
          <cell r="V38">
            <v>1492.1363899999999</v>
          </cell>
          <cell r="X38">
            <v>1576.9635000000001</v>
          </cell>
          <cell r="Z38">
            <v>1640.0537300000001</v>
          </cell>
          <cell r="AB38">
            <v>1966.98667</v>
          </cell>
          <cell r="AD38">
            <v>1509.4025000000001</v>
          </cell>
        </row>
        <row r="39">
          <cell r="H39">
            <v>121.39594</v>
          </cell>
          <cell r="J39">
            <v>127.13159</v>
          </cell>
          <cell r="L39">
            <v>113.38360999999999</v>
          </cell>
          <cell r="N39">
            <v>214.05898000000002</v>
          </cell>
          <cell r="P39">
            <v>211.99688999999995</v>
          </cell>
          <cell r="R39">
            <v>147.45407</v>
          </cell>
          <cell r="T39">
            <v>122.43382999999999</v>
          </cell>
          <cell r="V39">
            <v>51.50224</v>
          </cell>
          <cell r="X39">
            <v>128.5959</v>
          </cell>
          <cell r="Z39">
            <v>108.96390999999998</v>
          </cell>
          <cell r="AB39">
            <v>114.98264</v>
          </cell>
          <cell r="AD39">
            <v>21.174820000000004</v>
          </cell>
        </row>
        <row r="40">
          <cell r="H40">
            <v>2035.9665599999998</v>
          </cell>
          <cell r="J40">
            <v>1904.7042199999999</v>
          </cell>
          <cell r="L40">
            <v>1426.9556800000003</v>
          </cell>
          <cell r="N40">
            <v>2207.71378</v>
          </cell>
          <cell r="P40">
            <v>2272.1876299999999</v>
          </cell>
          <cell r="R40">
            <v>2009.6658199999999</v>
          </cell>
          <cell r="T40">
            <v>1325.3860099999999</v>
          </cell>
          <cell r="V40">
            <v>1543.6386299999999</v>
          </cell>
          <cell r="X40">
            <v>1705.5594000000001</v>
          </cell>
          <cell r="Z40">
            <v>1749.01764</v>
          </cell>
          <cell r="AB40">
            <v>2081.96931</v>
          </cell>
          <cell r="AD40">
            <v>1530.5773200000001</v>
          </cell>
        </row>
        <row r="41">
          <cell r="H41">
            <v>0</v>
          </cell>
          <cell r="J41">
            <v>0</v>
          </cell>
          <cell r="L41">
            <v>0</v>
          </cell>
          <cell r="N41">
            <v>0</v>
          </cell>
          <cell r="P41">
            <v>0</v>
          </cell>
          <cell r="R41">
            <v>0</v>
          </cell>
          <cell r="T41">
            <v>0</v>
          </cell>
          <cell r="V41">
            <v>0</v>
          </cell>
          <cell r="X41">
            <v>0</v>
          </cell>
          <cell r="Z41">
            <v>0</v>
          </cell>
          <cell r="AB41">
            <v>0</v>
          </cell>
          <cell r="AD41">
            <v>0</v>
          </cell>
        </row>
        <row r="42">
          <cell r="H42">
            <v>1426.01331</v>
          </cell>
          <cell r="J42">
            <v>1329.0678499999999</v>
          </cell>
          <cell r="L42">
            <v>1082.4737500000001</v>
          </cell>
          <cell r="N42">
            <v>1432.6461400000001</v>
          </cell>
          <cell r="P42">
            <v>1686.65978</v>
          </cell>
          <cell r="R42">
            <v>1341.6826000000001</v>
          </cell>
          <cell r="T42">
            <v>914.6540399999999</v>
          </cell>
          <cell r="V42">
            <v>1196.80438</v>
          </cell>
          <cell r="X42">
            <v>2674.7855700000005</v>
          </cell>
          <cell r="Z42">
            <v>-240.28460999999999</v>
          </cell>
          <cell r="AB42">
            <v>2181.2461400000002</v>
          </cell>
          <cell r="AD42">
            <v>1782.0035300000009</v>
          </cell>
        </row>
        <row r="43">
          <cell r="H43">
            <v>80.470130000000012</v>
          </cell>
          <cell r="J43">
            <v>74.891670000000005</v>
          </cell>
          <cell r="L43">
            <v>89.709550000000007</v>
          </cell>
          <cell r="N43">
            <v>141.10760000000002</v>
          </cell>
          <cell r="P43">
            <v>161.02952999999999</v>
          </cell>
          <cell r="R43">
            <v>74.891670000000005</v>
          </cell>
          <cell r="T43">
            <v>97.777990000000003</v>
          </cell>
          <cell r="V43">
            <v>39.749839999999999</v>
          </cell>
          <cell r="X43">
            <v>0</v>
          </cell>
          <cell r="Z43">
            <v>0</v>
          </cell>
          <cell r="AB43">
            <v>0</v>
          </cell>
          <cell r="AD43">
            <v>241.47846999999999</v>
          </cell>
        </row>
        <row r="44">
          <cell r="H44">
            <v>0</v>
          </cell>
          <cell r="J44">
            <v>0</v>
          </cell>
          <cell r="L44">
            <v>0</v>
          </cell>
          <cell r="N44">
            <v>0</v>
          </cell>
          <cell r="P44">
            <v>0</v>
          </cell>
          <cell r="R44">
            <v>0</v>
          </cell>
          <cell r="T44">
            <v>0</v>
          </cell>
          <cell r="V44">
            <v>0</v>
          </cell>
          <cell r="X44">
            <v>0</v>
          </cell>
          <cell r="Z44">
            <v>0</v>
          </cell>
          <cell r="AB44">
            <v>0</v>
          </cell>
          <cell r="AD44">
            <v>0</v>
          </cell>
        </row>
        <row r="45">
          <cell r="H45">
            <v>529.48311999999976</v>
          </cell>
          <cell r="J45">
            <v>500.74469999999997</v>
          </cell>
          <cell r="L45">
            <v>254.77238000000014</v>
          </cell>
          <cell r="N45">
            <v>633.96003999999994</v>
          </cell>
          <cell r="P45">
            <v>424.49831999999992</v>
          </cell>
          <cell r="R45">
            <v>593.09154999999987</v>
          </cell>
          <cell r="T45">
            <v>312.95398000000006</v>
          </cell>
          <cell r="V45">
            <v>307.08440999999988</v>
          </cell>
          <cell r="X45">
            <v>-969.22617000000037</v>
          </cell>
          <cell r="Z45">
            <v>1989.30225</v>
          </cell>
          <cell r="AB45">
            <v>-99.276830000000245</v>
          </cell>
          <cell r="AD45">
            <v>-492.90468000000078</v>
          </cell>
        </row>
        <row r="46">
          <cell r="H46">
            <v>0</v>
          </cell>
          <cell r="J46">
            <v>0</v>
          </cell>
          <cell r="L46">
            <v>0</v>
          </cell>
          <cell r="N46">
            <v>0</v>
          </cell>
          <cell r="P46">
            <v>0</v>
          </cell>
          <cell r="R46">
            <v>0</v>
          </cell>
          <cell r="T46">
            <v>0</v>
          </cell>
          <cell r="V46">
            <v>0</v>
          </cell>
          <cell r="X46">
            <v>0</v>
          </cell>
          <cell r="Z46">
            <v>0</v>
          </cell>
          <cell r="AB46">
            <v>0</v>
          </cell>
          <cell r="AD46">
            <v>0</v>
          </cell>
        </row>
        <row r="47">
          <cell r="H47">
            <v>54.557470000000002</v>
          </cell>
          <cell r="J47">
            <v>47.831980000000001</v>
          </cell>
          <cell r="L47">
            <v>38.5473</v>
          </cell>
          <cell r="N47">
            <v>38.767330000000001</v>
          </cell>
          <cell r="P47">
            <v>46.903269999999999</v>
          </cell>
          <cell r="R47">
            <v>39.29598</v>
          </cell>
          <cell r="T47">
            <v>60.569810000000004</v>
          </cell>
          <cell r="V47">
            <v>42.292650000000002</v>
          </cell>
          <cell r="X47">
            <v>68.925080000000008</v>
          </cell>
          <cell r="Z47">
            <v>40.646639999999998</v>
          </cell>
          <cell r="AB47">
            <v>38.446379999999998</v>
          </cell>
          <cell r="AD47">
            <v>42.551600000000001</v>
          </cell>
        </row>
        <row r="48">
          <cell r="H48">
            <v>142.10570999999999</v>
          </cell>
          <cell r="J48">
            <v>90.855729999999994</v>
          </cell>
          <cell r="L48">
            <v>80.007649999999998</v>
          </cell>
          <cell r="N48">
            <v>88.353750000000005</v>
          </cell>
          <cell r="P48">
            <v>143.87351000000001</v>
          </cell>
          <cell r="R48">
            <v>90.377719999999997</v>
          </cell>
          <cell r="T48">
            <v>103.76389</v>
          </cell>
          <cell r="V48">
            <v>97.631749999999997</v>
          </cell>
          <cell r="X48">
            <v>173.75363000000002</v>
          </cell>
          <cell r="Z48">
            <v>130.4324</v>
          </cell>
          <cell r="AB48">
            <v>154.70348000000001</v>
          </cell>
          <cell r="AD48">
            <v>300.19536999999997</v>
          </cell>
        </row>
        <row r="49">
          <cell r="H49">
            <v>1.17852</v>
          </cell>
          <cell r="J49">
            <v>0.93813000000000002</v>
          </cell>
          <cell r="L49">
            <v>1.5081300000000002</v>
          </cell>
          <cell r="N49">
            <v>0.93813000000000002</v>
          </cell>
          <cell r="P49">
            <v>0.93813000000000002</v>
          </cell>
          <cell r="R49">
            <v>1.5081300000000002</v>
          </cell>
          <cell r="T49">
            <v>1.5081300000000002</v>
          </cell>
          <cell r="V49">
            <v>0</v>
          </cell>
          <cell r="X49">
            <v>0.93813000000000002</v>
          </cell>
          <cell r="Z49">
            <v>0</v>
          </cell>
          <cell r="AB49">
            <v>2</v>
          </cell>
          <cell r="AD49">
            <v>0.13250000000000001</v>
          </cell>
        </row>
        <row r="50">
          <cell r="H50">
            <v>7.03</v>
          </cell>
          <cell r="J50">
            <v>7.5</v>
          </cell>
          <cell r="L50">
            <v>0</v>
          </cell>
          <cell r="N50">
            <v>7.8550000000000004</v>
          </cell>
          <cell r="P50">
            <v>0</v>
          </cell>
          <cell r="R50">
            <v>12.59</v>
          </cell>
          <cell r="T50">
            <v>5.88</v>
          </cell>
          <cell r="V50">
            <v>0</v>
          </cell>
          <cell r="X50">
            <v>0</v>
          </cell>
          <cell r="Z50">
            <v>12.43</v>
          </cell>
          <cell r="AB50">
            <v>6.665</v>
          </cell>
          <cell r="AD50">
            <v>0</v>
          </cell>
        </row>
        <row r="51">
          <cell r="H51">
            <v>204.87169999999998</v>
          </cell>
          <cell r="J51">
            <v>147.12583999999998</v>
          </cell>
          <cell r="L51">
            <v>120.06307999999999</v>
          </cell>
          <cell r="N51">
            <v>135.91421</v>
          </cell>
          <cell r="P51">
            <v>191.71491</v>
          </cell>
          <cell r="R51">
            <v>143.77182999999999</v>
          </cell>
          <cell r="T51">
            <v>171.72183000000001</v>
          </cell>
          <cell r="V51">
            <v>139.92439999999999</v>
          </cell>
          <cell r="X51">
            <v>243.61684000000002</v>
          </cell>
          <cell r="Z51">
            <v>183.50904</v>
          </cell>
          <cell r="AB51">
            <v>201.81486000000001</v>
          </cell>
          <cell r="AD51">
            <v>342.87946999999997</v>
          </cell>
        </row>
        <row r="52">
          <cell r="H52">
            <v>0</v>
          </cell>
          <cell r="J52">
            <v>0</v>
          </cell>
          <cell r="L52">
            <v>0</v>
          </cell>
          <cell r="N52">
            <v>0</v>
          </cell>
          <cell r="P52">
            <v>0</v>
          </cell>
          <cell r="R52">
            <v>0</v>
          </cell>
          <cell r="T52">
            <v>0</v>
          </cell>
          <cell r="V52">
            <v>0</v>
          </cell>
          <cell r="X52">
            <v>0</v>
          </cell>
          <cell r="Z52">
            <v>0</v>
          </cell>
          <cell r="AB52">
            <v>0</v>
          </cell>
          <cell r="AD52">
            <v>0</v>
          </cell>
        </row>
        <row r="53">
          <cell r="H53">
            <v>324.61141999999978</v>
          </cell>
          <cell r="J53">
            <v>353.61885999999998</v>
          </cell>
          <cell r="L53">
            <v>134.70930000000016</v>
          </cell>
          <cell r="N53">
            <v>498.04582999999991</v>
          </cell>
          <cell r="P53">
            <v>232.78340999999992</v>
          </cell>
          <cell r="R53">
            <v>449.31971999999985</v>
          </cell>
          <cell r="T53">
            <v>141.23215000000005</v>
          </cell>
          <cell r="V53">
            <v>167.16000999999989</v>
          </cell>
          <cell r="X53">
            <v>-1212.8430100000005</v>
          </cell>
          <cell r="Z53">
            <v>1805.79321</v>
          </cell>
          <cell r="AB53">
            <v>-301.09169000000026</v>
          </cell>
          <cell r="AD53">
            <v>-835.78415000000075</v>
          </cell>
        </row>
        <row r="54">
          <cell r="H54">
            <v>0</v>
          </cell>
          <cell r="J54">
            <v>0</v>
          </cell>
          <cell r="L54">
            <v>0</v>
          </cell>
          <cell r="N54">
            <v>0</v>
          </cell>
          <cell r="P54">
            <v>0</v>
          </cell>
          <cell r="R54">
            <v>0</v>
          </cell>
          <cell r="T54">
            <v>0</v>
          </cell>
          <cell r="V54">
            <v>0</v>
          </cell>
          <cell r="X54">
            <v>0</v>
          </cell>
          <cell r="Z54">
            <v>0</v>
          </cell>
          <cell r="AB54">
            <v>0</v>
          </cell>
          <cell r="AD54">
            <v>0</v>
          </cell>
        </row>
        <row r="55">
          <cell r="H55">
            <v>14.81551</v>
          </cell>
          <cell r="J55">
            <v>10.293010000000001</v>
          </cell>
          <cell r="L55">
            <v>10.26741</v>
          </cell>
          <cell r="N55">
            <v>10.19491</v>
          </cell>
          <cell r="P55">
            <v>9.79406</v>
          </cell>
          <cell r="R55">
            <v>8.0506099999999989</v>
          </cell>
          <cell r="T55">
            <v>4.6187399999999998</v>
          </cell>
          <cell r="V55">
            <v>0.46949999999999997</v>
          </cell>
          <cell r="X55">
            <v>1.34741</v>
          </cell>
          <cell r="Z55">
            <v>1.0469300000000001</v>
          </cell>
          <cell r="AB55">
            <v>0.83611000000000002</v>
          </cell>
          <cell r="AD55">
            <v>1.26406</v>
          </cell>
        </row>
        <row r="56">
          <cell r="H56">
            <v>-0.16941000000000001</v>
          </cell>
          <cell r="J56">
            <v>-5.2569999999999999E-2</v>
          </cell>
          <cell r="L56">
            <v>-3.524E-2</v>
          </cell>
          <cell r="N56">
            <v>-4.3959999999999999E-2</v>
          </cell>
          <cell r="P56">
            <v>-0.40194000000000002</v>
          </cell>
          <cell r="R56">
            <v>-0.61008000000000007</v>
          </cell>
          <cell r="T56">
            <v>-8.8050800000000002</v>
          </cell>
          <cell r="V56">
            <v>-1.1513300000000002</v>
          </cell>
          <cell r="X56">
            <v>-0.74403000000000008</v>
          </cell>
          <cell r="Z56">
            <v>-3.271999999999764E-2</v>
          </cell>
          <cell r="AB56">
            <v>-17.982469999999999</v>
          </cell>
          <cell r="AD56">
            <v>-3.0612000000000137</v>
          </cell>
        </row>
        <row r="57">
          <cell r="H57">
            <v>2.9999999999999997E-5</v>
          </cell>
          <cell r="J57">
            <v>2.9999999999999997E-5</v>
          </cell>
          <cell r="L57">
            <v>7.0000000000000007E-5</v>
          </cell>
          <cell r="N57">
            <v>2.9999999999999997E-5</v>
          </cell>
          <cell r="P57">
            <v>2.0000000000000002E-5</v>
          </cell>
          <cell r="R57">
            <v>5.9999999999999995E-4</v>
          </cell>
          <cell r="T57">
            <v>8.9999999999999992E-5</v>
          </cell>
          <cell r="V57">
            <v>1.1E-4</v>
          </cell>
          <cell r="X57">
            <v>7.0000000000000007E-5</v>
          </cell>
          <cell r="Z57">
            <v>88.485339999999994</v>
          </cell>
          <cell r="AB57">
            <v>75.110550000000003</v>
          </cell>
          <cell r="AD57">
            <v>68.091970000000003</v>
          </cell>
        </row>
        <row r="58">
          <cell r="H58">
            <v>0</v>
          </cell>
          <cell r="J58">
            <v>0</v>
          </cell>
          <cell r="L58">
            <v>0</v>
          </cell>
          <cell r="N58">
            <v>0</v>
          </cell>
          <cell r="P58">
            <v>0</v>
          </cell>
          <cell r="R58">
            <v>0</v>
          </cell>
          <cell r="T58">
            <v>0</v>
          </cell>
          <cell r="V58">
            <v>0</v>
          </cell>
          <cell r="X58">
            <v>0</v>
          </cell>
          <cell r="Z58">
            <v>0</v>
          </cell>
          <cell r="AB58">
            <v>0</v>
          </cell>
          <cell r="AD58">
            <v>0</v>
          </cell>
        </row>
        <row r="59">
          <cell r="H59">
            <v>309.96528999999981</v>
          </cell>
          <cell r="J59">
            <v>343.37839000000002</v>
          </cell>
          <cell r="L59">
            <v>124.47706000000017</v>
          </cell>
          <cell r="N59">
            <v>487.89484999999996</v>
          </cell>
          <cell r="P59">
            <v>223.39126999999991</v>
          </cell>
          <cell r="R59">
            <v>441.8785899999998</v>
          </cell>
          <cell r="T59">
            <v>145.41840000000005</v>
          </cell>
          <cell r="V59">
            <v>167.84172999999987</v>
          </cell>
          <cell r="X59">
            <v>-1213.4464600000006</v>
          </cell>
          <cell r="Z59">
            <v>1716.29366</v>
          </cell>
          <cell r="AB59">
            <v>-359.05588000000029</v>
          </cell>
          <cell r="AD59">
            <v>-902.07898000000068</v>
          </cell>
        </row>
        <row r="60">
          <cell r="H60">
            <v>0</v>
          </cell>
          <cell r="J60">
            <v>0</v>
          </cell>
          <cell r="L60">
            <v>0</v>
          </cell>
          <cell r="N60">
            <v>0</v>
          </cell>
          <cell r="P60">
            <v>0</v>
          </cell>
          <cell r="R60">
            <v>0</v>
          </cell>
          <cell r="T60">
            <v>0</v>
          </cell>
          <cell r="V60">
            <v>0</v>
          </cell>
          <cell r="X60">
            <v>0</v>
          </cell>
          <cell r="Z60">
            <v>0</v>
          </cell>
          <cell r="AB60">
            <v>0</v>
          </cell>
          <cell r="AD60">
            <v>0</v>
          </cell>
        </row>
        <row r="61">
          <cell r="H61">
            <v>46.494793499999972</v>
          </cell>
          <cell r="J61">
            <v>51.506758500000004</v>
          </cell>
          <cell r="L61">
            <v>18.671559000000023</v>
          </cell>
          <cell r="N61">
            <v>73.184227499999992</v>
          </cell>
          <cell r="P61">
            <v>33.508690499999986</v>
          </cell>
          <cell r="R61">
            <v>66.281788499999962</v>
          </cell>
          <cell r="T61">
            <v>21.812760000000008</v>
          </cell>
          <cell r="V61">
            <v>25.176259499999979</v>
          </cell>
          <cell r="X61">
            <v>-182.01696900000007</v>
          </cell>
          <cell r="Z61">
            <v>257.44404900000001</v>
          </cell>
          <cell r="AB61">
            <v>-53.858382000000042</v>
          </cell>
          <cell r="AD61">
            <v>-135.31184700000009</v>
          </cell>
        </row>
        <row r="62">
          <cell r="H62">
            <v>65.867624124999963</v>
          </cell>
          <cell r="J62">
            <v>72.967907875000009</v>
          </cell>
          <cell r="L62">
            <v>26.451375250000034</v>
          </cell>
          <cell r="N62">
            <v>103.677655625</v>
          </cell>
          <cell r="P62">
            <v>47.470644874999977</v>
          </cell>
          <cell r="R62">
            <v>93.899200374999964</v>
          </cell>
          <cell r="T62">
            <v>30.901410000000009</v>
          </cell>
          <cell r="V62">
            <v>35.666367624999971</v>
          </cell>
          <cell r="X62">
            <v>-257.85737275000014</v>
          </cell>
          <cell r="Z62">
            <v>364.71240275000002</v>
          </cell>
          <cell r="AB62">
            <v>-76.299374500000056</v>
          </cell>
          <cell r="AD62">
            <v>-175.69178325000016</v>
          </cell>
        </row>
        <row r="63">
          <cell r="H63">
            <v>0</v>
          </cell>
          <cell r="J63">
            <v>0</v>
          </cell>
          <cell r="L63">
            <v>0</v>
          </cell>
          <cell r="N63">
            <v>0</v>
          </cell>
          <cell r="P63">
            <v>0</v>
          </cell>
          <cell r="R63">
            <v>0</v>
          </cell>
          <cell r="T63">
            <v>0</v>
          </cell>
          <cell r="V63">
            <v>0</v>
          </cell>
          <cell r="X63">
            <v>0</v>
          </cell>
          <cell r="Z63">
            <v>0</v>
          </cell>
          <cell r="AB63">
            <v>0</v>
          </cell>
          <cell r="AD63">
            <v>0</v>
          </cell>
        </row>
        <row r="64">
          <cell r="H64">
            <v>197.60287237499989</v>
          </cell>
          <cell r="J64">
            <v>218.90372362500003</v>
          </cell>
          <cell r="L64">
            <v>79.354125750000094</v>
          </cell>
          <cell r="N64">
            <v>311.032966875</v>
          </cell>
          <cell r="P64">
            <v>142.41193462499993</v>
          </cell>
          <cell r="R64">
            <v>281.69760112499989</v>
          </cell>
          <cell r="T64">
            <v>92.704230000000024</v>
          </cell>
          <cell r="V64">
            <v>106.99910287499992</v>
          </cell>
          <cell r="X64">
            <v>-773.57211825000036</v>
          </cell>
          <cell r="Z64">
            <v>1094.1372082500002</v>
          </cell>
          <cell r="AB64">
            <v>-228.89812350000017</v>
          </cell>
          <cell r="AD64">
            <v>-591.07534975000044</v>
          </cell>
        </row>
        <row r="65">
          <cell r="H65">
            <v>0</v>
          </cell>
          <cell r="J65">
            <v>0</v>
          </cell>
          <cell r="L65">
            <v>0</v>
          </cell>
          <cell r="N65">
            <v>0</v>
          </cell>
          <cell r="P65">
            <v>0</v>
          </cell>
          <cell r="R65">
            <v>0</v>
          </cell>
          <cell r="T65">
            <v>0</v>
          </cell>
          <cell r="V65">
            <v>0</v>
          </cell>
          <cell r="X65">
            <v>0</v>
          </cell>
          <cell r="Z65">
            <v>0</v>
          </cell>
          <cell r="AB65">
            <v>0</v>
          </cell>
          <cell r="AD65">
            <v>0</v>
          </cell>
        </row>
        <row r="66">
          <cell r="H66">
            <v>314.47049649999985</v>
          </cell>
          <cell r="J66">
            <v>342.87163150000003</v>
          </cell>
          <cell r="L66">
            <v>156.80550100000013</v>
          </cell>
          <cell r="N66">
            <v>465.7106225</v>
          </cell>
          <cell r="P66">
            <v>240.88257949999991</v>
          </cell>
          <cell r="R66">
            <v>426.59680149999986</v>
          </cell>
          <cell r="T66">
            <v>174.60564000000002</v>
          </cell>
          <cell r="V66">
            <v>193.66547049999988</v>
          </cell>
          <cell r="X66">
            <v>-980.42949100000055</v>
          </cell>
          <cell r="Z66">
            <v>1509.8496110000001</v>
          </cell>
          <cell r="AB66">
            <v>-254.19749800000022</v>
          </cell>
          <cell r="AD66">
            <v>-715.76713300000063</v>
          </cell>
        </row>
        <row r="67">
          <cell r="H67">
            <v>0</v>
          </cell>
          <cell r="J67">
            <v>0</v>
          </cell>
          <cell r="L67">
            <v>0</v>
          </cell>
          <cell r="N67">
            <v>0</v>
          </cell>
          <cell r="P67">
            <v>0</v>
          </cell>
          <cell r="R67">
            <v>0</v>
          </cell>
          <cell r="T67">
            <v>0</v>
          </cell>
          <cell r="V67">
            <v>0</v>
          </cell>
          <cell r="X67">
            <v>0</v>
          </cell>
          <cell r="Z67">
            <v>0</v>
          </cell>
          <cell r="AB67">
            <v>0</v>
          </cell>
          <cell r="AD67">
            <v>0</v>
          </cell>
        </row>
        <row r="68">
          <cell r="H68">
            <v>1914.57062</v>
          </cell>
          <cell r="J68">
            <v>1777.5726299999999</v>
          </cell>
          <cell r="L68">
            <v>1313.5720700000002</v>
          </cell>
          <cell r="N68">
            <v>1993.6548</v>
          </cell>
          <cell r="P68">
            <v>2060.19074</v>
          </cell>
          <cell r="R68">
            <v>1862.2117499999999</v>
          </cell>
          <cell r="T68">
            <v>1202.95218</v>
          </cell>
          <cell r="V68">
            <v>1492.1363899999999</v>
          </cell>
          <cell r="X68">
            <v>1576.9635000000001</v>
          </cell>
          <cell r="Z68">
            <v>1640.0537300000001</v>
          </cell>
          <cell r="AB68">
            <v>1966.98667</v>
          </cell>
          <cell r="AD68">
            <v>1509.4025000000001</v>
          </cell>
        </row>
        <row r="69">
          <cell r="H69">
            <v>121.39594</v>
          </cell>
          <cell r="J69">
            <v>127.13159</v>
          </cell>
          <cell r="L69">
            <v>113.38360999999999</v>
          </cell>
          <cell r="N69">
            <v>214.05898000000002</v>
          </cell>
          <cell r="P69">
            <v>211.99688999999995</v>
          </cell>
          <cell r="R69">
            <v>147.45407</v>
          </cell>
          <cell r="T69">
            <v>122.43382999999999</v>
          </cell>
          <cell r="V69">
            <v>51.50224</v>
          </cell>
          <cell r="X69">
            <v>128.5959</v>
          </cell>
          <cell r="Z69">
            <v>108.96390999999998</v>
          </cell>
          <cell r="AB69">
            <v>114.98264</v>
          </cell>
          <cell r="AD69">
            <v>21.174820000000004</v>
          </cell>
        </row>
        <row r="70">
          <cell r="H70">
            <v>2035.9665599999998</v>
          </cell>
          <cell r="J70">
            <v>1904.7042199999999</v>
          </cell>
          <cell r="L70">
            <v>1426.9556800000003</v>
          </cell>
          <cell r="N70">
            <v>2207.71378</v>
          </cell>
          <cell r="P70">
            <v>2272.1876299999999</v>
          </cell>
          <cell r="R70">
            <v>2009.6658199999999</v>
          </cell>
          <cell r="T70">
            <v>1325.3860099999999</v>
          </cell>
          <cell r="V70">
            <v>1543.6386299999999</v>
          </cell>
          <cell r="X70">
            <v>1705.5594000000001</v>
          </cell>
          <cell r="Z70">
            <v>1749.01764</v>
          </cell>
          <cell r="AB70">
            <v>2081.96931</v>
          </cell>
          <cell r="AD70">
            <v>1530.5773200000001</v>
          </cell>
        </row>
        <row r="71">
          <cell r="H71">
            <v>0</v>
          </cell>
          <cell r="J71">
            <v>0</v>
          </cell>
          <cell r="L71">
            <v>0</v>
          </cell>
          <cell r="N71">
            <v>0</v>
          </cell>
          <cell r="P71">
            <v>0</v>
          </cell>
          <cell r="R71">
            <v>0</v>
          </cell>
          <cell r="T71">
            <v>0</v>
          </cell>
          <cell r="V71">
            <v>0</v>
          </cell>
          <cell r="X71">
            <v>0</v>
          </cell>
          <cell r="Z71">
            <v>0</v>
          </cell>
          <cell r="AB71">
            <v>0</v>
          </cell>
          <cell r="AD71">
            <v>0</v>
          </cell>
        </row>
        <row r="72">
          <cell r="H72">
            <v>1426.01331</v>
          </cell>
          <cell r="J72">
            <v>1329.0678499999999</v>
          </cell>
          <cell r="L72">
            <v>1082.4737500000001</v>
          </cell>
          <cell r="N72">
            <v>1432.6461400000001</v>
          </cell>
          <cell r="P72">
            <v>1686.65978</v>
          </cell>
          <cell r="R72">
            <v>1341.6826000000001</v>
          </cell>
          <cell r="T72">
            <v>914.6540399999999</v>
          </cell>
          <cell r="V72">
            <v>1196.80438</v>
          </cell>
          <cell r="X72">
            <v>2674.7855700000005</v>
          </cell>
          <cell r="Z72">
            <v>-240.28460999999999</v>
          </cell>
          <cell r="AB72">
            <v>2181.2461400000002</v>
          </cell>
          <cell r="AD72">
            <v>1782.0035300000009</v>
          </cell>
        </row>
        <row r="73">
          <cell r="H73">
            <v>80.470130000000012</v>
          </cell>
          <cell r="J73">
            <v>74.891670000000005</v>
          </cell>
          <cell r="L73">
            <v>89.709550000000007</v>
          </cell>
          <cell r="N73">
            <v>141.10760000000002</v>
          </cell>
          <cell r="P73">
            <v>161.02952999999999</v>
          </cell>
          <cell r="R73">
            <v>74.891670000000005</v>
          </cell>
          <cell r="T73">
            <v>97.777990000000003</v>
          </cell>
          <cell r="V73">
            <v>39.749839999999999</v>
          </cell>
          <cell r="X73">
            <v>0</v>
          </cell>
          <cell r="Z73">
            <v>0</v>
          </cell>
          <cell r="AB73">
            <v>0</v>
          </cell>
          <cell r="AD73">
            <v>241.47846999999999</v>
          </cell>
        </row>
        <row r="74">
          <cell r="H74">
            <v>0</v>
          </cell>
          <cell r="J74">
            <v>0</v>
          </cell>
          <cell r="L74">
            <v>0</v>
          </cell>
          <cell r="N74">
            <v>0</v>
          </cell>
          <cell r="P74">
            <v>0</v>
          </cell>
          <cell r="R74">
            <v>0</v>
          </cell>
          <cell r="T74">
            <v>0</v>
          </cell>
          <cell r="V74">
            <v>0</v>
          </cell>
          <cell r="X74">
            <v>0</v>
          </cell>
          <cell r="Z74">
            <v>0</v>
          </cell>
          <cell r="AB74">
            <v>0</v>
          </cell>
          <cell r="AD74">
            <v>0</v>
          </cell>
        </row>
        <row r="75">
          <cell r="H75">
            <v>529.48311999999976</v>
          </cell>
          <cell r="J75">
            <v>500.74469999999997</v>
          </cell>
          <cell r="L75">
            <v>254.77238000000014</v>
          </cell>
          <cell r="N75">
            <v>633.96003999999994</v>
          </cell>
          <cell r="P75">
            <v>424.49831999999992</v>
          </cell>
          <cell r="R75">
            <v>593.09154999999987</v>
          </cell>
          <cell r="T75">
            <v>312.95398000000006</v>
          </cell>
          <cell r="V75">
            <v>307.08440999999988</v>
          </cell>
          <cell r="X75">
            <v>-969.22617000000037</v>
          </cell>
          <cell r="Z75">
            <v>1989.30225</v>
          </cell>
          <cell r="AB75">
            <v>-99.276830000000245</v>
          </cell>
          <cell r="AD75">
            <v>-492.90468000000078</v>
          </cell>
        </row>
        <row r="76">
          <cell r="H76">
            <v>0</v>
          </cell>
          <cell r="J76">
            <v>0</v>
          </cell>
          <cell r="L76">
            <v>0</v>
          </cell>
          <cell r="N76">
            <v>0</v>
          </cell>
          <cell r="P76">
            <v>0</v>
          </cell>
          <cell r="R76">
            <v>0</v>
          </cell>
          <cell r="T76">
            <v>0</v>
          </cell>
          <cell r="V76">
            <v>0</v>
          </cell>
          <cell r="X76">
            <v>0</v>
          </cell>
          <cell r="Z76">
            <v>0</v>
          </cell>
          <cell r="AB76">
            <v>0</v>
          </cell>
          <cell r="AD76">
            <v>0</v>
          </cell>
        </row>
        <row r="77">
          <cell r="H77">
            <v>54.557470000000002</v>
          </cell>
          <cell r="J77">
            <v>47.831980000000001</v>
          </cell>
          <cell r="L77">
            <v>38.5473</v>
          </cell>
          <cell r="N77">
            <v>38.767330000000001</v>
          </cell>
          <cell r="P77">
            <v>46.903269999999999</v>
          </cell>
          <cell r="R77">
            <v>39.29598</v>
          </cell>
          <cell r="T77">
            <v>60.569810000000004</v>
          </cell>
          <cell r="V77">
            <v>42.292650000000002</v>
          </cell>
          <cell r="X77">
            <v>68.925080000000008</v>
          </cell>
          <cell r="Z77">
            <v>40.646639999999998</v>
          </cell>
          <cell r="AB77">
            <v>38.446379999999998</v>
          </cell>
          <cell r="AD77">
            <v>42.551600000000001</v>
          </cell>
        </row>
        <row r="78">
          <cell r="H78">
            <v>142.10570999999999</v>
          </cell>
          <cell r="J78">
            <v>90.855729999999994</v>
          </cell>
          <cell r="L78">
            <v>80.007649999999998</v>
          </cell>
          <cell r="N78">
            <v>88.353750000000005</v>
          </cell>
          <cell r="P78">
            <v>143.87351000000001</v>
          </cell>
          <cell r="R78">
            <v>90.377719999999997</v>
          </cell>
          <cell r="T78">
            <v>103.76389</v>
          </cell>
          <cell r="V78">
            <v>97.631749999999997</v>
          </cell>
          <cell r="X78">
            <v>173.75363000000002</v>
          </cell>
          <cell r="Z78">
            <v>130.4324</v>
          </cell>
          <cell r="AB78">
            <v>154.70348000000001</v>
          </cell>
          <cell r="AD78">
            <v>300.19536999999997</v>
          </cell>
        </row>
        <row r="79">
          <cell r="H79">
            <v>1.17852</v>
          </cell>
          <cell r="J79">
            <v>0.93813000000000002</v>
          </cell>
          <cell r="L79">
            <v>1.5081300000000002</v>
          </cell>
          <cell r="N79">
            <v>0.93813000000000002</v>
          </cell>
          <cell r="P79">
            <v>0.93813000000000002</v>
          </cell>
          <cell r="R79">
            <v>1.5081300000000002</v>
          </cell>
          <cell r="T79">
            <v>1.5081300000000002</v>
          </cell>
          <cell r="V79">
            <v>0</v>
          </cell>
          <cell r="X79">
            <v>0.93813000000000002</v>
          </cell>
          <cell r="Z79">
            <v>0</v>
          </cell>
          <cell r="AB79">
            <v>2</v>
          </cell>
          <cell r="AD79">
            <v>0.13250000000000001</v>
          </cell>
        </row>
        <row r="80">
          <cell r="H80">
            <v>7.03</v>
          </cell>
          <cell r="J80">
            <v>7.5</v>
          </cell>
          <cell r="L80">
            <v>0</v>
          </cell>
          <cell r="N80">
            <v>7.8550000000000004</v>
          </cell>
          <cell r="P80">
            <v>0</v>
          </cell>
          <cell r="R80">
            <v>12.59</v>
          </cell>
          <cell r="T80">
            <v>5.88</v>
          </cell>
          <cell r="V80">
            <v>0</v>
          </cell>
          <cell r="X80">
            <v>0</v>
          </cell>
          <cell r="Z80">
            <v>12.43</v>
          </cell>
          <cell r="AB80">
            <v>6.665</v>
          </cell>
          <cell r="AD80">
            <v>0</v>
          </cell>
        </row>
        <row r="81">
          <cell r="H81">
            <v>204.87169999999998</v>
          </cell>
          <cell r="J81">
            <v>147.12583999999998</v>
          </cell>
          <cell r="L81">
            <v>120.06307999999999</v>
          </cell>
          <cell r="N81">
            <v>135.91421</v>
          </cell>
          <cell r="P81">
            <v>191.71491</v>
          </cell>
          <cell r="R81">
            <v>143.77182999999999</v>
          </cell>
          <cell r="T81">
            <v>171.72183000000001</v>
          </cell>
          <cell r="V81">
            <v>139.92439999999999</v>
          </cell>
          <cell r="X81">
            <v>243.61684000000002</v>
          </cell>
          <cell r="Z81">
            <v>183.50904</v>
          </cell>
          <cell r="AB81">
            <v>201.81486000000001</v>
          </cell>
          <cell r="AD81">
            <v>342.87946999999997</v>
          </cell>
        </row>
        <row r="82">
          <cell r="H82">
            <v>0</v>
          </cell>
          <cell r="J82">
            <v>0</v>
          </cell>
          <cell r="L82">
            <v>0</v>
          </cell>
          <cell r="N82">
            <v>0</v>
          </cell>
          <cell r="P82">
            <v>0</v>
          </cell>
          <cell r="R82">
            <v>0</v>
          </cell>
          <cell r="T82">
            <v>0</v>
          </cell>
          <cell r="V82">
            <v>0</v>
          </cell>
          <cell r="X82">
            <v>0</v>
          </cell>
          <cell r="Z82">
            <v>0</v>
          </cell>
          <cell r="AB82">
            <v>0</v>
          </cell>
          <cell r="AD82">
            <v>0</v>
          </cell>
        </row>
        <row r="83">
          <cell r="H83">
            <v>324.61141999999978</v>
          </cell>
          <cell r="J83">
            <v>353.61885999999998</v>
          </cell>
          <cell r="L83">
            <v>134.70930000000016</v>
          </cell>
          <cell r="N83">
            <v>498.04582999999991</v>
          </cell>
          <cell r="P83">
            <v>232.78340999999992</v>
          </cell>
          <cell r="R83">
            <v>449.31971999999985</v>
          </cell>
          <cell r="T83">
            <v>141.23215000000005</v>
          </cell>
          <cell r="V83">
            <v>167.16000999999989</v>
          </cell>
          <cell r="X83">
            <v>-1212.8430100000005</v>
          </cell>
          <cell r="Z83">
            <v>1805.79321</v>
          </cell>
          <cell r="AB83">
            <v>-301.09169000000026</v>
          </cell>
          <cell r="AD83">
            <v>-835.78415000000075</v>
          </cell>
        </row>
        <row r="84">
          <cell r="H84">
            <v>0</v>
          </cell>
          <cell r="J84">
            <v>0</v>
          </cell>
          <cell r="L84">
            <v>0</v>
          </cell>
          <cell r="N84">
            <v>0</v>
          </cell>
          <cell r="P84">
            <v>0</v>
          </cell>
          <cell r="R84">
            <v>0</v>
          </cell>
          <cell r="T84">
            <v>0</v>
          </cell>
          <cell r="V84">
            <v>0</v>
          </cell>
          <cell r="X84">
            <v>0</v>
          </cell>
          <cell r="Z84">
            <v>0</v>
          </cell>
          <cell r="AB84">
            <v>0</v>
          </cell>
          <cell r="AD84">
            <v>0</v>
          </cell>
        </row>
        <row r="85">
          <cell r="H85">
            <v>14.81551</v>
          </cell>
          <cell r="J85">
            <v>10.293010000000001</v>
          </cell>
          <cell r="L85">
            <v>10.26741</v>
          </cell>
          <cell r="N85">
            <v>10.19491</v>
          </cell>
          <cell r="P85">
            <v>9.79406</v>
          </cell>
          <cell r="R85">
            <v>8.0506099999999989</v>
          </cell>
          <cell r="T85">
            <v>4.6187399999999998</v>
          </cell>
          <cell r="V85">
            <v>0.46949999999999997</v>
          </cell>
          <cell r="X85">
            <v>1.34741</v>
          </cell>
          <cell r="Z85">
            <v>1.0469300000000001</v>
          </cell>
          <cell r="AB85">
            <v>0.83611000000000002</v>
          </cell>
          <cell r="AD85">
            <v>1.26406</v>
          </cell>
        </row>
        <row r="86">
          <cell r="H86">
            <v>-0.16941000000000001</v>
          </cell>
          <cell r="J86">
            <v>-5.2569999999999999E-2</v>
          </cell>
          <cell r="L86">
            <v>-3.524E-2</v>
          </cell>
          <cell r="N86">
            <v>-4.3959999999999999E-2</v>
          </cell>
          <cell r="P86">
            <v>-0.40194000000000002</v>
          </cell>
          <cell r="R86">
            <v>-0.61008000000000007</v>
          </cell>
          <cell r="T86">
            <v>-8.8050800000000002</v>
          </cell>
          <cell r="V86">
            <v>-1.1513300000000002</v>
          </cell>
          <cell r="X86">
            <v>-0.74403000000000008</v>
          </cell>
          <cell r="Z86">
            <v>-3.271999999999764E-2</v>
          </cell>
          <cell r="AB86">
            <v>-17.982469999999999</v>
          </cell>
          <cell r="AD86">
            <v>-3.0612000000000137</v>
          </cell>
        </row>
        <row r="87">
          <cell r="H87">
            <v>2.9999999999999997E-5</v>
          </cell>
          <cell r="J87">
            <v>2.9999999999999997E-5</v>
          </cell>
          <cell r="L87">
            <v>7.0000000000000007E-5</v>
          </cell>
          <cell r="N87">
            <v>2.9999999999999997E-5</v>
          </cell>
          <cell r="P87">
            <v>2.0000000000000002E-5</v>
          </cell>
          <cell r="R87">
            <v>5.9999999999999995E-4</v>
          </cell>
          <cell r="T87">
            <v>8.9999999999999992E-5</v>
          </cell>
          <cell r="V87">
            <v>1.1E-4</v>
          </cell>
          <cell r="X87">
            <v>7.0000000000000007E-5</v>
          </cell>
          <cell r="Z87">
            <v>88.485339999999994</v>
          </cell>
          <cell r="AB87">
            <v>75.110550000000003</v>
          </cell>
          <cell r="AD87">
            <v>68.091970000000003</v>
          </cell>
        </row>
      </sheetData>
      <sheetData sheetId="9">
        <row r="6">
          <cell r="E6">
            <v>44531</v>
          </cell>
        </row>
        <row r="23">
          <cell r="I23">
            <v>-1.1171301602990102</v>
          </cell>
        </row>
        <row r="31">
          <cell r="I31">
            <v>-1.594076682931767</v>
          </cell>
        </row>
        <row r="42">
          <cell r="H42">
            <v>-2186.6267084999999</v>
          </cell>
          <cell r="I42">
            <v>-1.0130927872130924</v>
          </cell>
        </row>
        <row r="44">
          <cell r="I44">
            <v>-1.3271614151223894</v>
          </cell>
        </row>
      </sheetData>
      <sheetData sheetId="10">
        <row r="18">
          <cell r="E18">
            <v>30250.854029999999</v>
          </cell>
          <cell r="I18">
            <v>21793.342000000001</v>
          </cell>
        </row>
        <row r="20">
          <cell r="E20">
            <v>23031.401289999998</v>
          </cell>
          <cell r="I20">
            <v>16807.752479999999</v>
          </cell>
        </row>
        <row r="21">
          <cell r="E21">
            <v>1661.6501099999998</v>
          </cell>
          <cell r="I21">
            <v>1001.10645</v>
          </cell>
        </row>
        <row r="23">
          <cell r="F23">
            <v>0.18372382559805706</v>
          </cell>
          <cell r="J23">
            <v>0.18283029147158802</v>
          </cell>
        </row>
        <row r="31">
          <cell r="F31">
            <v>7.5787137702836016E-2</v>
          </cell>
          <cell r="J31">
            <v>8.0646422196283679E-2</v>
          </cell>
        </row>
        <row r="42">
          <cell r="E42">
            <v>1344.748753875002</v>
          </cell>
          <cell r="F42">
            <v>4.4453249238563794E-2</v>
          </cell>
          <cell r="I42">
            <v>931.29817400000206</v>
          </cell>
          <cell r="J42">
            <v>4.2733150977945562E-2</v>
          </cell>
        </row>
        <row r="44">
          <cell r="F44">
            <v>7.9501832778504158E-2</v>
          </cell>
          <cell r="J44">
            <v>8.6038397965763957E-2</v>
          </cell>
        </row>
      </sheetData>
      <sheetData sheetId="11"/>
      <sheetData sheetId="12">
        <row r="1">
          <cell r="E1">
            <v>1</v>
          </cell>
          <cell r="G1">
            <v>2</v>
          </cell>
          <cell r="I1">
            <v>3</v>
          </cell>
          <cell r="K1">
            <v>4</v>
          </cell>
          <cell r="M1">
            <v>5</v>
          </cell>
          <cell r="O1">
            <v>6</v>
          </cell>
          <cell r="Q1">
            <v>7</v>
          </cell>
          <cell r="S1">
            <v>8</v>
          </cell>
          <cell r="U1">
            <v>9</v>
          </cell>
          <cell r="W1">
            <v>10</v>
          </cell>
          <cell r="Y1">
            <v>11</v>
          </cell>
          <cell r="AA1">
            <v>12</v>
          </cell>
        </row>
        <row r="2">
          <cell r="B2" t="str">
            <v>Estado de Resultado Presupuesto 2021 Mensualizado</v>
          </cell>
          <cell r="AH2">
            <v>1760</v>
          </cell>
          <cell r="AI2">
            <v>3437</v>
          </cell>
          <cell r="AJ2">
            <v>5335</v>
          </cell>
          <cell r="AK2">
            <v>7552</v>
          </cell>
        </row>
        <row r="3">
          <cell r="AG3">
            <v>12</v>
          </cell>
        </row>
        <row r="4">
          <cell r="D4" t="str">
            <v>Expresado  en  USD$1,000</v>
          </cell>
        </row>
        <row r="5">
          <cell r="E5" t="str">
            <v>Enero</v>
          </cell>
          <cell r="F5" t="str">
            <v>%</v>
          </cell>
          <cell r="G5" t="str">
            <v>Febrero</v>
          </cell>
          <cell r="H5" t="str">
            <v>%</v>
          </cell>
          <cell r="I5" t="str">
            <v>Marzo</v>
          </cell>
          <cell r="J5" t="str">
            <v>%</v>
          </cell>
          <cell r="K5" t="str">
            <v>Abril</v>
          </cell>
          <cell r="L5" t="str">
            <v>%</v>
          </cell>
          <cell r="M5" t="str">
            <v>Mayo</v>
          </cell>
          <cell r="N5" t="str">
            <v>%</v>
          </cell>
          <cell r="O5" t="str">
            <v>Junio</v>
          </cell>
          <cell r="P5" t="str">
            <v>%</v>
          </cell>
          <cell r="Q5" t="str">
            <v>Julio</v>
          </cell>
          <cell r="R5" t="str">
            <v>%</v>
          </cell>
          <cell r="S5" t="str">
            <v>Agosto</v>
          </cell>
          <cell r="T5" t="str">
            <v>%</v>
          </cell>
          <cell r="U5" t="str">
            <v>Sept.</v>
          </cell>
          <cell r="V5" t="str">
            <v>%</v>
          </cell>
          <cell r="W5" t="str">
            <v>Oct.</v>
          </cell>
          <cell r="X5" t="str">
            <v>%</v>
          </cell>
          <cell r="Y5" t="str">
            <v>Nov.</v>
          </cell>
          <cell r="Z5" t="str">
            <v>%</v>
          </cell>
          <cell r="AA5" t="str">
            <v>Dic.</v>
          </cell>
          <cell r="AB5" t="str">
            <v>%</v>
          </cell>
          <cell r="AC5" t="str">
            <v>Total</v>
          </cell>
          <cell r="AD5" t="str">
            <v>%</v>
          </cell>
          <cell r="AG5" t="str">
            <v>Acum</v>
          </cell>
          <cell r="AH5" t="str">
            <v>%</v>
          </cell>
        </row>
        <row r="8">
          <cell r="D8" t="str">
            <v xml:space="preserve">  Ventas Netas Locales</v>
          </cell>
          <cell r="E8">
            <v>1759994</v>
          </cell>
          <cell r="F8">
            <v>92.146572188184876</v>
          </cell>
          <cell r="G8">
            <v>1676994</v>
          </cell>
          <cell r="H8">
            <v>92.805731507686247</v>
          </cell>
          <cell r="I8">
            <v>1897575</v>
          </cell>
          <cell r="J8">
            <v>93.588399935883999</v>
          </cell>
          <cell r="K8">
            <v>2187576</v>
          </cell>
          <cell r="L8">
            <v>93.583096335691323</v>
          </cell>
          <cell r="M8">
            <v>2227576</v>
          </cell>
          <cell r="N8">
            <v>92.909505266986329</v>
          </cell>
          <cell r="O8">
            <v>2215576</v>
          </cell>
          <cell r="P8">
            <v>93.264791360074355</v>
          </cell>
          <cell r="Q8">
            <v>2211158</v>
          </cell>
          <cell r="R8">
            <v>93.252242153411956</v>
          </cell>
          <cell r="S8">
            <v>2211158</v>
          </cell>
          <cell r="T8">
            <v>93.252242153411956</v>
          </cell>
          <cell r="U8">
            <v>2208158</v>
          </cell>
          <cell r="V8">
            <v>93.639103062644651</v>
          </cell>
          <cell r="W8">
            <v>3878158</v>
          </cell>
          <cell r="X8">
            <v>96.276213594402208</v>
          </cell>
          <cell r="Y8">
            <v>3143158</v>
          </cell>
          <cell r="Z8">
            <v>95.445101631928992</v>
          </cell>
          <cell r="AA8">
            <v>2528158</v>
          </cell>
          <cell r="AB8">
            <v>94.399135525237867</v>
          </cell>
          <cell r="AC8">
            <v>28145239</v>
          </cell>
          <cell r="AD8">
            <v>93.957651280966246</v>
          </cell>
          <cell r="AG8">
            <v>28145.239000000001</v>
          </cell>
        </row>
        <row r="9">
          <cell r="D9" t="str">
            <v xml:space="preserve">  Ventas Netas Exportación</v>
          </cell>
          <cell r="E9">
            <v>150000</v>
          </cell>
          <cell r="F9">
            <v>7.8534278118151155</v>
          </cell>
          <cell r="G9">
            <v>130000</v>
          </cell>
          <cell r="H9">
            <v>7.1942684923137543</v>
          </cell>
          <cell r="I9">
            <v>130000</v>
          </cell>
          <cell r="J9">
            <v>6.4116000641160005</v>
          </cell>
          <cell r="K9">
            <v>150000</v>
          </cell>
          <cell r="L9">
            <v>6.4169036643086681</v>
          </cell>
          <cell r="M9">
            <v>170000</v>
          </cell>
          <cell r="N9">
            <v>7.0904947330136778</v>
          </cell>
          <cell r="O9">
            <v>160000</v>
          </cell>
          <cell r="P9">
            <v>6.7352086399256441</v>
          </cell>
          <cell r="Q9">
            <v>160000</v>
          </cell>
          <cell r="R9">
            <v>6.7477578465880388</v>
          </cell>
          <cell r="S9">
            <v>160000</v>
          </cell>
          <cell r="T9">
            <v>6.7477578465880388</v>
          </cell>
          <cell r="U9">
            <v>150000</v>
          </cell>
          <cell r="V9">
            <v>6.3608969373553421</v>
          </cell>
          <cell r="W9">
            <v>150000</v>
          </cell>
          <cell r="X9">
            <v>3.7237864055977941</v>
          </cell>
          <cell r="Y9">
            <v>150000</v>
          </cell>
          <cell r="Z9">
            <v>4.5548983680710124</v>
          </cell>
          <cell r="AA9">
            <v>150000</v>
          </cell>
          <cell r="AB9">
            <v>5.6008644747621315</v>
          </cell>
          <cell r="AC9">
            <v>1810000</v>
          </cell>
          <cell r="AD9">
            <v>6.0423487190337557</v>
          </cell>
          <cell r="AG9">
            <v>1810</v>
          </cell>
        </row>
        <row r="10">
          <cell r="D10" t="str">
            <v xml:space="preserve">  Ventas Netas total</v>
          </cell>
          <cell r="E10">
            <v>1909994</v>
          </cell>
          <cell r="F10">
            <v>100</v>
          </cell>
          <cell r="G10">
            <v>1806994</v>
          </cell>
          <cell r="H10">
            <v>100</v>
          </cell>
          <cell r="I10">
            <v>2027575</v>
          </cell>
          <cell r="J10">
            <v>100</v>
          </cell>
          <cell r="K10">
            <v>2337576</v>
          </cell>
          <cell r="L10">
            <v>100</v>
          </cell>
          <cell r="M10">
            <v>2397576</v>
          </cell>
          <cell r="N10">
            <v>100</v>
          </cell>
          <cell r="O10">
            <v>2375576</v>
          </cell>
          <cell r="P10">
            <v>100</v>
          </cell>
          <cell r="Q10">
            <v>2371158</v>
          </cell>
          <cell r="R10">
            <v>100</v>
          </cell>
          <cell r="S10">
            <v>2371158</v>
          </cell>
          <cell r="T10">
            <v>100</v>
          </cell>
          <cell r="U10">
            <v>2358158</v>
          </cell>
          <cell r="V10">
            <v>100</v>
          </cell>
          <cell r="W10">
            <v>4028158</v>
          </cell>
          <cell r="X10">
            <v>100</v>
          </cell>
          <cell r="Y10">
            <v>3293158</v>
          </cell>
          <cell r="Z10">
            <v>100</v>
          </cell>
          <cell r="AA10">
            <v>2678158</v>
          </cell>
          <cell r="AB10">
            <v>100</v>
          </cell>
          <cell r="AC10">
            <v>29955239</v>
          </cell>
          <cell r="AD10">
            <v>100</v>
          </cell>
        </row>
        <row r="12">
          <cell r="D12" t="str">
            <v>Costo de Venta Local</v>
          </cell>
          <cell r="E12">
            <v>1267505.7149999999</v>
          </cell>
          <cell r="F12">
            <v>66.361764225437341</v>
          </cell>
          <cell r="G12">
            <v>1206765.7149999999</v>
          </cell>
          <cell r="H12">
            <v>66.783050469453684</v>
          </cell>
          <cell r="I12">
            <v>1364418.8949999998</v>
          </cell>
          <cell r="J12">
            <v>67.293140574331403</v>
          </cell>
          <cell r="K12">
            <v>1564125.0899999999</v>
          </cell>
          <cell r="L12">
            <v>66.912266809720833</v>
          </cell>
          <cell r="M12">
            <v>1593815.0899999999</v>
          </cell>
          <cell r="N12">
            <v>66.47610294731011</v>
          </cell>
          <cell r="O12">
            <v>1583305.0899999999</v>
          </cell>
          <cell r="P12">
            <v>66.649313261289052</v>
          </cell>
          <cell r="Q12">
            <v>1583304.8839999998</v>
          </cell>
          <cell r="R12">
            <v>66.773487215951022</v>
          </cell>
          <cell r="S12">
            <v>1582664.8839999998</v>
          </cell>
          <cell r="T12">
            <v>66.746496184564663</v>
          </cell>
          <cell r="U12">
            <v>1579134.8839999998</v>
          </cell>
          <cell r="V12">
            <v>66.964761648710564</v>
          </cell>
          <cell r="W12">
            <v>2553909.0499999998</v>
          </cell>
          <cell r="X12">
            <v>63.401412010154509</v>
          </cell>
          <cell r="Y12">
            <v>2131869.0499999998</v>
          </cell>
          <cell r="Z12">
            <v>64.736312378573984</v>
          </cell>
          <cell r="AA12">
            <v>764593.22</v>
          </cell>
          <cell r="AB12">
            <v>28.549220023613241</v>
          </cell>
          <cell r="AC12">
            <v>18775411.566999998</v>
          </cell>
          <cell r="AD12">
            <v>62.678223221654136</v>
          </cell>
          <cell r="AG12">
            <v>18775.411566999999</v>
          </cell>
        </row>
        <row r="13">
          <cell r="C13">
            <v>100</v>
          </cell>
          <cell r="D13" t="str">
            <v>Costo de Venta Exportacion</v>
          </cell>
          <cell r="E13">
            <v>107700</v>
          </cell>
          <cell r="F13">
            <v>5.6387611688832529</v>
          </cell>
          <cell r="G13">
            <v>93340</v>
          </cell>
          <cell r="H13">
            <v>5.1654847774812751</v>
          </cell>
          <cell r="I13">
            <v>92950</v>
          </cell>
          <cell r="J13">
            <v>4.58429404584294</v>
          </cell>
          <cell r="K13">
            <v>107250</v>
          </cell>
          <cell r="L13">
            <v>4.5880861199806979</v>
          </cell>
          <cell r="M13">
            <v>121550</v>
          </cell>
          <cell r="N13">
            <v>5.0697037341047793</v>
          </cell>
          <cell r="O13">
            <v>114080</v>
          </cell>
          <cell r="P13">
            <v>4.8022037602669831</v>
          </cell>
          <cell r="Q13">
            <v>114400</v>
          </cell>
          <cell r="R13">
            <v>4.8246468603104473</v>
          </cell>
          <cell r="S13">
            <v>114400</v>
          </cell>
          <cell r="T13">
            <v>4.8246468603104473</v>
          </cell>
          <cell r="U13">
            <v>106500</v>
          </cell>
          <cell r="V13">
            <v>4.5162368255222933</v>
          </cell>
          <cell r="W13">
            <v>107250</v>
          </cell>
          <cell r="X13">
            <v>2.6625072800024232</v>
          </cell>
          <cell r="Y13">
            <v>107400</v>
          </cell>
          <cell r="Z13">
            <v>3.2613072315388449</v>
          </cell>
          <cell r="AA13">
            <v>107100</v>
          </cell>
          <cell r="AB13">
            <v>3.9990172349801614</v>
          </cell>
          <cell r="AC13">
            <v>1293920</v>
          </cell>
          <cell r="AD13">
            <v>4.3195115218409708</v>
          </cell>
          <cell r="AG13">
            <v>1293.92</v>
          </cell>
        </row>
        <row r="14">
          <cell r="D14" t="str">
            <v>Partidas Extraordinarias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140000</v>
          </cell>
          <cell r="T14">
            <v>5.9042881157645333</v>
          </cell>
          <cell r="U14">
            <v>140000</v>
          </cell>
          <cell r="V14">
            <v>5.9368371415316536</v>
          </cell>
          <cell r="W14">
            <v>290000</v>
          </cell>
          <cell r="X14">
            <v>7.1993203841557358</v>
          </cell>
          <cell r="Y14">
            <v>290000</v>
          </cell>
          <cell r="Z14">
            <v>8.8061368449372921</v>
          </cell>
          <cell r="AA14">
            <v>1240000</v>
          </cell>
          <cell r="AB14">
            <v>46.300479658033616</v>
          </cell>
          <cell r="AC14">
            <v>2100000</v>
          </cell>
          <cell r="AD14">
            <v>7.0104598397629214</v>
          </cell>
          <cell r="AG14">
            <v>2100</v>
          </cell>
        </row>
        <row r="16">
          <cell r="C16">
            <v>100</v>
          </cell>
          <cell r="D16" t="str">
            <v xml:space="preserve">  Costo de Venta </v>
          </cell>
          <cell r="E16">
            <v>1375205.7149999999</v>
          </cell>
          <cell r="F16">
            <v>72.000525394320604</v>
          </cell>
          <cell r="G16">
            <v>1300105.7149999999</v>
          </cell>
          <cell r="H16">
            <v>71.948535246934952</v>
          </cell>
          <cell r="I16">
            <v>1457368.8949999998</v>
          </cell>
          <cell r="J16">
            <v>71.877434620174341</v>
          </cell>
          <cell r="K16">
            <v>1671375.0899999999</v>
          </cell>
          <cell r="L16">
            <v>71.500352929701521</v>
          </cell>
          <cell r="M16">
            <v>1715365.0899999999</v>
          </cell>
          <cell r="N16">
            <v>71.545806681414888</v>
          </cell>
          <cell r="O16">
            <v>1697385.0899999999</v>
          </cell>
          <cell r="P16">
            <v>71.451517021556029</v>
          </cell>
          <cell r="Q16">
            <v>1697704.8839999998</v>
          </cell>
          <cell r="R16">
            <v>71.598134076261459</v>
          </cell>
          <cell r="S16">
            <v>1837064.8839999998</v>
          </cell>
          <cell r="T16">
            <v>77.475431160639658</v>
          </cell>
          <cell r="U16">
            <v>1825634.8839999998</v>
          </cell>
          <cell r="V16">
            <v>77.417835615764503</v>
          </cell>
          <cell r="W16">
            <v>2951159.05</v>
          </cell>
          <cell r="X16">
            <v>73.263239674312672</v>
          </cell>
          <cell r="Y16">
            <v>2529269.0499999998</v>
          </cell>
          <cell r="Z16">
            <v>76.803756455050134</v>
          </cell>
          <cell r="AA16">
            <v>2111693.2199999997</v>
          </cell>
          <cell r="AB16">
            <v>78.848716916627012</v>
          </cell>
          <cell r="AC16">
            <v>22169331.566999998</v>
          </cell>
          <cell r="AD16">
            <v>74.008194583258032</v>
          </cell>
        </row>
        <row r="18">
          <cell r="D18" t="str">
            <v xml:space="preserve">  Contribución Bruta</v>
          </cell>
          <cell r="E18">
            <v>534788.28500000015</v>
          </cell>
          <cell r="F18">
            <v>27.999474605679396</v>
          </cell>
          <cell r="G18">
            <v>506888.28500000015</v>
          </cell>
          <cell r="H18">
            <v>28.051464753065041</v>
          </cell>
          <cell r="I18">
            <v>570206.10500000021</v>
          </cell>
          <cell r="J18">
            <v>28.122565379825666</v>
          </cell>
          <cell r="K18">
            <v>666200.91000000015</v>
          </cell>
          <cell r="L18">
            <v>28.499647070298469</v>
          </cell>
          <cell r="M18">
            <v>682210.91000000015</v>
          </cell>
          <cell r="N18">
            <v>28.454193318585109</v>
          </cell>
          <cell r="O18">
            <v>678190.91000000015</v>
          </cell>
          <cell r="P18">
            <v>28.548482978443975</v>
          </cell>
          <cell r="Q18">
            <v>673453.11600000015</v>
          </cell>
          <cell r="R18">
            <v>28.401865923738534</v>
          </cell>
          <cell r="S18">
            <v>534093.11600000015</v>
          </cell>
          <cell r="T18">
            <v>22.524568839360352</v>
          </cell>
          <cell r="U18">
            <v>532523.11600000015</v>
          </cell>
          <cell r="V18">
            <v>22.582164384235497</v>
          </cell>
          <cell r="W18">
            <v>1076998.9500000002</v>
          </cell>
          <cell r="X18">
            <v>26.736760325687332</v>
          </cell>
          <cell r="Y18">
            <v>763888.95000000019</v>
          </cell>
          <cell r="Z18">
            <v>23.196243544949869</v>
          </cell>
          <cell r="AA18">
            <v>566464.78000000026</v>
          </cell>
          <cell r="AB18">
            <v>21.151283083372984</v>
          </cell>
          <cell r="AC18">
            <v>7785907.4330000021</v>
          </cell>
          <cell r="AD18">
            <v>25.991805416741965</v>
          </cell>
        </row>
        <row r="20">
          <cell r="C20">
            <v>500</v>
          </cell>
          <cell r="D20" t="str">
            <v>Gastos de ventas</v>
          </cell>
          <cell r="E20">
            <v>50424.904991999996</v>
          </cell>
          <cell r="F20">
            <v>2.6400556751487176</v>
          </cell>
          <cell r="G20">
            <v>50424.904991999996</v>
          </cell>
          <cell r="H20">
            <v>2.7905408093220005</v>
          </cell>
          <cell r="I20">
            <v>50424.904991999996</v>
          </cell>
          <cell r="J20">
            <v>2.4869563390750029</v>
          </cell>
          <cell r="K20">
            <v>50424.904991999996</v>
          </cell>
          <cell r="L20">
            <v>2.1571450507705414</v>
          </cell>
          <cell r="M20">
            <v>50424.904991999996</v>
          </cell>
          <cell r="N20">
            <v>2.1031619015205356</v>
          </cell>
          <cell r="O20">
            <v>50424.904991999996</v>
          </cell>
          <cell r="P20">
            <v>2.1226390985596755</v>
          </cell>
          <cell r="Q20">
            <v>50424.904991999996</v>
          </cell>
          <cell r="R20">
            <v>2.1265940520201521</v>
          </cell>
          <cell r="S20">
            <v>50424.904991999996</v>
          </cell>
          <cell r="T20">
            <v>2.1265940520201521</v>
          </cell>
          <cell r="U20">
            <v>50424.904991999996</v>
          </cell>
          <cell r="V20">
            <v>2.138317491533646</v>
          </cell>
          <cell r="W20">
            <v>50424.904991999996</v>
          </cell>
          <cell r="X20">
            <v>1.2518105047517996</v>
          </cell>
          <cell r="Y20">
            <v>50424.904991999996</v>
          </cell>
          <cell r="Z20">
            <v>1.5312021163879777</v>
          </cell>
          <cell r="AA20">
            <v>50424.904991999996</v>
          </cell>
          <cell r="AB20">
            <v>1.8828203934196561</v>
          </cell>
          <cell r="AC20">
            <v>605098.85990399984</v>
          </cell>
          <cell r="AD20">
            <v>2.0200101221158668</v>
          </cell>
          <cell r="AG20">
            <v>605.09885990399982</v>
          </cell>
        </row>
        <row r="21">
          <cell r="C21">
            <v>600</v>
          </cell>
          <cell r="D21" t="str">
            <v>Gastos Administrativos</v>
          </cell>
          <cell r="E21">
            <v>127840.06286979167</v>
          </cell>
          <cell r="F21">
            <v>6.6932180347054322</v>
          </cell>
          <cell r="G21">
            <v>127840.06286979167</v>
          </cell>
          <cell r="H21">
            <v>7.0747364335350129</v>
          </cell>
          <cell r="I21">
            <v>127840.06286979167</v>
          </cell>
          <cell r="J21">
            <v>6.3050719637888442</v>
          </cell>
          <cell r="K21">
            <v>127840.06286979167</v>
          </cell>
          <cell r="L21">
            <v>5.4689157858307782</v>
          </cell>
          <cell r="M21">
            <v>127840.06286979167</v>
          </cell>
          <cell r="N21">
            <v>5.3320546614493836</v>
          </cell>
          <cell r="O21">
            <v>127840.06286979167</v>
          </cell>
          <cell r="P21">
            <v>5.3814343498078641</v>
          </cell>
          <cell r="Q21">
            <v>127840.06286979167</v>
          </cell>
          <cell r="R21">
            <v>5.391461170862156</v>
          </cell>
          <cell r="S21">
            <v>127840.06286979167</v>
          </cell>
          <cell r="T21">
            <v>5.391461170862156</v>
          </cell>
          <cell r="U21">
            <v>127840.06286979167</v>
          </cell>
          <cell r="V21">
            <v>5.4211830958651488</v>
          </cell>
          <cell r="W21">
            <v>127840.06286979167</v>
          </cell>
          <cell r="X21">
            <v>3.1736605880353173</v>
          </cell>
          <cell r="Y21">
            <v>127840.06286979167</v>
          </cell>
          <cell r="Z21">
            <v>3.8819899582647319</v>
          </cell>
          <cell r="AA21">
            <v>127840.06286979167</v>
          </cell>
          <cell r="AB21">
            <v>4.773432443858491</v>
          </cell>
          <cell r="AC21">
            <v>1534080.7544374999</v>
          </cell>
          <cell r="AD21">
            <v>5.1212435809225223</v>
          </cell>
          <cell r="AG21">
            <v>1534.0807544375</v>
          </cell>
        </row>
        <row r="22">
          <cell r="C22">
            <v>700</v>
          </cell>
          <cell r="D22" t="str">
            <v>Marketing y Publicidad</v>
          </cell>
          <cell r="E22">
            <v>3000</v>
          </cell>
          <cell r="F22">
            <v>0.15706855623630231</v>
          </cell>
          <cell r="G22">
            <v>3000</v>
          </cell>
          <cell r="H22">
            <v>0.16602158059185587</v>
          </cell>
          <cell r="I22">
            <v>3000</v>
          </cell>
          <cell r="J22">
            <v>0.14796000147960001</v>
          </cell>
          <cell r="K22">
            <v>3000</v>
          </cell>
          <cell r="L22">
            <v>0.12833807328617336</v>
          </cell>
          <cell r="M22">
            <v>3000</v>
          </cell>
          <cell r="N22">
            <v>0.12512637764141782</v>
          </cell>
          <cell r="O22">
            <v>3000</v>
          </cell>
          <cell r="P22">
            <v>0.12628516199860582</v>
          </cell>
          <cell r="Q22">
            <v>3000</v>
          </cell>
          <cell r="R22">
            <v>0.12652045962352571</v>
          </cell>
          <cell r="S22">
            <v>3000</v>
          </cell>
          <cell r="T22">
            <v>0.12652045962352571</v>
          </cell>
          <cell r="U22">
            <v>3000</v>
          </cell>
          <cell r="V22">
            <v>0.12721793874710685</v>
          </cell>
          <cell r="W22">
            <v>3000</v>
          </cell>
          <cell r="X22">
            <v>7.4475728111955894E-2</v>
          </cell>
          <cell r="Y22">
            <v>3000</v>
          </cell>
          <cell r="Z22">
            <v>9.1097967361420257E-2</v>
          </cell>
          <cell r="AA22">
            <v>3000</v>
          </cell>
          <cell r="AB22">
            <v>0.11201728949524262</v>
          </cell>
          <cell r="AC22">
            <v>36000</v>
          </cell>
          <cell r="AD22">
            <v>0.12017931153879292</v>
          </cell>
          <cell r="AG22">
            <v>36</v>
          </cell>
        </row>
        <row r="23">
          <cell r="C23">
            <v>800</v>
          </cell>
          <cell r="D23" t="str">
            <v>Distribucion</v>
          </cell>
          <cell r="E23">
            <v>10000</v>
          </cell>
          <cell r="F23">
            <v>0.52356185412100764</v>
          </cell>
          <cell r="G23">
            <v>10000</v>
          </cell>
          <cell r="H23">
            <v>0.55340526863951955</v>
          </cell>
          <cell r="I23">
            <v>10000</v>
          </cell>
          <cell r="J23">
            <v>0.493200004932</v>
          </cell>
          <cell r="K23">
            <v>10000</v>
          </cell>
          <cell r="L23">
            <v>0.42779357762057796</v>
          </cell>
          <cell r="M23">
            <v>10000</v>
          </cell>
          <cell r="N23">
            <v>0.41708792547139278</v>
          </cell>
          <cell r="O23">
            <v>10000</v>
          </cell>
          <cell r="P23">
            <v>0.42095053999535276</v>
          </cell>
          <cell r="Q23">
            <v>10000</v>
          </cell>
          <cell r="R23">
            <v>0.42173486541175242</v>
          </cell>
          <cell r="S23">
            <v>10000</v>
          </cell>
          <cell r="T23">
            <v>0.42173486541175242</v>
          </cell>
          <cell r="U23">
            <v>10000</v>
          </cell>
          <cell r="V23">
            <v>0.42405979582368947</v>
          </cell>
          <cell r="W23">
            <v>10000</v>
          </cell>
          <cell r="X23">
            <v>0.24825242703985292</v>
          </cell>
          <cell r="Y23">
            <v>10000</v>
          </cell>
          <cell r="Z23">
            <v>0.30365989120473419</v>
          </cell>
          <cell r="AA23">
            <v>10000</v>
          </cell>
          <cell r="AB23">
            <v>0.37339096498414209</v>
          </cell>
          <cell r="AC23">
            <v>120000</v>
          </cell>
          <cell r="AD23">
            <v>0.40059770512930976</v>
          </cell>
          <cell r="AG23">
            <v>120</v>
          </cell>
        </row>
        <row r="24">
          <cell r="D24" t="str">
            <v>Partidas Extraordinarias</v>
          </cell>
          <cell r="E24">
            <v>10000</v>
          </cell>
          <cell r="F24">
            <v>0.52356185412100764</v>
          </cell>
          <cell r="G24">
            <v>10000</v>
          </cell>
          <cell r="H24">
            <v>0.55340526863951955</v>
          </cell>
          <cell r="I24">
            <v>10000</v>
          </cell>
          <cell r="J24">
            <v>0.493200004932</v>
          </cell>
          <cell r="K24">
            <v>90000</v>
          </cell>
          <cell r="L24">
            <v>3.8501421985852011</v>
          </cell>
          <cell r="M24">
            <v>10000</v>
          </cell>
          <cell r="N24">
            <v>0.41708792547139278</v>
          </cell>
          <cell r="O24">
            <v>10000</v>
          </cell>
          <cell r="P24">
            <v>0.42095053999535276</v>
          </cell>
          <cell r="Q24">
            <v>10000</v>
          </cell>
          <cell r="R24">
            <v>0.42173486541175242</v>
          </cell>
          <cell r="S24">
            <v>120000</v>
          </cell>
          <cell r="T24">
            <v>5.0608183849410286</v>
          </cell>
          <cell r="U24">
            <v>40000</v>
          </cell>
          <cell r="V24">
            <v>1.6962391832947579</v>
          </cell>
          <cell r="W24">
            <v>120000</v>
          </cell>
          <cell r="X24">
            <v>2.9790291244782354</v>
          </cell>
          <cell r="Y24">
            <v>40000</v>
          </cell>
          <cell r="Z24">
            <v>1.2146395648189368</v>
          </cell>
          <cell r="AA24">
            <v>150000</v>
          </cell>
          <cell r="AB24">
            <v>5.6008644747621315</v>
          </cell>
          <cell r="AC24">
            <v>620000</v>
          </cell>
          <cell r="AD24">
            <v>2.0697548098347669</v>
          </cell>
          <cell r="AG24">
            <v>620</v>
          </cell>
        </row>
        <row r="26">
          <cell r="D26" t="str">
            <v xml:space="preserve">  Total Gastos Generales </v>
          </cell>
          <cell r="E26">
            <v>201264.96786179167</v>
          </cell>
          <cell r="F26">
            <v>10.537465974332468</v>
          </cell>
          <cell r="G26">
            <v>201264.96786179167</v>
          </cell>
          <cell r="H26">
            <v>11.138109360727908</v>
          </cell>
          <cell r="I26">
            <v>201264.96786179167</v>
          </cell>
          <cell r="J26">
            <v>9.9263883142074469</v>
          </cell>
          <cell r="K26">
            <v>281264.96786179167</v>
          </cell>
          <cell r="L26">
            <v>12.032334686093273</v>
          </cell>
          <cell r="M26">
            <v>201264.96786179167</v>
          </cell>
          <cell r="N26">
            <v>8.3945187915541233</v>
          </cell>
          <cell r="O26">
            <v>201264.96786179167</v>
          </cell>
          <cell r="P26">
            <v>8.4722596903568501</v>
          </cell>
          <cell r="Q26">
            <v>201264.96786179167</v>
          </cell>
          <cell r="R26">
            <v>8.4880454133293384</v>
          </cell>
          <cell r="S26">
            <v>311264.96786179167</v>
          </cell>
          <cell r="T26">
            <v>13.127128932858614</v>
          </cell>
          <cell r="U26">
            <v>231264.96786179167</v>
          </cell>
          <cell r="V26">
            <v>9.8070175052643478</v>
          </cell>
          <cell r="W26">
            <v>311264.96786179167</v>
          </cell>
          <cell r="X26">
            <v>7.7272283724171604</v>
          </cell>
          <cell r="Y26">
            <v>231264.96786179167</v>
          </cell>
          <cell r="Z26">
            <v>7.0225894980377994</v>
          </cell>
          <cell r="AA26">
            <v>341264.96786179167</v>
          </cell>
          <cell r="AB26">
            <v>12.742525566519664</v>
          </cell>
          <cell r="AC26">
            <v>2915179.6143414997</v>
          </cell>
          <cell r="AD26">
            <v>9.7317855295412592</v>
          </cell>
        </row>
        <row r="28">
          <cell r="D28" t="str">
            <v xml:space="preserve">  Contribución Operativa</v>
          </cell>
          <cell r="E28">
            <v>333523.31713820848</v>
          </cell>
          <cell r="F28">
            <v>17.462008631346933</v>
          </cell>
          <cell r="G28">
            <v>305623.31713820848</v>
          </cell>
          <cell r="H28">
            <v>16.913355392337134</v>
          </cell>
          <cell r="I28">
            <v>368941.13713820855</v>
          </cell>
          <cell r="J28">
            <v>18.196177065618215</v>
          </cell>
          <cell r="K28">
            <v>384935.94213820848</v>
          </cell>
          <cell r="L28">
            <v>16.467312384205197</v>
          </cell>
          <cell r="M28">
            <v>480945.94213820848</v>
          </cell>
          <cell r="N28">
            <v>20.059674527030989</v>
          </cell>
          <cell r="O28">
            <v>476925.94213820848</v>
          </cell>
          <cell r="P28">
            <v>20.076223288087121</v>
          </cell>
          <cell r="Q28">
            <v>472188.14813820849</v>
          </cell>
          <cell r="R28">
            <v>19.913820510409195</v>
          </cell>
          <cell r="S28">
            <v>222828.14813820849</v>
          </cell>
          <cell r="T28">
            <v>9.397439906501738</v>
          </cell>
          <cell r="U28">
            <v>301258.14813820849</v>
          </cell>
          <cell r="V28">
            <v>12.77514687897115</v>
          </cell>
          <cell r="W28">
            <v>765733.98213820858</v>
          </cell>
          <cell r="X28">
            <v>19.009531953270169</v>
          </cell>
          <cell r="Y28">
            <v>532623.98213820858</v>
          </cell>
          <cell r="Z28">
            <v>16.17365404691207</v>
          </cell>
          <cell r="AA28">
            <v>225199.8121382086</v>
          </cell>
          <cell r="AB28">
            <v>8.4087575168533224</v>
          </cell>
          <cell r="AC28">
            <v>4870727.8186585028</v>
          </cell>
          <cell r="AD28">
            <v>16.260019887200709</v>
          </cell>
        </row>
        <row r="30">
          <cell r="C30">
            <v>900</v>
          </cell>
          <cell r="D30" t="str">
            <v>Gastos Financieros</v>
          </cell>
          <cell r="E30">
            <v>5000</v>
          </cell>
          <cell r="F30">
            <v>0.26178092706050382</v>
          </cell>
          <cell r="G30">
            <v>5000</v>
          </cell>
          <cell r="H30">
            <v>0.27670263431975978</v>
          </cell>
          <cell r="I30">
            <v>5000</v>
          </cell>
          <cell r="J30">
            <v>0.246600002466</v>
          </cell>
          <cell r="K30">
            <v>5000</v>
          </cell>
          <cell r="L30">
            <v>0.21389678881028898</v>
          </cell>
          <cell r="M30">
            <v>5000</v>
          </cell>
          <cell r="N30">
            <v>0.20854396273569639</v>
          </cell>
          <cell r="O30">
            <v>5000</v>
          </cell>
          <cell r="P30">
            <v>0.21047526999767638</v>
          </cell>
          <cell r="Q30">
            <v>5000</v>
          </cell>
          <cell r="R30">
            <v>0.21086743270587621</v>
          </cell>
          <cell r="S30">
            <v>5000</v>
          </cell>
          <cell r="T30">
            <v>0.21086743270587621</v>
          </cell>
          <cell r="U30">
            <v>5000</v>
          </cell>
          <cell r="V30">
            <v>0.21202989791184473</v>
          </cell>
          <cell r="W30">
            <v>5000</v>
          </cell>
          <cell r="X30">
            <v>0.12412621351992646</v>
          </cell>
          <cell r="Y30">
            <v>5000</v>
          </cell>
          <cell r="Z30">
            <v>0.15182994560236709</v>
          </cell>
          <cell r="AA30">
            <v>5000</v>
          </cell>
          <cell r="AB30">
            <v>0.18669548249207105</v>
          </cell>
          <cell r="AC30">
            <v>60000</v>
          </cell>
          <cell r="AD30">
            <v>0.20029885256465488</v>
          </cell>
          <cell r="AG30">
            <v>60</v>
          </cell>
        </row>
        <row r="31">
          <cell r="C31">
            <v>1000</v>
          </cell>
          <cell r="D31" t="str">
            <v>Otros Ingresos</v>
          </cell>
          <cell r="F31">
            <v>0</v>
          </cell>
          <cell r="H31">
            <v>0</v>
          </cell>
          <cell r="J31">
            <v>0</v>
          </cell>
          <cell r="L31">
            <v>0</v>
          </cell>
          <cell r="N31">
            <v>0</v>
          </cell>
          <cell r="P31">
            <v>0</v>
          </cell>
          <cell r="R31">
            <v>0</v>
          </cell>
          <cell r="T31">
            <v>0</v>
          </cell>
          <cell r="V31">
            <v>0</v>
          </cell>
          <cell r="X31">
            <v>0</v>
          </cell>
          <cell r="Z31">
            <v>0</v>
          </cell>
          <cell r="AB31">
            <v>0</v>
          </cell>
          <cell r="AC31">
            <v>0</v>
          </cell>
          <cell r="AD31">
            <v>0</v>
          </cell>
          <cell r="AG31">
            <v>0</v>
          </cell>
        </row>
        <row r="32">
          <cell r="C32">
            <v>1200</v>
          </cell>
          <cell r="D32" t="str">
            <v>Otros Egresos</v>
          </cell>
          <cell r="E32">
            <v>6000</v>
          </cell>
          <cell r="F32">
            <v>0.31413711247260462</v>
          </cell>
          <cell r="G32">
            <v>6000</v>
          </cell>
          <cell r="H32">
            <v>0.33204316118371174</v>
          </cell>
          <cell r="I32">
            <v>6000</v>
          </cell>
          <cell r="J32">
            <v>0.29592000295920001</v>
          </cell>
          <cell r="K32">
            <v>6000</v>
          </cell>
          <cell r="L32">
            <v>0.25667614657234672</v>
          </cell>
          <cell r="M32">
            <v>6000</v>
          </cell>
          <cell r="N32">
            <v>0.25025275528283564</v>
          </cell>
          <cell r="O32">
            <v>6000</v>
          </cell>
          <cell r="P32">
            <v>0.25257032399721163</v>
          </cell>
          <cell r="Q32">
            <v>6000</v>
          </cell>
          <cell r="R32">
            <v>0.25304091924705141</v>
          </cell>
          <cell r="S32">
            <v>6000</v>
          </cell>
          <cell r="T32">
            <v>0.25304091924705141</v>
          </cell>
          <cell r="U32">
            <v>6000</v>
          </cell>
          <cell r="V32">
            <v>0.2544358774942137</v>
          </cell>
          <cell r="W32">
            <v>6000</v>
          </cell>
          <cell r="X32">
            <v>0.14895145622391179</v>
          </cell>
          <cell r="Y32">
            <v>6000</v>
          </cell>
          <cell r="Z32">
            <v>0.18219593472284051</v>
          </cell>
          <cell r="AA32">
            <v>6000</v>
          </cell>
          <cell r="AB32">
            <v>0.22403457899048523</v>
          </cell>
          <cell r="AC32">
            <v>72000</v>
          </cell>
          <cell r="AD32">
            <v>0.24035862307758585</v>
          </cell>
          <cell r="AG32">
            <v>72</v>
          </cell>
        </row>
        <row r="33">
          <cell r="D33" t="str">
            <v xml:space="preserve">  Total Otros Ingresos y Gastos</v>
          </cell>
          <cell r="E33">
            <v>11000</v>
          </cell>
          <cell r="F33">
            <v>0.57591803953310849</v>
          </cell>
          <cell r="G33">
            <v>11000</v>
          </cell>
          <cell r="H33">
            <v>0.60874579550347152</v>
          </cell>
          <cell r="I33">
            <v>11000</v>
          </cell>
          <cell r="J33">
            <v>0.54252000542520007</v>
          </cell>
          <cell r="K33">
            <v>11000</v>
          </cell>
          <cell r="L33">
            <v>0.47057293538263567</v>
          </cell>
          <cell r="M33">
            <v>11000</v>
          </cell>
          <cell r="N33">
            <v>0.45879671801853206</v>
          </cell>
          <cell r="O33">
            <v>11000</v>
          </cell>
          <cell r="P33">
            <v>0.46304559399488793</v>
          </cell>
          <cell r="Q33">
            <v>11000</v>
          </cell>
          <cell r="R33">
            <v>0.46390835195292768</v>
          </cell>
          <cell r="S33">
            <v>11000</v>
          </cell>
          <cell r="T33">
            <v>0.46390835195292768</v>
          </cell>
          <cell r="U33">
            <v>11000</v>
          </cell>
          <cell r="V33">
            <v>0.46646577540605849</v>
          </cell>
          <cell r="W33">
            <v>11000</v>
          </cell>
          <cell r="X33">
            <v>0.27307766974383824</v>
          </cell>
          <cell r="Y33">
            <v>11000</v>
          </cell>
          <cell r="Z33">
            <v>0.33402588032520758</v>
          </cell>
          <cell r="AA33">
            <v>11000</v>
          </cell>
          <cell r="AB33">
            <v>0.41073006148255631</v>
          </cell>
          <cell r="AC33">
            <v>132000</v>
          </cell>
          <cell r="AD33">
            <v>0.44065747564224073</v>
          </cell>
        </row>
        <row r="35">
          <cell r="D35" t="str">
            <v xml:space="preserve">  Resultado antes del 15% e Imp. a la Renta</v>
          </cell>
          <cell r="E35">
            <v>322523.31713820848</v>
          </cell>
          <cell r="F35">
            <v>16.886090591813822</v>
          </cell>
          <cell r="G35">
            <v>294623.31713820848</v>
          </cell>
          <cell r="H35">
            <v>16.304609596833664</v>
          </cell>
          <cell r="I35">
            <v>357941.13713820855</v>
          </cell>
          <cell r="J35">
            <v>17.653657060193019</v>
          </cell>
          <cell r="K35">
            <v>373935.94213820848</v>
          </cell>
          <cell r="L35">
            <v>15.996739448822561</v>
          </cell>
          <cell r="M35">
            <v>469945.94213820848</v>
          </cell>
          <cell r="N35">
            <v>19.600877809012456</v>
          </cell>
          <cell r="O35">
            <v>465925.94213820848</v>
          </cell>
          <cell r="P35">
            <v>19.613177694092233</v>
          </cell>
          <cell r="Q35">
            <v>461188.14813820849</v>
          </cell>
          <cell r="R35">
            <v>19.449912158456268</v>
          </cell>
          <cell r="S35">
            <v>211828.14813820849</v>
          </cell>
          <cell r="T35">
            <v>8.9335315545488108</v>
          </cell>
          <cell r="U35">
            <v>290258.14813820849</v>
          </cell>
          <cell r="V35">
            <v>12.308681103565092</v>
          </cell>
          <cell r="W35">
            <v>754733.98213820858</v>
          </cell>
          <cell r="X35">
            <v>18.736454283526331</v>
          </cell>
          <cell r="Y35">
            <v>521623.98213820858</v>
          </cell>
          <cell r="Z35">
            <v>15.839628166586861</v>
          </cell>
          <cell r="AA35">
            <v>214199.8121382086</v>
          </cell>
          <cell r="AB35">
            <v>7.9980274553707655</v>
          </cell>
          <cell r="AC35">
            <v>4738727.8186585028</v>
          </cell>
          <cell r="AD35">
            <v>15.819362411558469</v>
          </cell>
        </row>
        <row r="37">
          <cell r="C37">
            <v>0.15</v>
          </cell>
          <cell r="D37" t="str">
            <v xml:space="preserve">  15% Participación de Trabajadores</v>
          </cell>
          <cell r="E37">
            <v>48378.49757073127</v>
          </cell>
          <cell r="F37">
            <v>2.5329135887720731</v>
          </cell>
          <cell r="G37">
            <v>44193.49757073127</v>
          </cell>
          <cell r="H37">
            <v>2.4456914395250493</v>
          </cell>
          <cell r="I37">
            <v>53691.170570731279</v>
          </cell>
          <cell r="J37">
            <v>2.6480485590289522</v>
          </cell>
          <cell r="K37">
            <v>56090.391320731273</v>
          </cell>
          <cell r="L37">
            <v>2.3995109173233842</v>
          </cell>
          <cell r="M37">
            <v>70491.891320731273</v>
          </cell>
          <cell r="N37">
            <v>2.9401316713518684</v>
          </cell>
          <cell r="O37">
            <v>69888.891320731273</v>
          </cell>
          <cell r="P37">
            <v>2.941976654113835</v>
          </cell>
          <cell r="Q37">
            <v>69178.222220731273</v>
          </cell>
          <cell r="R37">
            <v>2.9174868237684404</v>
          </cell>
          <cell r="S37">
            <v>31774.222220731273</v>
          </cell>
          <cell r="T37">
            <v>1.3400297331823217</v>
          </cell>
          <cell r="U37">
            <v>43538.722220731273</v>
          </cell>
          <cell r="V37">
            <v>1.8463021655347638</v>
          </cell>
          <cell r="W37">
            <v>113210.09732073128</v>
          </cell>
          <cell r="X37">
            <v>2.8104681425289493</v>
          </cell>
          <cell r="Y37">
            <v>78243.597320731278</v>
          </cell>
          <cell r="Z37">
            <v>2.3759442249880292</v>
          </cell>
          <cell r="AA37">
            <v>32129.971820731287</v>
          </cell>
          <cell r="AB37">
            <v>1.1997041183056147</v>
          </cell>
          <cell r="AC37">
            <v>710809.17279877525</v>
          </cell>
          <cell r="AD37">
            <v>2.3729043617337697</v>
          </cell>
          <cell r="AG37">
            <v>710.80917279877531</v>
          </cell>
        </row>
        <row r="39">
          <cell r="D39" t="str">
            <v xml:space="preserve">  25% Impuesto a la Renta Causado </v>
          </cell>
          <cell r="E39">
            <v>60311.860304844988</v>
          </cell>
          <cell r="F39">
            <v>3.1576989406691847</v>
          </cell>
          <cell r="G39">
            <v>55094.560304844985</v>
          </cell>
          <cell r="H39">
            <v>3.048961994607895</v>
          </cell>
          <cell r="I39">
            <v>66934.992644844999</v>
          </cell>
          <cell r="J39">
            <v>3.3012338702560942</v>
          </cell>
          <cell r="K39">
            <v>69926.021179844989</v>
          </cell>
          <cell r="L39">
            <v>2.9913902769298191</v>
          </cell>
          <cell r="M39">
            <v>87879.891179844984</v>
          </cell>
          <cell r="N39">
            <v>3.6653641502853294</v>
          </cell>
          <cell r="O39">
            <v>87128.151179844994</v>
          </cell>
          <cell r="P39">
            <v>3.6676642287952479</v>
          </cell>
          <cell r="Q39">
            <v>86242.183701844988</v>
          </cell>
          <cell r="R39">
            <v>3.6371335736313224</v>
          </cell>
          <cell r="S39">
            <v>39611.863701844988</v>
          </cell>
          <cell r="T39">
            <v>1.6705704007006277</v>
          </cell>
          <cell r="U39">
            <v>54278.273701844992</v>
          </cell>
          <cell r="V39">
            <v>2.3017233663666725</v>
          </cell>
          <cell r="W39">
            <v>141135.254659845</v>
          </cell>
          <cell r="X39">
            <v>3.5037169510194235</v>
          </cell>
          <cell r="Y39">
            <v>97543.684659845007</v>
          </cell>
          <cell r="Z39">
            <v>2.9620104671517433</v>
          </cell>
          <cell r="AA39">
            <v>40055.364869845005</v>
          </cell>
          <cell r="AB39">
            <v>1.4956311341543331</v>
          </cell>
          <cell r="AC39">
            <v>886142.10208913987</v>
          </cell>
          <cell r="AD39">
            <v>2.9582207709614332</v>
          </cell>
          <cell r="AG39">
            <v>886.14210208913983</v>
          </cell>
        </row>
        <row r="41">
          <cell r="D41" t="str">
            <v xml:space="preserve">  Resultado Neto</v>
          </cell>
          <cell r="E41">
            <v>213832.95926263224</v>
          </cell>
          <cell r="F41">
            <v>11.195478062372564</v>
          </cell>
          <cell r="G41">
            <v>195335.25926263223</v>
          </cell>
          <cell r="H41">
            <v>10.80995616270072</v>
          </cell>
          <cell r="I41">
            <v>237314.97392263229</v>
          </cell>
          <cell r="J41">
            <v>11.704374630907971</v>
          </cell>
          <cell r="K41">
            <v>247919.52963763225</v>
          </cell>
          <cell r="L41">
            <v>10.60583825456936</v>
          </cell>
          <cell r="M41">
            <v>311574.15963763226</v>
          </cell>
          <cell r="N41">
            <v>12.995381987375259</v>
          </cell>
          <cell r="O41">
            <v>308908.89963763225</v>
          </cell>
          <cell r="P41">
            <v>13.00353681118315</v>
          </cell>
          <cell r="Q41">
            <v>305767.74221563223</v>
          </cell>
          <cell r="R41">
            <v>12.895291761056507</v>
          </cell>
          <cell r="S41">
            <v>140442.06221563224</v>
          </cell>
          <cell r="T41">
            <v>5.9229314206658623</v>
          </cell>
          <cell r="U41">
            <v>192441.15221563223</v>
          </cell>
          <cell r="V41">
            <v>8.1606555716636553</v>
          </cell>
          <cell r="W41">
            <v>500388.63015763229</v>
          </cell>
          <cell r="X41">
            <v>12.422269189977959</v>
          </cell>
          <cell r="Y41">
            <v>345836.70015763229</v>
          </cell>
          <cell r="Z41">
            <v>10.50167347444709</v>
          </cell>
          <cell r="AA41">
            <v>142014.47544763229</v>
          </cell>
          <cell r="AB41">
            <v>5.3026922029108174</v>
          </cell>
          <cell r="AC41">
            <v>3141776.543770588</v>
          </cell>
          <cell r="AD41">
            <v>10.488237278863267</v>
          </cell>
        </row>
        <row r="43">
          <cell r="D43" t="str">
            <v xml:space="preserve">  Depreciaciones y Amortizaciones</v>
          </cell>
          <cell r="E43">
            <v>50000</v>
          </cell>
          <cell r="F43">
            <v>2.6178092706050387</v>
          </cell>
          <cell r="G43">
            <v>50000</v>
          </cell>
          <cell r="H43">
            <v>2.7670263431975974</v>
          </cell>
          <cell r="I43">
            <v>50000</v>
          </cell>
          <cell r="J43">
            <v>2.46600002466</v>
          </cell>
          <cell r="K43">
            <v>50000</v>
          </cell>
          <cell r="L43">
            <v>2.1389678881028895</v>
          </cell>
          <cell r="M43">
            <v>50000</v>
          </cell>
          <cell r="N43">
            <v>2.0854396273569642</v>
          </cell>
          <cell r="O43">
            <v>50000</v>
          </cell>
          <cell r="P43">
            <v>2.1047526999767632</v>
          </cell>
          <cell r="Q43">
            <v>50000</v>
          </cell>
          <cell r="R43">
            <v>2.108674327058762</v>
          </cell>
          <cell r="S43">
            <v>50000</v>
          </cell>
          <cell r="T43">
            <v>2.108674327058762</v>
          </cell>
          <cell r="U43">
            <v>50000</v>
          </cell>
          <cell r="V43">
            <v>2.1202989791184472</v>
          </cell>
          <cell r="W43">
            <v>50000</v>
          </cell>
          <cell r="X43">
            <v>1.2412621351992648</v>
          </cell>
          <cell r="Y43">
            <v>55000</v>
          </cell>
          <cell r="Z43">
            <v>1.670129401626038</v>
          </cell>
          <cell r="AA43">
            <v>55000</v>
          </cell>
          <cell r="AB43">
            <v>2.0536503074127817</v>
          </cell>
          <cell r="AC43">
            <v>610000</v>
          </cell>
          <cell r="AD43">
            <v>2.0363716677406578</v>
          </cell>
          <cell r="AG43">
            <v>610</v>
          </cell>
        </row>
        <row r="45">
          <cell r="D45" t="str">
            <v xml:space="preserve">  Cash Flow Generado</v>
          </cell>
          <cell r="E45">
            <v>263832.95926263224</v>
          </cell>
          <cell r="F45">
            <v>13.813287332977604</v>
          </cell>
          <cell r="G45">
            <v>245335.25926263223</v>
          </cell>
          <cell r="H45">
            <v>13.576982505898316</v>
          </cell>
          <cell r="I45">
            <v>287314.97392263229</v>
          </cell>
          <cell r="J45">
            <v>14.170374655567972</v>
          </cell>
          <cell r="K45">
            <v>297919.52963763225</v>
          </cell>
          <cell r="L45">
            <v>12.74480614267225</v>
          </cell>
          <cell r="M45">
            <v>361574.15963763226</v>
          </cell>
          <cell r="N45">
            <v>15.080821614732223</v>
          </cell>
          <cell r="O45">
            <v>358908.89963763225</v>
          </cell>
          <cell r="P45">
            <v>15.108289511159914</v>
          </cell>
          <cell r="Q45">
            <v>355767.74221563223</v>
          </cell>
          <cell r="R45">
            <v>15.003966088115266</v>
          </cell>
          <cell r="S45">
            <v>190442.06221563224</v>
          </cell>
          <cell r="T45">
            <v>8.0316057477246243</v>
          </cell>
          <cell r="U45">
            <v>242441.15221563223</v>
          </cell>
          <cell r="V45">
            <v>10.280954550782104</v>
          </cell>
          <cell r="W45">
            <v>550388.63015763229</v>
          </cell>
          <cell r="X45">
            <v>13.663531325177223</v>
          </cell>
          <cell r="Y45">
            <v>400836.70015763229</v>
          </cell>
          <cell r="Z45">
            <v>12.171802876073128</v>
          </cell>
          <cell r="AA45">
            <v>197014.47544763229</v>
          </cell>
          <cell r="AB45">
            <v>7.3563425103235991</v>
          </cell>
          <cell r="AC45">
            <v>3751776.543770588</v>
          </cell>
          <cell r="AD45">
            <v>12.524608946603925</v>
          </cell>
        </row>
        <row r="47">
          <cell r="D47" t="str">
            <v xml:space="preserve">  EBITDA</v>
          </cell>
          <cell r="E47">
            <v>329144.81956747721</v>
          </cell>
          <cell r="F47">
            <v>17.23276720070729</v>
          </cell>
          <cell r="G47">
            <v>305429.81956747721</v>
          </cell>
          <cell r="H47">
            <v>16.902647134825973</v>
          </cell>
          <cell r="I47">
            <v>359249.96656747727</v>
          </cell>
          <cell r="J47">
            <v>17.718208528290063</v>
          </cell>
          <cell r="K47">
            <v>372845.55081747723</v>
          </cell>
          <cell r="L47">
            <v>15.950093208412355</v>
          </cell>
          <cell r="M47">
            <v>454454.05081747723</v>
          </cell>
          <cell r="N47">
            <v>18.954729727753246</v>
          </cell>
          <cell r="O47">
            <v>451037.05081747723</v>
          </cell>
          <cell r="P47">
            <v>18.986429009952836</v>
          </cell>
          <cell r="Q47">
            <v>447009.92591747723</v>
          </cell>
          <cell r="R47">
            <v>18.851967094452469</v>
          </cell>
          <cell r="S47">
            <v>235053.92591747723</v>
          </cell>
          <cell r="T47">
            <v>9.913043581131129</v>
          </cell>
          <cell r="U47">
            <v>301719.42591747723</v>
          </cell>
          <cell r="V47">
            <v>12.794707815060621</v>
          </cell>
          <cell r="W47">
            <v>696523.88481747732</v>
          </cell>
          <cell r="X47">
            <v>17.291374489716574</v>
          </cell>
          <cell r="Y47">
            <v>503380.38481747732</v>
          </cell>
          <cell r="Z47">
            <v>15.285643288827238</v>
          </cell>
          <cell r="AA47">
            <v>242069.8403174773</v>
          </cell>
          <cell r="AB47">
            <v>9.038669126970003</v>
          </cell>
          <cell r="AC47">
            <v>4697918.6458597276</v>
          </cell>
          <cell r="AD47">
            <v>15.683128570130012</v>
          </cell>
          <cell r="AG47">
            <v>4697.9186458597278</v>
          </cell>
        </row>
        <row r="53">
          <cell r="E53">
            <v>1759994</v>
          </cell>
          <cell r="G53">
            <v>1676994</v>
          </cell>
          <cell r="I53">
            <v>1897575</v>
          </cell>
          <cell r="K53">
            <v>2187576</v>
          </cell>
          <cell r="M53">
            <v>2227576</v>
          </cell>
          <cell r="O53">
            <v>2215576</v>
          </cell>
          <cell r="Q53">
            <v>2211158</v>
          </cell>
          <cell r="S53">
            <v>2211158</v>
          </cell>
          <cell r="U53">
            <v>2208158</v>
          </cell>
          <cell r="W53">
            <v>3878158</v>
          </cell>
          <cell r="Y53">
            <v>3143158</v>
          </cell>
          <cell r="AA53">
            <v>2528158</v>
          </cell>
        </row>
        <row r="54">
          <cell r="E54">
            <v>150000</v>
          </cell>
          <cell r="G54">
            <v>130000</v>
          </cell>
          <cell r="I54">
            <v>130000</v>
          </cell>
          <cell r="K54">
            <v>150000</v>
          </cell>
          <cell r="M54">
            <v>170000</v>
          </cell>
          <cell r="O54">
            <v>160000</v>
          </cell>
          <cell r="Q54">
            <v>160000</v>
          </cell>
          <cell r="S54">
            <v>160000</v>
          </cell>
          <cell r="U54">
            <v>150000</v>
          </cell>
          <cell r="W54">
            <v>150000</v>
          </cell>
          <cell r="Y54">
            <v>150000</v>
          </cell>
          <cell r="AA54">
            <v>150000</v>
          </cell>
        </row>
        <row r="55">
          <cell r="E55">
            <v>1909994</v>
          </cell>
          <cell r="G55">
            <v>1806994</v>
          </cell>
          <cell r="I55">
            <v>2027575</v>
          </cell>
          <cell r="K55">
            <v>2337576</v>
          </cell>
          <cell r="M55">
            <v>2397576</v>
          </cell>
          <cell r="O55">
            <v>2375576</v>
          </cell>
          <cell r="Q55">
            <v>2371158</v>
          </cell>
          <cell r="S55">
            <v>2371158</v>
          </cell>
          <cell r="U55">
            <v>2358158</v>
          </cell>
          <cell r="W55">
            <v>4028158</v>
          </cell>
          <cell r="Y55">
            <v>3293158</v>
          </cell>
          <cell r="AA55">
            <v>2678158</v>
          </cell>
        </row>
        <row r="56">
          <cell r="E56">
            <v>0</v>
          </cell>
          <cell r="G56">
            <v>0</v>
          </cell>
          <cell r="I56">
            <v>0</v>
          </cell>
          <cell r="K56">
            <v>0</v>
          </cell>
          <cell r="M56">
            <v>0</v>
          </cell>
          <cell r="O56">
            <v>0</v>
          </cell>
          <cell r="Q56">
            <v>0</v>
          </cell>
          <cell r="S56">
            <v>0</v>
          </cell>
          <cell r="U56">
            <v>0</v>
          </cell>
          <cell r="W56">
            <v>0</v>
          </cell>
          <cell r="Y56">
            <v>0</v>
          </cell>
          <cell r="AA56">
            <v>0</v>
          </cell>
        </row>
        <row r="57">
          <cell r="E57">
            <v>1267505.7149999999</v>
          </cell>
          <cell r="G57">
            <v>1206765.7149999999</v>
          </cell>
          <cell r="I57">
            <v>1364418.8949999998</v>
          </cell>
          <cell r="K57">
            <v>1564125.0899999999</v>
          </cell>
          <cell r="M57">
            <v>1593815.0899999999</v>
          </cell>
          <cell r="O57">
            <v>1583305.0899999999</v>
          </cell>
          <cell r="Q57">
            <v>1583304.8839999998</v>
          </cell>
          <cell r="S57">
            <v>1582664.8839999998</v>
          </cell>
          <cell r="U57">
            <v>1579134.8839999998</v>
          </cell>
          <cell r="W57">
            <v>2553909.0499999998</v>
          </cell>
          <cell r="Y57">
            <v>2131869.0499999998</v>
          </cell>
          <cell r="AA57">
            <v>764593.22</v>
          </cell>
        </row>
        <row r="58">
          <cell r="E58">
            <v>107700</v>
          </cell>
          <cell r="G58">
            <v>93340</v>
          </cell>
          <cell r="I58">
            <v>92950</v>
          </cell>
          <cell r="K58">
            <v>107250</v>
          </cell>
          <cell r="M58">
            <v>121550</v>
          </cell>
          <cell r="O58">
            <v>114080</v>
          </cell>
          <cell r="Q58">
            <v>114400</v>
          </cell>
          <cell r="S58">
            <v>114400</v>
          </cell>
          <cell r="U58">
            <v>106500</v>
          </cell>
          <cell r="W58">
            <v>107250</v>
          </cell>
          <cell r="Y58">
            <v>107400</v>
          </cell>
          <cell r="AA58">
            <v>107100</v>
          </cell>
        </row>
        <row r="59">
          <cell r="E59">
            <v>0</v>
          </cell>
          <cell r="G59">
            <v>0</v>
          </cell>
          <cell r="I59">
            <v>0</v>
          </cell>
          <cell r="K59">
            <v>0</v>
          </cell>
          <cell r="M59">
            <v>0</v>
          </cell>
          <cell r="O59">
            <v>0</v>
          </cell>
          <cell r="Q59">
            <v>0</v>
          </cell>
          <cell r="S59">
            <v>140000</v>
          </cell>
          <cell r="U59">
            <v>140000</v>
          </cell>
          <cell r="W59">
            <v>290000</v>
          </cell>
          <cell r="Y59">
            <v>290000</v>
          </cell>
          <cell r="AA59">
            <v>1240000</v>
          </cell>
        </row>
        <row r="60">
          <cell r="E60">
            <v>0</v>
          </cell>
          <cell r="G60">
            <v>0</v>
          </cell>
          <cell r="I60">
            <v>0</v>
          </cell>
          <cell r="K60">
            <v>0</v>
          </cell>
          <cell r="M60">
            <v>0</v>
          </cell>
          <cell r="O60">
            <v>0</v>
          </cell>
          <cell r="Q60">
            <v>0</v>
          </cell>
          <cell r="S60">
            <v>0</v>
          </cell>
          <cell r="U60">
            <v>0</v>
          </cell>
          <cell r="W60">
            <v>0</v>
          </cell>
          <cell r="Y60">
            <v>0</v>
          </cell>
          <cell r="AA60">
            <v>0</v>
          </cell>
        </row>
        <row r="61">
          <cell r="E61">
            <v>1375205.7149999999</v>
          </cell>
          <cell r="G61">
            <v>1300105.7149999999</v>
          </cell>
          <cell r="I61">
            <v>1457368.8949999998</v>
          </cell>
          <cell r="K61">
            <v>1671375.0899999999</v>
          </cell>
          <cell r="M61">
            <v>1715365.0899999999</v>
          </cell>
          <cell r="O61">
            <v>1697385.0899999999</v>
          </cell>
          <cell r="Q61">
            <v>1697704.8839999998</v>
          </cell>
          <cell r="S61">
            <v>1837064.8839999998</v>
          </cell>
          <cell r="U61">
            <v>1825634.8839999998</v>
          </cell>
          <cell r="W61">
            <v>2951159.05</v>
          </cell>
          <cell r="Y61">
            <v>2529269.0499999998</v>
          </cell>
          <cell r="AA61">
            <v>2111693.2199999997</v>
          </cell>
        </row>
        <row r="62">
          <cell r="E62">
            <v>0</v>
          </cell>
          <cell r="G62">
            <v>0</v>
          </cell>
          <cell r="I62">
            <v>0</v>
          </cell>
          <cell r="K62">
            <v>0</v>
          </cell>
          <cell r="M62">
            <v>0</v>
          </cell>
          <cell r="O62">
            <v>0</v>
          </cell>
          <cell r="Q62">
            <v>0</v>
          </cell>
          <cell r="S62">
            <v>0</v>
          </cell>
          <cell r="U62">
            <v>0</v>
          </cell>
          <cell r="W62">
            <v>0</v>
          </cell>
          <cell r="Y62">
            <v>0</v>
          </cell>
          <cell r="AA62">
            <v>0</v>
          </cell>
        </row>
        <row r="63">
          <cell r="E63">
            <v>534788.28500000015</v>
          </cell>
          <cell r="G63">
            <v>506888.28500000015</v>
          </cell>
          <cell r="I63">
            <v>570206.10500000021</v>
          </cell>
          <cell r="K63">
            <v>666200.91000000015</v>
          </cell>
          <cell r="M63">
            <v>682210.91000000015</v>
          </cell>
          <cell r="O63">
            <v>678190.91000000015</v>
          </cell>
          <cell r="Q63">
            <v>673453.11600000015</v>
          </cell>
          <cell r="S63">
            <v>534093.11600000015</v>
          </cell>
          <cell r="U63">
            <v>532523.11600000015</v>
          </cell>
          <cell r="W63">
            <v>1076998.9500000002</v>
          </cell>
          <cell r="Y63">
            <v>763888.95000000019</v>
          </cell>
          <cell r="AA63">
            <v>566464.78000000026</v>
          </cell>
        </row>
        <row r="64">
          <cell r="E64">
            <v>0</v>
          </cell>
          <cell r="G64">
            <v>0</v>
          </cell>
          <cell r="I64">
            <v>0</v>
          </cell>
          <cell r="K64">
            <v>0</v>
          </cell>
          <cell r="M64">
            <v>0</v>
          </cell>
          <cell r="O64">
            <v>0</v>
          </cell>
          <cell r="Q64">
            <v>0</v>
          </cell>
          <cell r="S64">
            <v>0</v>
          </cell>
          <cell r="U64">
            <v>0</v>
          </cell>
          <cell r="W64">
            <v>0</v>
          </cell>
          <cell r="Y64">
            <v>0</v>
          </cell>
          <cell r="AA64">
            <v>0</v>
          </cell>
        </row>
        <row r="65">
          <cell r="E65">
            <v>50424.904991999996</v>
          </cell>
          <cell r="G65">
            <v>50424.904991999996</v>
          </cell>
          <cell r="I65">
            <v>50424.904991999996</v>
          </cell>
          <cell r="K65">
            <v>50424.904991999996</v>
          </cell>
          <cell r="M65">
            <v>50424.904991999996</v>
          </cell>
          <cell r="O65">
            <v>50424.904991999996</v>
          </cell>
          <cell r="Q65">
            <v>50424.904991999996</v>
          </cell>
          <cell r="S65">
            <v>50424.904991999996</v>
          </cell>
          <cell r="U65">
            <v>50424.904991999996</v>
          </cell>
          <cell r="W65">
            <v>50424.904991999996</v>
          </cell>
          <cell r="Y65">
            <v>50424.904991999996</v>
          </cell>
          <cell r="AA65">
            <v>50424.904991999996</v>
          </cell>
        </row>
        <row r="66">
          <cell r="E66">
            <v>127840.06286979167</v>
          </cell>
          <cell r="G66">
            <v>127840.06286979167</v>
          </cell>
          <cell r="I66">
            <v>127840.06286979167</v>
          </cell>
          <cell r="K66">
            <v>127840.06286979167</v>
          </cell>
          <cell r="M66">
            <v>127840.06286979167</v>
          </cell>
          <cell r="O66">
            <v>127840.06286979167</v>
          </cell>
          <cell r="Q66">
            <v>127840.06286979167</v>
          </cell>
          <cell r="S66">
            <v>127840.06286979167</v>
          </cell>
          <cell r="U66">
            <v>127840.06286979167</v>
          </cell>
          <cell r="W66">
            <v>127840.06286979167</v>
          </cell>
          <cell r="Y66">
            <v>127840.06286979167</v>
          </cell>
          <cell r="AA66">
            <v>127840.06286979167</v>
          </cell>
        </row>
        <row r="67">
          <cell r="E67">
            <v>3000</v>
          </cell>
          <cell r="G67">
            <v>3000</v>
          </cell>
          <cell r="I67">
            <v>3000</v>
          </cell>
          <cell r="K67">
            <v>3000</v>
          </cell>
          <cell r="M67">
            <v>3000</v>
          </cell>
          <cell r="O67">
            <v>3000</v>
          </cell>
          <cell r="Q67">
            <v>3000</v>
          </cell>
          <cell r="S67">
            <v>3000</v>
          </cell>
          <cell r="U67">
            <v>3000</v>
          </cell>
          <cell r="W67">
            <v>3000</v>
          </cell>
          <cell r="Y67">
            <v>3000</v>
          </cell>
          <cell r="AA67">
            <v>3000</v>
          </cell>
        </row>
        <row r="68">
          <cell r="E68">
            <v>10000</v>
          </cell>
          <cell r="G68">
            <v>10000</v>
          </cell>
          <cell r="I68">
            <v>10000</v>
          </cell>
          <cell r="K68">
            <v>10000</v>
          </cell>
          <cell r="M68">
            <v>10000</v>
          </cell>
          <cell r="O68">
            <v>10000</v>
          </cell>
          <cell r="Q68">
            <v>10000</v>
          </cell>
          <cell r="S68">
            <v>10000</v>
          </cell>
          <cell r="U68">
            <v>10000</v>
          </cell>
          <cell r="W68">
            <v>10000</v>
          </cell>
          <cell r="Y68">
            <v>10000</v>
          </cell>
          <cell r="AA68">
            <v>10000</v>
          </cell>
        </row>
        <row r="69">
          <cell r="E69">
            <v>10000</v>
          </cell>
          <cell r="G69">
            <v>10000</v>
          </cell>
          <cell r="I69">
            <v>10000</v>
          </cell>
          <cell r="K69">
            <v>90000</v>
          </cell>
          <cell r="M69">
            <v>10000</v>
          </cell>
          <cell r="O69">
            <v>10000</v>
          </cell>
          <cell r="Q69">
            <v>10000</v>
          </cell>
          <cell r="S69">
            <v>120000</v>
          </cell>
          <cell r="U69">
            <v>40000</v>
          </cell>
          <cell r="W69">
            <v>120000</v>
          </cell>
          <cell r="Y69">
            <v>40000</v>
          </cell>
          <cell r="AA69">
            <v>150000</v>
          </cell>
        </row>
        <row r="70">
          <cell r="E70">
            <v>0</v>
          </cell>
          <cell r="G70">
            <v>0</v>
          </cell>
          <cell r="I70">
            <v>0</v>
          </cell>
          <cell r="K70">
            <v>0</v>
          </cell>
          <cell r="M70">
            <v>0</v>
          </cell>
          <cell r="O70">
            <v>0</v>
          </cell>
          <cell r="Q70">
            <v>0</v>
          </cell>
          <cell r="S70">
            <v>0</v>
          </cell>
          <cell r="U70">
            <v>0</v>
          </cell>
          <cell r="W70">
            <v>0</v>
          </cell>
          <cell r="Y70">
            <v>0</v>
          </cell>
          <cell r="AA70">
            <v>0</v>
          </cell>
        </row>
        <row r="71">
          <cell r="E71">
            <v>201264.96786179167</v>
          </cell>
          <cell r="G71">
            <v>201264.96786179167</v>
          </cell>
          <cell r="I71">
            <v>201264.96786179167</v>
          </cell>
          <cell r="K71">
            <v>281264.96786179167</v>
          </cell>
          <cell r="M71">
            <v>201264.96786179167</v>
          </cell>
          <cell r="O71">
            <v>201264.96786179167</v>
          </cell>
          <cell r="Q71">
            <v>201264.96786179167</v>
          </cell>
          <cell r="S71">
            <v>311264.96786179167</v>
          </cell>
          <cell r="U71">
            <v>231264.96786179167</v>
          </cell>
          <cell r="W71">
            <v>311264.96786179167</v>
          </cell>
          <cell r="Y71">
            <v>231264.96786179167</v>
          </cell>
          <cell r="AA71">
            <v>341264.96786179167</v>
          </cell>
        </row>
        <row r="72">
          <cell r="E72">
            <v>0</v>
          </cell>
          <cell r="G72">
            <v>0</v>
          </cell>
          <cell r="I72">
            <v>0</v>
          </cell>
          <cell r="K72">
            <v>0</v>
          </cell>
          <cell r="M72">
            <v>0</v>
          </cell>
          <cell r="O72">
            <v>0</v>
          </cell>
          <cell r="Q72">
            <v>0</v>
          </cell>
          <cell r="S72">
            <v>0</v>
          </cell>
          <cell r="U72">
            <v>0</v>
          </cell>
          <cell r="W72">
            <v>0</v>
          </cell>
          <cell r="Y72">
            <v>0</v>
          </cell>
          <cell r="AA72">
            <v>0</v>
          </cell>
        </row>
        <row r="73">
          <cell r="E73">
            <v>333523.31713820848</v>
          </cell>
          <cell r="G73">
            <v>305623.31713820848</v>
          </cell>
          <cell r="I73">
            <v>368941.13713820855</v>
          </cell>
          <cell r="K73">
            <v>384935.94213820848</v>
          </cell>
          <cell r="M73">
            <v>480945.94213820848</v>
          </cell>
          <cell r="O73">
            <v>476925.94213820848</v>
          </cell>
          <cell r="Q73">
            <v>472188.14813820849</v>
          </cell>
          <cell r="S73">
            <v>222828.14813820849</v>
          </cell>
          <cell r="U73">
            <v>301258.14813820849</v>
          </cell>
          <cell r="W73">
            <v>765733.98213820858</v>
          </cell>
          <cell r="Y73">
            <v>532623.98213820858</v>
          </cell>
          <cell r="AA73">
            <v>225199.8121382086</v>
          </cell>
        </row>
        <row r="74">
          <cell r="E74">
            <v>0</v>
          </cell>
          <cell r="G74">
            <v>0</v>
          </cell>
          <cell r="I74">
            <v>0</v>
          </cell>
          <cell r="K74">
            <v>0</v>
          </cell>
          <cell r="M74">
            <v>0</v>
          </cell>
          <cell r="O74">
            <v>0</v>
          </cell>
          <cell r="Q74">
            <v>0</v>
          </cell>
          <cell r="S74">
            <v>0</v>
          </cell>
          <cell r="U74">
            <v>0</v>
          </cell>
          <cell r="W74">
            <v>0</v>
          </cell>
          <cell r="Y74">
            <v>0</v>
          </cell>
          <cell r="AA74">
            <v>0</v>
          </cell>
        </row>
        <row r="75">
          <cell r="E75">
            <v>5000</v>
          </cell>
          <cell r="G75">
            <v>5000</v>
          </cell>
          <cell r="I75">
            <v>5000</v>
          </cell>
          <cell r="K75">
            <v>5000</v>
          </cell>
          <cell r="M75">
            <v>5000</v>
          </cell>
          <cell r="O75">
            <v>5000</v>
          </cell>
          <cell r="Q75">
            <v>5000</v>
          </cell>
          <cell r="S75">
            <v>5000</v>
          </cell>
          <cell r="U75">
            <v>5000</v>
          </cell>
          <cell r="W75">
            <v>5000</v>
          </cell>
          <cell r="Y75">
            <v>5000</v>
          </cell>
          <cell r="AA75">
            <v>5000</v>
          </cell>
        </row>
        <row r="76">
          <cell r="E76">
            <v>0</v>
          </cell>
          <cell r="G76">
            <v>0</v>
          </cell>
          <cell r="I76">
            <v>0</v>
          </cell>
          <cell r="K76">
            <v>0</v>
          </cell>
          <cell r="M76">
            <v>0</v>
          </cell>
          <cell r="O76">
            <v>0</v>
          </cell>
          <cell r="Q76">
            <v>0</v>
          </cell>
          <cell r="S76">
            <v>0</v>
          </cell>
          <cell r="U76">
            <v>0</v>
          </cell>
          <cell r="W76">
            <v>0</v>
          </cell>
          <cell r="Y76">
            <v>0</v>
          </cell>
          <cell r="AA76">
            <v>0</v>
          </cell>
        </row>
        <row r="77">
          <cell r="E77">
            <v>6000</v>
          </cell>
          <cell r="G77">
            <v>6000</v>
          </cell>
          <cell r="I77">
            <v>6000</v>
          </cell>
          <cell r="K77">
            <v>6000</v>
          </cell>
          <cell r="M77">
            <v>6000</v>
          </cell>
          <cell r="O77">
            <v>6000</v>
          </cell>
          <cell r="Q77">
            <v>6000</v>
          </cell>
          <cell r="S77">
            <v>6000</v>
          </cell>
          <cell r="U77">
            <v>6000</v>
          </cell>
          <cell r="W77">
            <v>6000</v>
          </cell>
          <cell r="Y77">
            <v>6000</v>
          </cell>
          <cell r="AA77">
            <v>6000</v>
          </cell>
        </row>
        <row r="78">
          <cell r="E78">
            <v>11000</v>
          </cell>
          <cell r="G78">
            <v>11000</v>
          </cell>
          <cell r="I78">
            <v>11000</v>
          </cell>
          <cell r="K78">
            <v>11000</v>
          </cell>
          <cell r="M78">
            <v>11000</v>
          </cell>
          <cell r="O78">
            <v>11000</v>
          </cell>
          <cell r="Q78">
            <v>11000</v>
          </cell>
          <cell r="S78">
            <v>11000</v>
          </cell>
          <cell r="U78">
            <v>11000</v>
          </cell>
          <cell r="W78">
            <v>11000</v>
          </cell>
          <cell r="Y78">
            <v>11000</v>
          </cell>
          <cell r="AA78">
            <v>11000</v>
          </cell>
        </row>
        <row r="79">
          <cell r="E79">
            <v>0</v>
          </cell>
          <cell r="G79">
            <v>0</v>
          </cell>
          <cell r="I79">
            <v>0</v>
          </cell>
          <cell r="K79">
            <v>0</v>
          </cell>
          <cell r="M79">
            <v>0</v>
          </cell>
          <cell r="O79">
            <v>0</v>
          </cell>
          <cell r="Q79">
            <v>0</v>
          </cell>
          <cell r="S79">
            <v>0</v>
          </cell>
          <cell r="U79">
            <v>0</v>
          </cell>
          <cell r="W79">
            <v>0</v>
          </cell>
          <cell r="Y79">
            <v>0</v>
          </cell>
          <cell r="AA79">
            <v>0</v>
          </cell>
        </row>
        <row r="80">
          <cell r="E80">
            <v>322523.31713820848</v>
          </cell>
          <cell r="G80">
            <v>294623.31713820848</v>
          </cell>
          <cell r="I80">
            <v>357941.13713820855</v>
          </cell>
          <cell r="K80">
            <v>373935.94213820848</v>
          </cell>
          <cell r="M80">
            <v>469945.94213820848</v>
          </cell>
          <cell r="O80">
            <v>465925.94213820848</v>
          </cell>
          <cell r="Q80">
            <v>461188.14813820849</v>
          </cell>
          <cell r="S80">
            <v>211828.14813820849</v>
          </cell>
          <cell r="U80">
            <v>290258.14813820849</v>
          </cell>
          <cell r="W80">
            <v>754733.98213820858</v>
          </cell>
          <cell r="Y80">
            <v>521623.98213820858</v>
          </cell>
          <cell r="AA80">
            <v>214199.8121382086</v>
          </cell>
        </row>
        <row r="81">
          <cell r="E81">
            <v>0</v>
          </cell>
          <cell r="G81">
            <v>0</v>
          </cell>
          <cell r="I81">
            <v>0</v>
          </cell>
          <cell r="K81">
            <v>0</v>
          </cell>
          <cell r="M81">
            <v>0</v>
          </cell>
          <cell r="O81">
            <v>0</v>
          </cell>
          <cell r="Q81">
            <v>0</v>
          </cell>
          <cell r="S81">
            <v>0</v>
          </cell>
          <cell r="U81">
            <v>0</v>
          </cell>
          <cell r="W81">
            <v>0</v>
          </cell>
          <cell r="Y81">
            <v>0</v>
          </cell>
          <cell r="AA81">
            <v>0</v>
          </cell>
        </row>
        <row r="82">
          <cell r="E82">
            <v>48378.49757073127</v>
          </cell>
          <cell r="G82">
            <v>44193.49757073127</v>
          </cell>
          <cell r="I82">
            <v>53691.170570731279</v>
          </cell>
          <cell r="K82">
            <v>56090.391320731273</v>
          </cell>
          <cell r="M82">
            <v>70491.891320731273</v>
          </cell>
          <cell r="O82">
            <v>69888.891320731273</v>
          </cell>
          <cell r="Q82">
            <v>69178.222220731273</v>
          </cell>
          <cell r="S82">
            <v>31774.222220731273</v>
          </cell>
          <cell r="U82">
            <v>43538.722220731273</v>
          </cell>
          <cell r="W82">
            <v>113210.09732073128</v>
          </cell>
          <cell r="Y82">
            <v>78243.597320731278</v>
          </cell>
          <cell r="AA82">
            <v>32129.971820731287</v>
          </cell>
        </row>
        <row r="83">
          <cell r="E83">
            <v>0</v>
          </cell>
          <cell r="G83">
            <v>0</v>
          </cell>
          <cell r="I83">
            <v>0</v>
          </cell>
          <cell r="K83">
            <v>0</v>
          </cell>
          <cell r="M83">
            <v>0</v>
          </cell>
          <cell r="O83">
            <v>0</v>
          </cell>
          <cell r="Q83">
            <v>0</v>
          </cell>
          <cell r="S83">
            <v>0</v>
          </cell>
          <cell r="U83">
            <v>0</v>
          </cell>
          <cell r="W83">
            <v>0</v>
          </cell>
          <cell r="Y83">
            <v>0</v>
          </cell>
          <cell r="AA83">
            <v>0</v>
          </cell>
        </row>
        <row r="84">
          <cell r="E84">
            <v>60311.860304844988</v>
          </cell>
          <cell r="G84">
            <v>55094.560304844985</v>
          </cell>
          <cell r="I84">
            <v>66934.992644844999</v>
          </cell>
          <cell r="K84">
            <v>69926.021179844989</v>
          </cell>
          <cell r="M84">
            <v>87879.891179844984</v>
          </cell>
          <cell r="O84">
            <v>87128.151179844994</v>
          </cell>
          <cell r="Q84">
            <v>86242.183701844988</v>
          </cell>
          <cell r="S84">
            <v>39611.863701844988</v>
          </cell>
          <cell r="U84">
            <v>54278.273701844992</v>
          </cell>
          <cell r="W84">
            <v>141135.254659845</v>
          </cell>
          <cell r="Y84">
            <v>97543.684659845007</v>
          </cell>
          <cell r="AA84">
            <v>40055.364869845005</v>
          </cell>
        </row>
        <row r="85">
          <cell r="E85">
            <v>0</v>
          </cell>
          <cell r="G85">
            <v>0</v>
          </cell>
          <cell r="I85">
            <v>0</v>
          </cell>
          <cell r="K85">
            <v>0</v>
          </cell>
          <cell r="M85">
            <v>0</v>
          </cell>
          <cell r="O85">
            <v>0</v>
          </cell>
          <cell r="Q85">
            <v>0</v>
          </cell>
          <cell r="S85">
            <v>0</v>
          </cell>
          <cell r="U85">
            <v>0</v>
          </cell>
          <cell r="W85">
            <v>0</v>
          </cell>
          <cell r="Y85">
            <v>0</v>
          </cell>
          <cell r="AA85">
            <v>0</v>
          </cell>
        </row>
        <row r="86">
          <cell r="E86">
            <v>213832.95926263224</v>
          </cell>
          <cell r="G86">
            <v>195335.25926263223</v>
          </cell>
          <cell r="I86">
            <v>237314.97392263229</v>
          </cell>
          <cell r="K86">
            <v>247919.52963763225</v>
          </cell>
          <cell r="M86">
            <v>311574.15963763226</v>
          </cell>
          <cell r="O86">
            <v>308908.89963763225</v>
          </cell>
          <cell r="Q86">
            <v>305767.74221563223</v>
          </cell>
          <cell r="S86">
            <v>140442.06221563224</v>
          </cell>
          <cell r="U86">
            <v>192441.15221563223</v>
          </cell>
          <cell r="W86">
            <v>500388.63015763229</v>
          </cell>
          <cell r="Y86">
            <v>345836.70015763229</v>
          </cell>
          <cell r="AA86">
            <v>142014.47544763229</v>
          </cell>
        </row>
        <row r="87">
          <cell r="E87">
            <v>0</v>
          </cell>
          <cell r="G87">
            <v>0</v>
          </cell>
          <cell r="I87">
            <v>0</v>
          </cell>
          <cell r="K87">
            <v>0</v>
          </cell>
          <cell r="M87">
            <v>0</v>
          </cell>
          <cell r="O87">
            <v>0</v>
          </cell>
          <cell r="Q87">
            <v>0</v>
          </cell>
          <cell r="S87">
            <v>0</v>
          </cell>
          <cell r="U87">
            <v>0</v>
          </cell>
          <cell r="W87">
            <v>0</v>
          </cell>
          <cell r="Y87">
            <v>0</v>
          </cell>
          <cell r="AA87">
            <v>0</v>
          </cell>
        </row>
        <row r="88">
          <cell r="E88">
            <v>50000</v>
          </cell>
          <cell r="G88">
            <v>50000</v>
          </cell>
          <cell r="I88">
            <v>50000</v>
          </cell>
          <cell r="K88">
            <v>50000</v>
          </cell>
          <cell r="M88">
            <v>50000</v>
          </cell>
          <cell r="O88">
            <v>50000</v>
          </cell>
          <cell r="Q88">
            <v>50000</v>
          </cell>
          <cell r="S88">
            <v>50000</v>
          </cell>
          <cell r="U88">
            <v>50000</v>
          </cell>
          <cell r="W88">
            <v>50000</v>
          </cell>
          <cell r="Y88">
            <v>55000</v>
          </cell>
          <cell r="AA88">
            <v>55000</v>
          </cell>
        </row>
        <row r="89">
          <cell r="E89">
            <v>0</v>
          </cell>
          <cell r="G89">
            <v>0</v>
          </cell>
          <cell r="I89">
            <v>0</v>
          </cell>
          <cell r="K89">
            <v>0</v>
          </cell>
          <cell r="M89">
            <v>0</v>
          </cell>
          <cell r="O89">
            <v>0</v>
          </cell>
          <cell r="Q89">
            <v>0</v>
          </cell>
          <cell r="S89">
            <v>0</v>
          </cell>
          <cell r="U89">
            <v>0</v>
          </cell>
          <cell r="W89">
            <v>0</v>
          </cell>
          <cell r="Y89">
            <v>0</v>
          </cell>
          <cell r="AA89">
            <v>0</v>
          </cell>
        </row>
        <row r="90">
          <cell r="E90">
            <v>263832.95926263224</v>
          </cell>
          <cell r="G90">
            <v>245335.25926263223</v>
          </cell>
          <cell r="I90">
            <v>287314.97392263229</v>
          </cell>
          <cell r="K90">
            <v>297919.52963763225</v>
          </cell>
          <cell r="M90">
            <v>361574.15963763226</v>
          </cell>
          <cell r="O90">
            <v>358908.89963763225</v>
          </cell>
          <cell r="Q90">
            <v>355767.74221563223</v>
          </cell>
          <cell r="S90">
            <v>190442.06221563224</v>
          </cell>
          <cell r="U90">
            <v>242441.15221563223</v>
          </cell>
          <cell r="W90">
            <v>550388.63015763229</v>
          </cell>
          <cell r="Y90">
            <v>400836.70015763229</v>
          </cell>
          <cell r="AA90">
            <v>197014.47544763229</v>
          </cell>
        </row>
        <row r="91">
          <cell r="E91">
            <v>0</v>
          </cell>
          <cell r="G91">
            <v>0</v>
          </cell>
          <cell r="I91">
            <v>0</v>
          </cell>
          <cell r="K91">
            <v>0</v>
          </cell>
          <cell r="M91">
            <v>0</v>
          </cell>
          <cell r="O91">
            <v>0</v>
          </cell>
          <cell r="Q91">
            <v>0</v>
          </cell>
          <cell r="S91">
            <v>0</v>
          </cell>
          <cell r="U91">
            <v>0</v>
          </cell>
          <cell r="W91">
            <v>0</v>
          </cell>
          <cell r="Y91">
            <v>0</v>
          </cell>
          <cell r="AA91">
            <v>0</v>
          </cell>
        </row>
        <row r="92">
          <cell r="E92">
            <v>329144.81956747721</v>
          </cell>
          <cell r="G92">
            <v>305429.81956747721</v>
          </cell>
          <cell r="I92">
            <v>359249.96656747727</v>
          </cell>
          <cell r="K92">
            <v>372845.55081747723</v>
          </cell>
          <cell r="M92">
            <v>454454.05081747723</v>
          </cell>
          <cell r="O92">
            <v>451037.05081747723</v>
          </cell>
          <cell r="Q92">
            <v>447009.92591747723</v>
          </cell>
          <cell r="S92">
            <v>235053.92591747723</v>
          </cell>
          <cell r="U92">
            <v>301719.42591747723</v>
          </cell>
          <cell r="W92">
            <v>696523.88481747732</v>
          </cell>
          <cell r="Y92">
            <v>503380.38481747732</v>
          </cell>
          <cell r="AA92">
            <v>242069.8403174773</v>
          </cell>
        </row>
      </sheetData>
      <sheetData sheetId="13"/>
      <sheetData sheetId="14">
        <row r="17">
          <cell r="C17">
            <v>60.703102095264867</v>
          </cell>
          <cell r="I17">
            <v>46</v>
          </cell>
        </row>
      </sheetData>
      <sheetData sheetId="15">
        <row r="34">
          <cell r="C34">
            <v>131</v>
          </cell>
          <cell r="G34">
            <v>136</v>
          </cell>
        </row>
      </sheetData>
      <sheetData sheetId="16">
        <row r="2">
          <cell r="A2" t="str">
            <v>Sistema Integrado LUCAS</v>
          </cell>
          <cell r="O2" t="str">
            <v>Fecha Imp 2021.10.20</v>
          </cell>
        </row>
        <row r="4">
          <cell r="A4" t="str">
            <v xml:space="preserve">GRAFIMPAC 2014                                                                                      </v>
          </cell>
        </row>
        <row r="5">
          <cell r="A5" t="str">
            <v xml:space="preserve">Estado Financiero </v>
          </cell>
        </row>
        <row r="6">
          <cell r="A6" t="str">
            <v>Estado de Situación Financiera</v>
          </cell>
        </row>
        <row r="7">
          <cell r="D7" t="str">
            <v>Desde  el     1 de Enero de 2021</v>
          </cell>
        </row>
        <row r="8">
          <cell r="A8" t="str">
            <v>Al   31 de Octubre de 2021</v>
          </cell>
        </row>
        <row r="10">
          <cell r="A10" t="str">
            <v>Cuenta Contable</v>
          </cell>
          <cell r="B10" t="str">
            <v>Nombre de la Cuenta</v>
          </cell>
          <cell r="C10" t="str">
            <v>Saldo Anterior</v>
          </cell>
          <cell r="D10" t="str">
            <v>Enero</v>
          </cell>
          <cell r="E10" t="str">
            <v>Febrero</v>
          </cell>
          <cell r="F10" t="str">
            <v>Marzo</v>
          </cell>
          <cell r="G10" t="str">
            <v>Abril</v>
          </cell>
          <cell r="H10" t="str">
            <v>Mayo</v>
          </cell>
          <cell r="I10" t="str">
            <v>Junio</v>
          </cell>
          <cell r="J10" t="str">
            <v>Julio</v>
          </cell>
          <cell r="K10" t="str">
            <v>Agosto</v>
          </cell>
          <cell r="L10" t="str">
            <v>Septiembre</v>
          </cell>
          <cell r="M10" t="str">
            <v>Octubre</v>
          </cell>
          <cell r="N10" t="str">
            <v>Noviembre</v>
          </cell>
          <cell r="O10" t="str">
            <v>Diciembre</v>
          </cell>
          <cell r="P10" t="str">
            <v>Saldo Actual</v>
          </cell>
          <cell r="R10" t="str">
            <v>Enero</v>
          </cell>
          <cell r="S10" t="str">
            <v>Febrero</v>
          </cell>
          <cell r="T10" t="str">
            <v>Marzo</v>
          </cell>
          <cell r="U10" t="str">
            <v>Abril</v>
          </cell>
          <cell r="V10" t="str">
            <v>Mayo</v>
          </cell>
          <cell r="W10" t="str">
            <v>Junio</v>
          </cell>
          <cell r="X10" t="str">
            <v>Julio</v>
          </cell>
          <cell r="Y10" t="str">
            <v>Agosto</v>
          </cell>
          <cell r="Z10" t="str">
            <v>Septiembre</v>
          </cell>
          <cell r="AA10" t="str">
            <v>Octubre</v>
          </cell>
          <cell r="AB10" t="str">
            <v>Noviembre</v>
          </cell>
          <cell r="AC10" t="str">
            <v>Diciembre</v>
          </cell>
        </row>
        <row r="11">
          <cell r="A11">
            <v>1</v>
          </cell>
          <cell r="B11" t="str">
            <v xml:space="preserve">ACTIVO                                                                </v>
          </cell>
          <cell r="C11">
            <v>19057792.93</v>
          </cell>
          <cell r="D11">
            <v>-348640.72</v>
          </cell>
          <cell r="E11">
            <v>599978.75</v>
          </cell>
          <cell r="F11">
            <v>978489.39</v>
          </cell>
          <cell r="G11">
            <v>-130555.8</v>
          </cell>
          <cell r="H11">
            <v>112136.01</v>
          </cell>
          <cell r="I11">
            <v>1528914.57</v>
          </cell>
          <cell r="J11">
            <v>1213517.8700000001</v>
          </cell>
          <cell r="K11">
            <v>-726972.3</v>
          </cell>
          <cell r="L11">
            <v>2068602.01</v>
          </cell>
          <cell r="M11">
            <v>1625292.03</v>
          </cell>
          <cell r="N11">
            <v>4045654</v>
          </cell>
          <cell r="O11">
            <v>-2429344.67</v>
          </cell>
          <cell r="P11">
            <v>27594864.07</v>
          </cell>
          <cell r="Q11">
            <v>2108724.1500000004</v>
          </cell>
          <cell r="R11">
            <v>18709152.210000001</v>
          </cell>
          <cell r="S11">
            <v>19309130.960000001</v>
          </cell>
          <cell r="T11">
            <v>20287620.350000001</v>
          </cell>
          <cell r="U11">
            <v>20157064.550000001</v>
          </cell>
          <cell r="V11">
            <v>20269200.560000002</v>
          </cell>
          <cell r="W11">
            <v>21798115.130000003</v>
          </cell>
          <cell r="X11">
            <v>23011633.000000004</v>
          </cell>
          <cell r="Y11">
            <v>22284660.700000003</v>
          </cell>
          <cell r="Z11">
            <v>24353262.710000005</v>
          </cell>
          <cell r="AA11">
            <v>25978554.740000006</v>
          </cell>
          <cell r="AB11">
            <v>30024208.740000006</v>
          </cell>
          <cell r="AC11">
            <v>27594864.070000008</v>
          </cell>
        </row>
        <row r="12">
          <cell r="A12">
            <v>101</v>
          </cell>
          <cell r="B12" t="str">
            <v xml:space="preserve">ACTIVO CORRIENTE                                                      </v>
          </cell>
          <cell r="C12">
            <v>12331434.689999999</v>
          </cell>
          <cell r="D12">
            <v>-296451.96999999997</v>
          </cell>
          <cell r="E12">
            <v>648113.86</v>
          </cell>
          <cell r="F12">
            <v>1001440.19</v>
          </cell>
          <cell r="G12">
            <v>-87723.39</v>
          </cell>
          <cell r="H12">
            <v>158644.16</v>
          </cell>
          <cell r="I12">
            <v>1468050.17</v>
          </cell>
          <cell r="J12">
            <v>-247965.45</v>
          </cell>
          <cell r="K12">
            <v>-684069.33</v>
          </cell>
          <cell r="L12">
            <v>2117903.6</v>
          </cell>
          <cell r="M12">
            <v>1656592.89</v>
          </cell>
          <cell r="N12">
            <v>4094940.81</v>
          </cell>
          <cell r="O12">
            <v>-2380129.66</v>
          </cell>
          <cell r="P12">
            <v>19780780.57</v>
          </cell>
          <cell r="R12">
            <v>12034982.719999999</v>
          </cell>
          <cell r="S12">
            <v>12683096.579999998</v>
          </cell>
          <cell r="T12">
            <v>13684536.769999998</v>
          </cell>
          <cell r="U12">
            <v>13596813.379999997</v>
          </cell>
          <cell r="V12">
            <v>13755457.539999997</v>
          </cell>
          <cell r="W12">
            <v>15223507.709999997</v>
          </cell>
          <cell r="X12">
            <v>14975542.259999998</v>
          </cell>
          <cell r="Y12">
            <v>14291472.929999998</v>
          </cell>
          <cell r="Z12">
            <v>16409376.529999997</v>
          </cell>
          <cell r="AA12">
            <v>18065969.419999998</v>
          </cell>
          <cell r="AB12">
            <v>22160910.229999997</v>
          </cell>
          <cell r="AC12">
            <v>19780780.569999997</v>
          </cell>
        </row>
        <row r="13">
          <cell r="A13">
            <v>10101</v>
          </cell>
          <cell r="B13" t="str">
            <v xml:space="preserve">EFECTIVO Y EQUIVALENTES AL EFECTIVO                                   </v>
          </cell>
          <cell r="C13">
            <v>777263.99</v>
          </cell>
          <cell r="D13">
            <v>-458585.59999999998</v>
          </cell>
          <cell r="E13">
            <v>272056.65000000002</v>
          </cell>
          <cell r="F13">
            <v>885548.61</v>
          </cell>
          <cell r="G13">
            <v>-190520.35</v>
          </cell>
          <cell r="H13">
            <v>-504715.53</v>
          </cell>
          <cell r="I13">
            <v>605178.51</v>
          </cell>
          <cell r="J13">
            <v>-829877.81</v>
          </cell>
          <cell r="K13">
            <v>305336.99</v>
          </cell>
          <cell r="L13">
            <v>860615.29</v>
          </cell>
          <cell r="M13">
            <v>1572627.25</v>
          </cell>
          <cell r="N13">
            <v>922573.99</v>
          </cell>
          <cell r="O13">
            <v>1232816.29</v>
          </cell>
          <cell r="P13">
            <v>5450318.2800000003</v>
          </cell>
          <cell r="R13">
            <v>318678.39</v>
          </cell>
          <cell r="S13">
            <v>590735.04</v>
          </cell>
          <cell r="T13">
            <v>1476283.65</v>
          </cell>
          <cell r="U13">
            <v>1285763.2999999998</v>
          </cell>
          <cell r="V13">
            <v>781047.76999999979</v>
          </cell>
          <cell r="W13">
            <v>1386226.2799999998</v>
          </cell>
          <cell r="X13">
            <v>556348.46999999974</v>
          </cell>
          <cell r="Y13">
            <v>861685.45999999973</v>
          </cell>
          <cell r="Z13">
            <v>1722300.7499999998</v>
          </cell>
          <cell r="AA13">
            <v>3294928</v>
          </cell>
          <cell r="AB13">
            <v>4217501.99</v>
          </cell>
          <cell r="AC13">
            <v>5450318.2800000003</v>
          </cell>
        </row>
        <row r="14">
          <cell r="A14">
            <v>1010101</v>
          </cell>
          <cell r="B14" t="str">
            <v xml:space="preserve">CAJA                                                                  </v>
          </cell>
          <cell r="C14">
            <v>2310</v>
          </cell>
          <cell r="D14">
            <v>-600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20000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21710</v>
          </cell>
          <cell r="R14">
            <v>1710</v>
          </cell>
          <cell r="S14">
            <v>1710</v>
          </cell>
          <cell r="T14">
            <v>1710</v>
          </cell>
          <cell r="U14">
            <v>1710</v>
          </cell>
          <cell r="V14">
            <v>1710</v>
          </cell>
          <cell r="W14">
            <v>1710</v>
          </cell>
          <cell r="X14">
            <v>1710</v>
          </cell>
          <cell r="Y14">
            <v>21710</v>
          </cell>
          <cell r="Z14">
            <v>21710</v>
          </cell>
          <cell r="AA14">
            <v>21710</v>
          </cell>
          <cell r="AB14">
            <v>21710</v>
          </cell>
          <cell r="AC14">
            <v>21710</v>
          </cell>
        </row>
        <row r="15">
          <cell r="A15">
            <v>101010101</v>
          </cell>
          <cell r="B15" t="str">
            <v xml:space="preserve">CAJA CHICA                                                            </v>
          </cell>
          <cell r="C15">
            <v>2310</v>
          </cell>
          <cell r="D15">
            <v>-600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20000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21710</v>
          </cell>
          <cell r="R15">
            <v>1710</v>
          </cell>
          <cell r="S15">
            <v>1710</v>
          </cell>
          <cell r="T15">
            <v>1710</v>
          </cell>
          <cell r="U15">
            <v>1710</v>
          </cell>
          <cell r="V15">
            <v>1710</v>
          </cell>
          <cell r="W15">
            <v>1710</v>
          </cell>
          <cell r="X15">
            <v>1710</v>
          </cell>
          <cell r="Y15">
            <v>21710</v>
          </cell>
          <cell r="Z15">
            <v>21710</v>
          </cell>
          <cell r="AA15">
            <v>21710</v>
          </cell>
          <cell r="AB15">
            <v>21710</v>
          </cell>
          <cell r="AC15">
            <v>21710</v>
          </cell>
        </row>
        <row r="16">
          <cell r="A16">
            <v>101010101001</v>
          </cell>
          <cell r="B16" t="str">
            <v xml:space="preserve">Caja Chica Administracion                                             </v>
          </cell>
          <cell r="C16">
            <v>1710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1710</v>
          </cell>
          <cell r="R16">
            <v>1710</v>
          </cell>
          <cell r="S16">
            <v>1710</v>
          </cell>
          <cell r="T16">
            <v>1710</v>
          </cell>
          <cell r="U16">
            <v>1710</v>
          </cell>
          <cell r="V16">
            <v>1710</v>
          </cell>
          <cell r="W16">
            <v>1710</v>
          </cell>
          <cell r="X16">
            <v>1710</v>
          </cell>
          <cell r="Y16">
            <v>1710</v>
          </cell>
          <cell r="Z16">
            <v>1710</v>
          </cell>
          <cell r="AA16">
            <v>1710</v>
          </cell>
          <cell r="AB16">
            <v>1710</v>
          </cell>
          <cell r="AC16">
            <v>1710</v>
          </cell>
        </row>
        <row r="17">
          <cell r="A17">
            <v>101010101002</v>
          </cell>
          <cell r="B17" t="str">
            <v xml:space="preserve">Caja Chica Ventas                                                     </v>
          </cell>
          <cell r="C17">
            <v>600</v>
          </cell>
          <cell r="D17">
            <v>-600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</row>
        <row r="18">
          <cell r="A18">
            <v>101010101006</v>
          </cell>
          <cell r="B18" t="str">
            <v xml:space="preserve">Caja Eventual                                                         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20000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20000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20000</v>
          </cell>
          <cell r="Z18">
            <v>20000</v>
          </cell>
          <cell r="AA18">
            <v>20000</v>
          </cell>
          <cell r="AB18">
            <v>20000</v>
          </cell>
          <cell r="AC18">
            <v>20000</v>
          </cell>
        </row>
        <row r="19">
          <cell r="A19">
            <v>1010102</v>
          </cell>
          <cell r="B19" t="str">
            <v xml:space="preserve">BANCOS                                                                </v>
          </cell>
          <cell r="C19">
            <v>774953.99</v>
          </cell>
          <cell r="D19">
            <v>-457985.6</v>
          </cell>
          <cell r="E19">
            <v>272056.65000000002</v>
          </cell>
          <cell r="F19">
            <v>885548.61</v>
          </cell>
          <cell r="G19">
            <v>-190520.35</v>
          </cell>
          <cell r="H19">
            <v>-504715.53</v>
          </cell>
          <cell r="I19">
            <v>605178.51</v>
          </cell>
          <cell r="J19">
            <v>-829877.81</v>
          </cell>
          <cell r="K19">
            <v>285336.99</v>
          </cell>
          <cell r="L19">
            <v>860615.29</v>
          </cell>
          <cell r="M19">
            <v>1572627.25</v>
          </cell>
          <cell r="N19">
            <v>922573.99</v>
          </cell>
          <cell r="O19">
            <v>1232816.29</v>
          </cell>
          <cell r="P19">
            <v>5428608.2800000003</v>
          </cell>
          <cell r="R19">
            <v>316968.39</v>
          </cell>
          <cell r="S19">
            <v>589025.04</v>
          </cell>
          <cell r="T19">
            <v>1474573.65</v>
          </cell>
          <cell r="U19">
            <v>1284053.2999999998</v>
          </cell>
          <cell r="V19">
            <v>779337.76999999979</v>
          </cell>
          <cell r="W19">
            <v>1384516.2799999998</v>
          </cell>
          <cell r="X19">
            <v>554638.46999999974</v>
          </cell>
          <cell r="Y19">
            <v>839975.45999999973</v>
          </cell>
          <cell r="Z19">
            <v>1700590.7499999998</v>
          </cell>
          <cell r="AA19">
            <v>3273218</v>
          </cell>
          <cell r="AB19">
            <v>4195791.99</v>
          </cell>
          <cell r="AC19">
            <v>5428608.2800000003</v>
          </cell>
        </row>
        <row r="20">
          <cell r="A20">
            <v>101010201</v>
          </cell>
          <cell r="B20" t="str">
            <v xml:space="preserve">BANCOS NACIONALES                                                     </v>
          </cell>
          <cell r="C20">
            <v>761822.71999999997</v>
          </cell>
          <cell r="D20">
            <v>-457985.6</v>
          </cell>
          <cell r="E20">
            <v>272056.65000000002</v>
          </cell>
          <cell r="F20">
            <v>885548.61</v>
          </cell>
          <cell r="G20">
            <v>-190520.35</v>
          </cell>
          <cell r="H20">
            <v>-504715.53</v>
          </cell>
          <cell r="I20">
            <v>605178.51</v>
          </cell>
          <cell r="J20">
            <v>-829911.54</v>
          </cell>
          <cell r="K20">
            <v>285336.99</v>
          </cell>
          <cell r="L20">
            <v>860615.29</v>
          </cell>
          <cell r="M20">
            <v>1585792.25</v>
          </cell>
          <cell r="N20">
            <v>922573.99</v>
          </cell>
          <cell r="O20">
            <v>1232816.29</v>
          </cell>
          <cell r="P20">
            <v>5428608.2800000003</v>
          </cell>
          <cell r="R20">
            <v>303837.12</v>
          </cell>
          <cell r="S20">
            <v>575893.77</v>
          </cell>
          <cell r="T20">
            <v>1461442.38</v>
          </cell>
          <cell r="U20">
            <v>1270922.0299999998</v>
          </cell>
          <cell r="V20">
            <v>766206.49999999977</v>
          </cell>
          <cell r="W20">
            <v>1371385.0099999998</v>
          </cell>
          <cell r="X20">
            <v>541473.46999999974</v>
          </cell>
          <cell r="Y20">
            <v>826810.45999999973</v>
          </cell>
          <cell r="Z20">
            <v>1687425.7499999998</v>
          </cell>
          <cell r="AA20">
            <v>3273218</v>
          </cell>
          <cell r="AB20">
            <v>4195791.99</v>
          </cell>
          <cell r="AC20">
            <v>5428608.2800000003</v>
          </cell>
        </row>
        <row r="21">
          <cell r="A21">
            <v>101010201001</v>
          </cell>
          <cell r="B21" t="str">
            <v xml:space="preserve">Banco de Guayaquil cta cte 263005-2                                   </v>
          </cell>
          <cell r="C21">
            <v>169433.65</v>
          </cell>
          <cell r="D21">
            <v>-17702.14</v>
          </cell>
          <cell r="E21">
            <v>-55486.01</v>
          </cell>
          <cell r="F21">
            <v>-2233.73</v>
          </cell>
          <cell r="G21">
            <v>16775.810000000001</v>
          </cell>
          <cell r="H21">
            <v>161801.89000000001</v>
          </cell>
          <cell r="I21">
            <v>-82663.740000000005</v>
          </cell>
          <cell r="J21">
            <v>-63524.72</v>
          </cell>
          <cell r="K21">
            <v>210435.09</v>
          </cell>
          <cell r="L21">
            <v>37859.9</v>
          </cell>
          <cell r="M21">
            <v>-126992.75</v>
          </cell>
          <cell r="N21">
            <v>256528.58</v>
          </cell>
          <cell r="O21">
            <v>28666.99</v>
          </cell>
          <cell r="P21">
            <v>532898.81999999995</v>
          </cell>
          <cell r="R21">
            <v>151731.51</v>
          </cell>
          <cell r="S21">
            <v>96245.5</v>
          </cell>
          <cell r="T21">
            <v>94011.77</v>
          </cell>
          <cell r="U21">
            <v>110787.58</v>
          </cell>
          <cell r="V21">
            <v>272589.47000000003</v>
          </cell>
          <cell r="W21">
            <v>189925.73000000004</v>
          </cell>
          <cell r="X21">
            <v>126401.01000000004</v>
          </cell>
          <cell r="Y21">
            <v>336836.10000000003</v>
          </cell>
          <cell r="Z21">
            <v>374696.00000000006</v>
          </cell>
          <cell r="AA21">
            <v>247703.25000000006</v>
          </cell>
          <cell r="AB21">
            <v>504231.83000000007</v>
          </cell>
          <cell r="AC21">
            <v>532898.82000000007</v>
          </cell>
        </row>
        <row r="22">
          <cell r="A22">
            <v>101010201002</v>
          </cell>
          <cell r="B22" t="str">
            <v xml:space="preserve">Banco Pichincha cta cte. 3504483604                                   </v>
          </cell>
          <cell r="C22">
            <v>63768.01</v>
          </cell>
          <cell r="D22">
            <v>-46144.83</v>
          </cell>
          <cell r="E22">
            <v>63019.56</v>
          </cell>
          <cell r="F22">
            <v>-14911.55</v>
          </cell>
          <cell r="G22">
            <v>17848.66</v>
          </cell>
          <cell r="H22">
            <v>-6575.01</v>
          </cell>
          <cell r="I22">
            <v>-12401.28</v>
          </cell>
          <cell r="J22">
            <v>33046.300000000003</v>
          </cell>
          <cell r="K22">
            <v>-12916.1</v>
          </cell>
          <cell r="L22">
            <v>-30130.799999999999</v>
          </cell>
          <cell r="M22">
            <v>84881.65</v>
          </cell>
          <cell r="N22">
            <v>27152.6</v>
          </cell>
          <cell r="O22">
            <v>16876.16</v>
          </cell>
          <cell r="P22">
            <v>183513.37</v>
          </cell>
          <cell r="R22">
            <v>17623.18</v>
          </cell>
          <cell r="S22">
            <v>80642.739999999991</v>
          </cell>
          <cell r="T22">
            <v>65731.189999999988</v>
          </cell>
          <cell r="U22">
            <v>83579.849999999991</v>
          </cell>
          <cell r="V22">
            <v>77004.84</v>
          </cell>
          <cell r="W22">
            <v>64603.56</v>
          </cell>
          <cell r="X22">
            <v>97649.86</v>
          </cell>
          <cell r="Y22">
            <v>84733.759999999995</v>
          </cell>
          <cell r="Z22">
            <v>54602.959999999992</v>
          </cell>
          <cell r="AA22">
            <v>139484.60999999999</v>
          </cell>
          <cell r="AB22">
            <v>166637.21</v>
          </cell>
          <cell r="AC22">
            <v>183513.37</v>
          </cell>
        </row>
        <row r="23">
          <cell r="A23">
            <v>101010201004</v>
          </cell>
          <cell r="B23" t="str">
            <v xml:space="preserve">Banco del Pacifico cta. cte. 0007736517                               </v>
          </cell>
          <cell r="C23">
            <v>10066.77</v>
          </cell>
          <cell r="D23">
            <v>-401.91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-9000</v>
          </cell>
          <cell r="K23">
            <v>0</v>
          </cell>
          <cell r="L23">
            <v>0</v>
          </cell>
          <cell r="M23">
            <v>0</v>
          </cell>
          <cell r="N23">
            <v>84586</v>
          </cell>
          <cell r="O23">
            <v>-80000</v>
          </cell>
          <cell r="P23">
            <v>5250.86</v>
          </cell>
          <cell r="R23">
            <v>9664.86</v>
          </cell>
          <cell r="S23">
            <v>9664.86</v>
          </cell>
          <cell r="T23">
            <v>9664.86</v>
          </cell>
          <cell r="U23">
            <v>9664.86</v>
          </cell>
          <cell r="V23">
            <v>9664.86</v>
          </cell>
          <cell r="W23">
            <v>9664.86</v>
          </cell>
          <cell r="X23">
            <v>664.86000000000058</v>
          </cell>
          <cell r="Y23">
            <v>664.86000000000058</v>
          </cell>
          <cell r="Z23">
            <v>664.86000000000058</v>
          </cell>
          <cell r="AA23">
            <v>664.86000000000058</v>
          </cell>
          <cell r="AB23">
            <v>85250.86</v>
          </cell>
          <cell r="AC23">
            <v>5250.8600000000006</v>
          </cell>
        </row>
        <row r="24">
          <cell r="A24">
            <v>101010201005</v>
          </cell>
          <cell r="B24" t="str">
            <v xml:space="preserve">Banco Procredit Cta. Cte 009030138187                                 </v>
          </cell>
          <cell r="C24">
            <v>18554.29</v>
          </cell>
          <cell r="D24">
            <v>106263.28</v>
          </cell>
          <cell r="E24">
            <v>264523.09999999998</v>
          </cell>
          <cell r="F24">
            <v>-347306.11</v>
          </cell>
          <cell r="G24">
            <v>24855.18</v>
          </cell>
          <cell r="H24">
            <v>190057.59</v>
          </cell>
          <cell r="I24">
            <v>243.53</v>
          </cell>
          <cell r="J24">
            <v>-130433.12</v>
          </cell>
          <cell r="K24">
            <v>77818</v>
          </cell>
          <cell r="L24">
            <v>502886.19</v>
          </cell>
          <cell r="M24">
            <v>-622096.65</v>
          </cell>
          <cell r="N24">
            <v>54306.81</v>
          </cell>
          <cell r="O24">
            <v>-28726.86</v>
          </cell>
          <cell r="P24">
            <v>110945.23</v>
          </cell>
          <cell r="R24">
            <v>124817.57</v>
          </cell>
          <cell r="S24">
            <v>389340.67</v>
          </cell>
          <cell r="T24">
            <v>42034.559999999998</v>
          </cell>
          <cell r="U24">
            <v>66889.739999999991</v>
          </cell>
          <cell r="V24">
            <v>256947.33</v>
          </cell>
          <cell r="W24">
            <v>257190.86</v>
          </cell>
          <cell r="X24">
            <v>126757.73999999999</v>
          </cell>
          <cell r="Y24">
            <v>204575.74</v>
          </cell>
          <cell r="Z24">
            <v>707461.92999999993</v>
          </cell>
          <cell r="AA24">
            <v>85365.279999999912</v>
          </cell>
          <cell r="AB24">
            <v>139672.08999999991</v>
          </cell>
          <cell r="AC24">
            <v>110945.22999999991</v>
          </cell>
        </row>
        <row r="25">
          <cell r="A25">
            <v>101010201006</v>
          </cell>
          <cell r="B25" t="str">
            <v xml:space="preserve">Banco Procredit Cta. Ahorro  00901011725643                           </v>
          </cell>
          <cell r="C25">
            <v>500000</v>
          </cell>
          <cell r="D25">
            <v>-500000</v>
          </cell>
          <cell r="E25">
            <v>0</v>
          </cell>
          <cell r="F25">
            <v>1250000</v>
          </cell>
          <cell r="G25">
            <v>-250000</v>
          </cell>
          <cell r="H25">
            <v>-850000</v>
          </cell>
          <cell r="I25">
            <v>700000</v>
          </cell>
          <cell r="J25">
            <v>-660000</v>
          </cell>
          <cell r="K25">
            <v>10000</v>
          </cell>
          <cell r="L25">
            <v>350000</v>
          </cell>
          <cell r="M25">
            <v>2250000</v>
          </cell>
          <cell r="N25">
            <v>500000</v>
          </cell>
          <cell r="O25">
            <v>1296000</v>
          </cell>
          <cell r="P25">
            <v>4596000</v>
          </cell>
          <cell r="R25">
            <v>0</v>
          </cell>
          <cell r="S25">
            <v>0</v>
          </cell>
          <cell r="T25">
            <v>1250000</v>
          </cell>
          <cell r="U25">
            <v>1000000</v>
          </cell>
          <cell r="V25">
            <v>150000</v>
          </cell>
          <cell r="W25">
            <v>850000</v>
          </cell>
          <cell r="X25">
            <v>190000</v>
          </cell>
          <cell r="Y25">
            <v>200000</v>
          </cell>
          <cell r="Z25">
            <v>550000</v>
          </cell>
          <cell r="AA25">
            <v>2800000</v>
          </cell>
          <cell r="AB25">
            <v>3300000</v>
          </cell>
          <cell r="AC25">
            <v>4596000</v>
          </cell>
        </row>
        <row r="26">
          <cell r="A26">
            <v>101010202</v>
          </cell>
          <cell r="B26" t="str">
            <v xml:space="preserve">BANCOS DEL EXTERIOR                                                   </v>
          </cell>
          <cell r="C26">
            <v>13131.27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33.729999999999997</v>
          </cell>
          <cell r="K26">
            <v>0</v>
          </cell>
          <cell r="L26">
            <v>0</v>
          </cell>
          <cell r="M26">
            <v>-13165</v>
          </cell>
          <cell r="N26">
            <v>0</v>
          </cell>
          <cell r="O26">
            <v>0</v>
          </cell>
          <cell r="P26">
            <v>0</v>
          </cell>
          <cell r="R26">
            <v>13131.27</v>
          </cell>
          <cell r="S26">
            <v>13131.27</v>
          </cell>
          <cell r="T26">
            <v>13131.27</v>
          </cell>
          <cell r="U26">
            <v>13131.27</v>
          </cell>
          <cell r="V26">
            <v>13131.27</v>
          </cell>
          <cell r="W26">
            <v>13131.27</v>
          </cell>
          <cell r="X26">
            <v>13165</v>
          </cell>
          <cell r="Y26">
            <v>13165</v>
          </cell>
          <cell r="Z26">
            <v>13165</v>
          </cell>
          <cell r="AA26">
            <v>0</v>
          </cell>
          <cell r="AB26">
            <v>0</v>
          </cell>
          <cell r="AC26">
            <v>0</v>
          </cell>
        </row>
        <row r="27">
          <cell r="A27">
            <v>101010202001</v>
          </cell>
          <cell r="B27" t="str">
            <v xml:space="preserve">Banco del Exterior.- Terrabank N.A.                                   </v>
          </cell>
          <cell r="C27">
            <v>13131.27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33.729999999999997</v>
          </cell>
          <cell r="K27">
            <v>0</v>
          </cell>
          <cell r="L27">
            <v>0</v>
          </cell>
          <cell r="M27">
            <v>-13165</v>
          </cell>
          <cell r="N27">
            <v>0</v>
          </cell>
          <cell r="O27">
            <v>0</v>
          </cell>
          <cell r="P27">
            <v>0</v>
          </cell>
          <cell r="R27">
            <v>13131.27</v>
          </cell>
          <cell r="S27">
            <v>13131.27</v>
          </cell>
          <cell r="T27">
            <v>13131.27</v>
          </cell>
          <cell r="U27">
            <v>13131.27</v>
          </cell>
          <cell r="V27">
            <v>13131.27</v>
          </cell>
          <cell r="W27">
            <v>13131.27</v>
          </cell>
          <cell r="X27">
            <v>13165</v>
          </cell>
          <cell r="Y27">
            <v>13165</v>
          </cell>
          <cell r="Z27">
            <v>13165</v>
          </cell>
          <cell r="AA27">
            <v>0</v>
          </cell>
          <cell r="AB27">
            <v>0</v>
          </cell>
          <cell r="AC27">
            <v>0</v>
          </cell>
        </row>
        <row r="28">
          <cell r="A28">
            <v>10102</v>
          </cell>
          <cell r="B28" t="str">
            <v xml:space="preserve">CUENTAS Y DOCUMENTOS POR COBRAR                                       </v>
          </cell>
          <cell r="C28">
            <v>4688885.6100000003</v>
          </cell>
          <cell r="D28">
            <v>173567.76</v>
          </cell>
          <cell r="E28">
            <v>190025.1</v>
          </cell>
          <cell r="F28">
            <v>-129551.65</v>
          </cell>
          <cell r="G28">
            <v>412584.67</v>
          </cell>
          <cell r="H28">
            <v>750511.74</v>
          </cell>
          <cell r="I28">
            <v>169219.82</v>
          </cell>
          <cell r="J28">
            <v>912009.76</v>
          </cell>
          <cell r="K28">
            <v>-249577.62</v>
          </cell>
          <cell r="L28">
            <v>1086838.26</v>
          </cell>
          <cell r="M28">
            <v>-410459.62</v>
          </cell>
          <cell r="N28">
            <v>2066486.36</v>
          </cell>
          <cell r="O28">
            <v>-2253562.89</v>
          </cell>
          <cell r="P28">
            <v>7406977.2999999998</v>
          </cell>
          <cell r="R28">
            <v>4862453.37</v>
          </cell>
          <cell r="S28">
            <v>5052478.47</v>
          </cell>
          <cell r="T28">
            <v>4922926.8199999994</v>
          </cell>
          <cell r="U28">
            <v>5335511.4899999993</v>
          </cell>
          <cell r="V28">
            <v>6086023.2299999995</v>
          </cell>
          <cell r="W28">
            <v>6255243.0499999998</v>
          </cell>
          <cell r="X28">
            <v>7167252.8099999996</v>
          </cell>
          <cell r="Y28">
            <v>6917675.1899999995</v>
          </cell>
          <cell r="Z28">
            <v>8004513.4499999993</v>
          </cell>
          <cell r="AA28">
            <v>7594053.8299999991</v>
          </cell>
          <cell r="AB28">
            <v>9660540.1899999995</v>
          </cell>
          <cell r="AC28">
            <v>7406977.2999999989</v>
          </cell>
        </row>
        <row r="29">
          <cell r="A29">
            <v>1010203</v>
          </cell>
          <cell r="B29" t="str">
            <v xml:space="preserve">ACTIVOS FINANCIEROS MANTENIDOS HASTA EL VENCIMIENTO                   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88131.99</v>
          </cell>
          <cell r="P29">
            <v>88131.99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88131.99</v>
          </cell>
        </row>
        <row r="30">
          <cell r="A30">
            <v>101020301003</v>
          </cell>
          <cell r="B30" t="str">
            <v xml:space="preserve">Fondos Administrados por Fiducias                                     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88131.99</v>
          </cell>
          <cell r="P30">
            <v>88131.99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88131.99</v>
          </cell>
        </row>
        <row r="31">
          <cell r="A31">
            <v>1010205</v>
          </cell>
          <cell r="B31" t="str">
            <v xml:space="preserve">DOCUMENTOS Y CUENTAS POR COBRAR CLIENTES NO RELACIONADOS              </v>
          </cell>
          <cell r="C31">
            <v>4465587.79</v>
          </cell>
          <cell r="D31">
            <v>95888.66</v>
          </cell>
          <cell r="E31">
            <v>225747.07</v>
          </cell>
          <cell r="F31">
            <v>-180536.61</v>
          </cell>
          <cell r="G31">
            <v>145087.54</v>
          </cell>
          <cell r="H31">
            <v>109014.61</v>
          </cell>
          <cell r="I31">
            <v>89577.13</v>
          </cell>
          <cell r="J31">
            <v>692107.39</v>
          </cell>
          <cell r="K31">
            <v>814777.92</v>
          </cell>
          <cell r="L31">
            <v>-18830.47</v>
          </cell>
          <cell r="M31">
            <v>-391018.87</v>
          </cell>
          <cell r="N31">
            <v>526278.11</v>
          </cell>
          <cell r="O31">
            <v>-2758791.69</v>
          </cell>
          <cell r="P31">
            <v>3814888.58</v>
          </cell>
          <cell r="R31">
            <v>4561476.45</v>
          </cell>
          <cell r="S31">
            <v>4787223.5200000005</v>
          </cell>
          <cell r="T31">
            <v>4606686.91</v>
          </cell>
          <cell r="U31">
            <v>4751774.45</v>
          </cell>
          <cell r="V31">
            <v>4860789.0600000005</v>
          </cell>
          <cell r="W31">
            <v>4950366.1900000004</v>
          </cell>
          <cell r="X31">
            <v>5642473.5800000001</v>
          </cell>
          <cell r="Y31">
            <v>6457251.5</v>
          </cell>
          <cell r="Z31">
            <v>6438421.0300000003</v>
          </cell>
          <cell r="AA31">
            <v>6047402.1600000001</v>
          </cell>
          <cell r="AB31">
            <v>6573680.2700000005</v>
          </cell>
          <cell r="AC31">
            <v>3814888.5800000005</v>
          </cell>
        </row>
        <row r="32">
          <cell r="A32">
            <v>101020502</v>
          </cell>
          <cell r="B32" t="str">
            <v xml:space="preserve">CUENTAS POR COBRAR CLIENTES                                           </v>
          </cell>
          <cell r="C32">
            <v>4465587.79</v>
          </cell>
          <cell r="D32">
            <v>95888.66</v>
          </cell>
          <cell r="E32">
            <v>225747.07</v>
          </cell>
          <cell r="F32">
            <v>-180536.61</v>
          </cell>
          <cell r="G32">
            <v>145087.54</v>
          </cell>
          <cell r="H32">
            <v>107084.41</v>
          </cell>
          <cell r="I32">
            <v>89577.13</v>
          </cell>
          <cell r="J32">
            <v>692107.39</v>
          </cell>
          <cell r="K32">
            <v>814777.92</v>
          </cell>
          <cell r="L32">
            <v>-18830.47</v>
          </cell>
          <cell r="M32">
            <v>-391018.87</v>
          </cell>
          <cell r="N32">
            <v>526278.11</v>
          </cell>
          <cell r="O32">
            <v>-2758791.69</v>
          </cell>
          <cell r="P32">
            <v>3812958.38</v>
          </cell>
          <cell r="R32">
            <v>4561476.45</v>
          </cell>
          <cell r="S32">
            <v>4787223.5200000005</v>
          </cell>
          <cell r="T32">
            <v>4606686.91</v>
          </cell>
          <cell r="U32">
            <v>4751774.45</v>
          </cell>
          <cell r="V32">
            <v>4858858.8600000003</v>
          </cell>
          <cell r="W32">
            <v>4948435.99</v>
          </cell>
          <cell r="X32">
            <v>5640543.3799999999</v>
          </cell>
          <cell r="Y32">
            <v>6455321.2999999998</v>
          </cell>
          <cell r="Z32">
            <v>6436490.8300000001</v>
          </cell>
          <cell r="AA32">
            <v>6045471.96</v>
          </cell>
          <cell r="AB32">
            <v>6571750.0700000003</v>
          </cell>
          <cell r="AC32">
            <v>3812958.3800000004</v>
          </cell>
        </row>
        <row r="33">
          <cell r="A33">
            <v>101020502001</v>
          </cell>
          <cell r="B33" t="str">
            <v xml:space="preserve">Cuentas por Cobrar Clientes                                           </v>
          </cell>
          <cell r="C33">
            <v>4254238.8499999996</v>
          </cell>
          <cell r="D33">
            <v>165357.82999999999</v>
          </cell>
          <cell r="E33">
            <v>247769.38</v>
          </cell>
          <cell r="F33">
            <v>-229915.51</v>
          </cell>
          <cell r="G33">
            <v>136087.12</v>
          </cell>
          <cell r="H33">
            <v>146475.82</v>
          </cell>
          <cell r="I33">
            <v>148864.95000000001</v>
          </cell>
          <cell r="J33">
            <v>694816.05</v>
          </cell>
          <cell r="K33">
            <v>823957.63</v>
          </cell>
          <cell r="L33">
            <v>9897.67</v>
          </cell>
          <cell r="M33">
            <v>-382452.24</v>
          </cell>
          <cell r="N33">
            <v>372841.74</v>
          </cell>
          <cell r="O33">
            <v>-2743478.68</v>
          </cell>
          <cell r="P33">
            <v>3644460.61</v>
          </cell>
          <cell r="R33">
            <v>4419596.68</v>
          </cell>
          <cell r="S33">
            <v>4667366.0599999996</v>
          </cell>
          <cell r="T33">
            <v>4437450.55</v>
          </cell>
          <cell r="U33">
            <v>4573537.67</v>
          </cell>
          <cell r="V33">
            <v>4720013.49</v>
          </cell>
          <cell r="W33">
            <v>4868878.4400000004</v>
          </cell>
          <cell r="X33">
            <v>5563694.4900000002</v>
          </cell>
          <cell r="Y33">
            <v>6387652.1200000001</v>
          </cell>
          <cell r="Z33">
            <v>6397549.79</v>
          </cell>
          <cell r="AA33">
            <v>6015097.5499999998</v>
          </cell>
          <cell r="AB33">
            <v>6387939.29</v>
          </cell>
          <cell r="AC33">
            <v>3644460.61</v>
          </cell>
        </row>
        <row r="34">
          <cell r="A34">
            <v>101020502002</v>
          </cell>
          <cell r="B34" t="str">
            <v xml:space="preserve">Documentos de clientes (Ch P/F)                                       </v>
          </cell>
          <cell r="C34">
            <v>211348.94</v>
          </cell>
          <cell r="D34">
            <v>-69469.17</v>
          </cell>
          <cell r="E34">
            <v>-22022.31</v>
          </cell>
          <cell r="F34">
            <v>49378.9</v>
          </cell>
          <cell r="G34">
            <v>9000.42</v>
          </cell>
          <cell r="H34">
            <v>-39391.410000000003</v>
          </cell>
          <cell r="I34">
            <v>-59287.82</v>
          </cell>
          <cell r="J34">
            <v>-2708.66</v>
          </cell>
          <cell r="K34">
            <v>-9179.7099999999991</v>
          </cell>
          <cell r="L34">
            <v>-28728.14</v>
          </cell>
          <cell r="M34">
            <v>-8566.6299999999992</v>
          </cell>
          <cell r="N34">
            <v>153436.37</v>
          </cell>
          <cell r="O34">
            <v>-15313.01</v>
          </cell>
          <cell r="P34">
            <v>168497.77</v>
          </cell>
          <cell r="R34">
            <v>141879.77000000002</v>
          </cell>
          <cell r="S34">
            <v>119857.46000000002</v>
          </cell>
          <cell r="T34">
            <v>169236.36000000002</v>
          </cell>
          <cell r="U34">
            <v>178236.78000000003</v>
          </cell>
          <cell r="V34">
            <v>138845.37000000002</v>
          </cell>
          <cell r="W34">
            <v>79557.550000000017</v>
          </cell>
          <cell r="X34">
            <v>76848.890000000014</v>
          </cell>
          <cell r="Y34">
            <v>67669.180000000022</v>
          </cell>
          <cell r="Z34">
            <v>38941.040000000023</v>
          </cell>
          <cell r="AA34">
            <v>30374.410000000025</v>
          </cell>
          <cell r="AB34">
            <v>183810.78000000003</v>
          </cell>
          <cell r="AC34">
            <v>168497.77000000002</v>
          </cell>
        </row>
        <row r="35">
          <cell r="A35">
            <v>101020503</v>
          </cell>
          <cell r="B35" t="str">
            <v xml:space="preserve">OTROS VALORES POR COBRAR A CLIENTES                                   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1930.2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1930.2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1930.2</v>
          </cell>
          <cell r="W35">
            <v>1930.2</v>
          </cell>
          <cell r="X35">
            <v>1930.2</v>
          </cell>
          <cell r="Y35">
            <v>1930.2</v>
          </cell>
          <cell r="Z35">
            <v>1930.2</v>
          </cell>
          <cell r="AA35">
            <v>1930.2</v>
          </cell>
          <cell r="AB35">
            <v>1930.2</v>
          </cell>
          <cell r="AC35">
            <v>1930.2</v>
          </cell>
        </row>
        <row r="36">
          <cell r="A36">
            <v>101020503001</v>
          </cell>
          <cell r="B36" t="str">
            <v xml:space="preserve">Otras Cuentas por cobrar                                              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1930.2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1930.2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1930.2</v>
          </cell>
          <cell r="W36">
            <v>1930.2</v>
          </cell>
          <cell r="X36">
            <v>1930.2</v>
          </cell>
          <cell r="Y36">
            <v>1930.2</v>
          </cell>
          <cell r="Z36">
            <v>1930.2</v>
          </cell>
          <cell r="AA36">
            <v>1930.2</v>
          </cell>
          <cell r="AB36">
            <v>1930.2</v>
          </cell>
          <cell r="AC36">
            <v>1930.2</v>
          </cell>
        </row>
        <row r="37">
          <cell r="A37">
            <v>1010207</v>
          </cell>
          <cell r="B37" t="str">
            <v xml:space="preserve">OTRAS CUENTAS POR COBRAR RELACIONADAS                                 </v>
          </cell>
          <cell r="C37">
            <v>178753.91</v>
          </cell>
          <cell r="D37">
            <v>2605.94</v>
          </cell>
          <cell r="E37">
            <v>-792.47</v>
          </cell>
          <cell r="F37">
            <v>555.95000000000005</v>
          </cell>
          <cell r="G37">
            <v>-3967.81</v>
          </cell>
          <cell r="H37">
            <v>3154.78</v>
          </cell>
          <cell r="I37">
            <v>-3999.55</v>
          </cell>
          <cell r="J37">
            <v>3761.47</v>
          </cell>
          <cell r="K37">
            <v>4432.8599999999997</v>
          </cell>
          <cell r="L37">
            <v>-45160.12</v>
          </cell>
          <cell r="M37">
            <v>2235.25</v>
          </cell>
          <cell r="N37">
            <v>-2629.66</v>
          </cell>
          <cell r="O37">
            <v>-11819.77</v>
          </cell>
          <cell r="P37">
            <v>127130.78</v>
          </cell>
          <cell r="R37">
            <v>181359.85</v>
          </cell>
          <cell r="S37">
            <v>180567.38</v>
          </cell>
          <cell r="T37">
            <v>181123.33000000002</v>
          </cell>
          <cell r="U37">
            <v>177155.52000000002</v>
          </cell>
          <cell r="V37">
            <v>180310.30000000002</v>
          </cell>
          <cell r="W37">
            <v>176310.75000000003</v>
          </cell>
          <cell r="X37">
            <v>180072.22000000003</v>
          </cell>
          <cell r="Y37">
            <v>184505.08000000002</v>
          </cell>
          <cell r="Z37">
            <v>139344.96000000002</v>
          </cell>
          <cell r="AA37">
            <v>141580.21000000002</v>
          </cell>
          <cell r="AB37">
            <v>138950.55000000002</v>
          </cell>
          <cell r="AC37">
            <v>127130.78000000001</v>
          </cell>
        </row>
        <row r="38">
          <cell r="A38">
            <v>101020703</v>
          </cell>
          <cell r="B38" t="str">
            <v xml:space="preserve">CUENTAS POR COBRAR COMPAÑÍAS RELACIONADAS                             </v>
          </cell>
          <cell r="C38">
            <v>155431.04000000001</v>
          </cell>
          <cell r="D38">
            <v>0</v>
          </cell>
          <cell r="E38">
            <v>0</v>
          </cell>
          <cell r="F38">
            <v>0</v>
          </cell>
          <cell r="G38">
            <v>1.1399999999999999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-50024</v>
          </cell>
          <cell r="M38">
            <v>0</v>
          </cell>
          <cell r="N38">
            <v>0</v>
          </cell>
          <cell r="O38">
            <v>0</v>
          </cell>
          <cell r="P38">
            <v>105408.18</v>
          </cell>
          <cell r="R38">
            <v>155431.04000000001</v>
          </cell>
          <cell r="S38">
            <v>155431.04000000001</v>
          </cell>
          <cell r="T38">
            <v>155431.04000000001</v>
          </cell>
          <cell r="U38">
            <v>155432.18000000002</v>
          </cell>
          <cell r="V38">
            <v>155432.18000000002</v>
          </cell>
          <cell r="W38">
            <v>155432.18000000002</v>
          </cell>
          <cell r="X38">
            <v>155432.18000000002</v>
          </cell>
          <cell r="Y38">
            <v>155432.18000000002</v>
          </cell>
          <cell r="Z38">
            <v>105408.18000000002</v>
          </cell>
          <cell r="AA38">
            <v>105408.18000000002</v>
          </cell>
          <cell r="AB38">
            <v>105408.18000000002</v>
          </cell>
          <cell r="AC38">
            <v>105408.18000000002</v>
          </cell>
        </row>
        <row r="39">
          <cell r="A39">
            <v>101020703001</v>
          </cell>
          <cell r="B39" t="str">
            <v xml:space="preserve">Cuentas por Cobrar Sabella S. A.                                      </v>
          </cell>
          <cell r="C39">
            <v>155431.04000000001</v>
          </cell>
          <cell r="D39">
            <v>0</v>
          </cell>
          <cell r="E39">
            <v>0</v>
          </cell>
          <cell r="F39">
            <v>0</v>
          </cell>
          <cell r="G39">
            <v>1.1399999999999999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-50024</v>
          </cell>
          <cell r="M39">
            <v>0</v>
          </cell>
          <cell r="N39">
            <v>0</v>
          </cell>
          <cell r="O39">
            <v>0</v>
          </cell>
          <cell r="P39">
            <v>105408.18</v>
          </cell>
          <cell r="R39">
            <v>155431.04000000001</v>
          </cell>
          <cell r="S39">
            <v>155431.04000000001</v>
          </cell>
          <cell r="T39">
            <v>155431.04000000001</v>
          </cell>
          <cell r="U39">
            <v>155432.18000000002</v>
          </cell>
          <cell r="V39">
            <v>155432.18000000002</v>
          </cell>
          <cell r="W39">
            <v>155432.18000000002</v>
          </cell>
          <cell r="X39">
            <v>155432.18000000002</v>
          </cell>
          <cell r="Y39">
            <v>155432.18000000002</v>
          </cell>
          <cell r="Z39">
            <v>105408.18000000002</v>
          </cell>
          <cell r="AA39">
            <v>105408.18000000002</v>
          </cell>
          <cell r="AB39">
            <v>105408.18000000002</v>
          </cell>
          <cell r="AC39">
            <v>105408.18000000002</v>
          </cell>
        </row>
        <row r="40">
          <cell r="A40">
            <v>101020704</v>
          </cell>
          <cell r="B40" t="str">
            <v xml:space="preserve">CUENTAS POR COBRAR EMPLEADOS                                          </v>
          </cell>
          <cell r="C40">
            <v>23322.87</v>
          </cell>
          <cell r="D40">
            <v>2605.94</v>
          </cell>
          <cell r="E40">
            <v>-792.47</v>
          </cell>
          <cell r="F40">
            <v>555.95000000000005</v>
          </cell>
          <cell r="G40">
            <v>-3968.95</v>
          </cell>
          <cell r="H40">
            <v>3154.78</v>
          </cell>
          <cell r="I40">
            <v>-3999.55</v>
          </cell>
          <cell r="J40">
            <v>3761.47</v>
          </cell>
          <cell r="K40">
            <v>4432.8599999999997</v>
          </cell>
          <cell r="L40">
            <v>4863.88</v>
          </cell>
          <cell r="M40">
            <v>2235.25</v>
          </cell>
          <cell r="N40">
            <v>-2629.66</v>
          </cell>
          <cell r="O40">
            <v>-11819.77</v>
          </cell>
          <cell r="P40">
            <v>21722.6</v>
          </cell>
          <cell r="R40">
            <v>25928.809999999998</v>
          </cell>
          <cell r="S40">
            <v>25136.339999999997</v>
          </cell>
          <cell r="T40">
            <v>25692.289999999997</v>
          </cell>
          <cell r="U40">
            <v>21723.339999999997</v>
          </cell>
          <cell r="V40">
            <v>24878.119999999995</v>
          </cell>
          <cell r="W40">
            <v>20878.569999999996</v>
          </cell>
          <cell r="X40">
            <v>24640.039999999997</v>
          </cell>
          <cell r="Y40">
            <v>29072.899999999998</v>
          </cell>
          <cell r="Z40">
            <v>33936.78</v>
          </cell>
          <cell r="AA40">
            <v>36172.03</v>
          </cell>
          <cell r="AB40">
            <v>33542.369999999995</v>
          </cell>
          <cell r="AC40">
            <v>21722.599999999995</v>
          </cell>
        </row>
        <row r="41">
          <cell r="A41">
            <v>101020704001</v>
          </cell>
          <cell r="B41" t="str">
            <v xml:space="preserve">Anticipo Sueldo                                                       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263.36</v>
          </cell>
          <cell r="H41">
            <v>-263.36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R41">
            <v>0</v>
          </cell>
          <cell r="S41">
            <v>0</v>
          </cell>
          <cell r="T41">
            <v>0</v>
          </cell>
          <cell r="U41">
            <v>263.36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</row>
        <row r="42">
          <cell r="A42">
            <v>101020704002</v>
          </cell>
          <cell r="B42" t="str">
            <v xml:space="preserve">Prestamos Empleados                                                   </v>
          </cell>
          <cell r="C42">
            <v>22174.22</v>
          </cell>
          <cell r="D42">
            <v>-41.89</v>
          </cell>
          <cell r="E42">
            <v>-1946.89</v>
          </cell>
          <cell r="F42">
            <v>-185.01</v>
          </cell>
          <cell r="G42">
            <v>1011.04</v>
          </cell>
          <cell r="H42">
            <v>3467.08</v>
          </cell>
          <cell r="I42">
            <v>-5531.11</v>
          </cell>
          <cell r="J42">
            <v>4162.5</v>
          </cell>
          <cell r="K42">
            <v>-132.5</v>
          </cell>
          <cell r="L42">
            <v>3267.5</v>
          </cell>
          <cell r="M42">
            <v>-265.60000000000002</v>
          </cell>
          <cell r="N42">
            <v>-2872.16</v>
          </cell>
          <cell r="O42">
            <v>-5179.1000000000004</v>
          </cell>
          <cell r="P42">
            <v>17928.080000000002</v>
          </cell>
          <cell r="R42">
            <v>22132.33</v>
          </cell>
          <cell r="S42">
            <v>20185.440000000002</v>
          </cell>
          <cell r="T42">
            <v>20000.430000000004</v>
          </cell>
          <cell r="U42">
            <v>21011.470000000005</v>
          </cell>
          <cell r="V42">
            <v>24478.550000000003</v>
          </cell>
          <cell r="W42">
            <v>18947.440000000002</v>
          </cell>
          <cell r="X42">
            <v>23109.940000000002</v>
          </cell>
          <cell r="Y42">
            <v>22977.440000000002</v>
          </cell>
          <cell r="Z42">
            <v>26244.940000000002</v>
          </cell>
          <cell r="AA42">
            <v>25979.340000000004</v>
          </cell>
          <cell r="AB42">
            <v>23107.180000000004</v>
          </cell>
          <cell r="AC42">
            <v>17928.080000000002</v>
          </cell>
        </row>
        <row r="43">
          <cell r="A43">
            <v>101020704003</v>
          </cell>
          <cell r="B43" t="str">
            <v xml:space="preserve">Anticipos a Decimo Tercero                                            </v>
          </cell>
          <cell r="C43">
            <v>0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600</v>
          </cell>
          <cell r="J43">
            <v>0</v>
          </cell>
          <cell r="K43">
            <v>1800</v>
          </cell>
          <cell r="L43">
            <v>1780</v>
          </cell>
          <cell r="M43">
            <v>1450</v>
          </cell>
          <cell r="N43">
            <v>450</v>
          </cell>
          <cell r="O43">
            <v>-6080</v>
          </cell>
          <cell r="P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600</v>
          </cell>
          <cell r="X43">
            <v>600</v>
          </cell>
          <cell r="Y43">
            <v>2400</v>
          </cell>
          <cell r="Z43">
            <v>4180</v>
          </cell>
          <cell r="AA43">
            <v>5630</v>
          </cell>
          <cell r="AB43">
            <v>6080</v>
          </cell>
          <cell r="AC43">
            <v>0</v>
          </cell>
        </row>
        <row r="44">
          <cell r="A44">
            <v>101020704004</v>
          </cell>
          <cell r="B44" t="str">
            <v xml:space="preserve">Anticipos a Decimo Cuarto                                             </v>
          </cell>
          <cell r="C44">
            <v>0</v>
          </cell>
          <cell r="D44">
            <v>0</v>
          </cell>
          <cell r="E44">
            <v>1290</v>
          </cell>
          <cell r="F44">
            <v>-1290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400</v>
          </cell>
          <cell r="N44">
            <v>0</v>
          </cell>
          <cell r="O44">
            <v>0</v>
          </cell>
          <cell r="P44">
            <v>400</v>
          </cell>
          <cell r="R44">
            <v>0</v>
          </cell>
          <cell r="S44">
            <v>1290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400</v>
          </cell>
          <cell r="AB44">
            <v>400</v>
          </cell>
          <cell r="AC44">
            <v>400</v>
          </cell>
        </row>
        <row r="45">
          <cell r="A45">
            <v>101020704005</v>
          </cell>
          <cell r="B45" t="str">
            <v xml:space="preserve">Anticipos utilidades                                                  </v>
          </cell>
          <cell r="C45">
            <v>430</v>
          </cell>
          <cell r="D45">
            <v>2489.25</v>
          </cell>
          <cell r="E45">
            <v>250</v>
          </cell>
          <cell r="F45">
            <v>2091.9899999999998</v>
          </cell>
          <cell r="G45">
            <v>-5261.24</v>
          </cell>
          <cell r="H45">
            <v>0</v>
          </cell>
          <cell r="I45">
            <v>0</v>
          </cell>
          <cell r="J45">
            <v>0</v>
          </cell>
          <cell r="K45">
            <v>50</v>
          </cell>
          <cell r="L45">
            <v>513.64</v>
          </cell>
          <cell r="M45">
            <v>1050</v>
          </cell>
          <cell r="N45">
            <v>0</v>
          </cell>
          <cell r="O45">
            <v>0</v>
          </cell>
          <cell r="P45">
            <v>1613.64</v>
          </cell>
          <cell r="R45">
            <v>2919.25</v>
          </cell>
          <cell r="S45">
            <v>3169.25</v>
          </cell>
          <cell r="T45">
            <v>5261.24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50</v>
          </cell>
          <cell r="Z45">
            <v>563.64</v>
          </cell>
          <cell r="AA45">
            <v>1613.6399999999999</v>
          </cell>
          <cell r="AB45">
            <v>1613.6399999999999</v>
          </cell>
          <cell r="AC45">
            <v>1613.6399999999999</v>
          </cell>
        </row>
        <row r="46">
          <cell r="A46">
            <v>101020704006</v>
          </cell>
          <cell r="B46" t="str">
            <v xml:space="preserve">Otros Descuentos a Empleados                                          </v>
          </cell>
          <cell r="C46">
            <v>0</v>
          </cell>
          <cell r="D46">
            <v>20</v>
          </cell>
          <cell r="E46">
            <v>-82.91</v>
          </cell>
          <cell r="F46">
            <v>62.91</v>
          </cell>
          <cell r="G46">
            <v>0</v>
          </cell>
          <cell r="H46">
            <v>8.9</v>
          </cell>
          <cell r="I46">
            <v>-8.9</v>
          </cell>
          <cell r="J46">
            <v>0</v>
          </cell>
          <cell r="K46">
            <v>0</v>
          </cell>
          <cell r="L46">
            <v>12.65</v>
          </cell>
          <cell r="M46">
            <v>-12.65</v>
          </cell>
          <cell r="N46">
            <v>0</v>
          </cell>
          <cell r="O46">
            <v>-257.67</v>
          </cell>
          <cell r="P46">
            <v>-257.67</v>
          </cell>
          <cell r="R46">
            <v>20</v>
          </cell>
          <cell r="S46">
            <v>-62.91</v>
          </cell>
          <cell r="T46">
            <v>0</v>
          </cell>
          <cell r="U46">
            <v>0</v>
          </cell>
          <cell r="V46">
            <v>8.9</v>
          </cell>
          <cell r="W46">
            <v>0</v>
          </cell>
          <cell r="X46">
            <v>0</v>
          </cell>
          <cell r="Y46">
            <v>0</v>
          </cell>
          <cell r="Z46">
            <v>12.65</v>
          </cell>
          <cell r="AA46">
            <v>0</v>
          </cell>
          <cell r="AB46">
            <v>0</v>
          </cell>
          <cell r="AC46">
            <v>-257.67</v>
          </cell>
        </row>
        <row r="47">
          <cell r="A47">
            <v>101020704007</v>
          </cell>
          <cell r="B47" t="str">
            <v xml:space="preserve">Otros Cargos x Multas                                                 </v>
          </cell>
          <cell r="C47">
            <v>718.65</v>
          </cell>
          <cell r="D47">
            <v>138.58000000000001</v>
          </cell>
          <cell r="E47">
            <v>-302.67</v>
          </cell>
          <cell r="F47">
            <v>-123.94</v>
          </cell>
          <cell r="G47">
            <v>17.89</v>
          </cell>
          <cell r="H47">
            <v>-57.84</v>
          </cell>
          <cell r="I47">
            <v>940.46</v>
          </cell>
          <cell r="J47">
            <v>-401.03</v>
          </cell>
          <cell r="K47">
            <v>2715.36</v>
          </cell>
          <cell r="L47">
            <v>-709.91</v>
          </cell>
          <cell r="M47">
            <v>-386.5</v>
          </cell>
          <cell r="N47">
            <v>-207.5</v>
          </cell>
          <cell r="O47">
            <v>-303</v>
          </cell>
          <cell r="P47">
            <v>2038.55</v>
          </cell>
          <cell r="R47">
            <v>857.23</v>
          </cell>
          <cell r="S47">
            <v>554.55999999999995</v>
          </cell>
          <cell r="T47">
            <v>430.61999999999995</v>
          </cell>
          <cell r="U47">
            <v>448.50999999999993</v>
          </cell>
          <cell r="V47">
            <v>390.66999999999996</v>
          </cell>
          <cell r="W47">
            <v>1331.13</v>
          </cell>
          <cell r="X47">
            <v>930.10000000000014</v>
          </cell>
          <cell r="Y47">
            <v>3645.46</v>
          </cell>
          <cell r="Z47">
            <v>2935.55</v>
          </cell>
          <cell r="AA47">
            <v>2549.0500000000002</v>
          </cell>
          <cell r="AB47">
            <v>2341.5500000000002</v>
          </cell>
          <cell r="AC47">
            <v>2038.5500000000002</v>
          </cell>
        </row>
        <row r="48">
          <cell r="A48">
            <v>1010208</v>
          </cell>
          <cell r="B48" t="str">
            <v xml:space="preserve">OTRAS CUENTAS POR COBRAR                                              </v>
          </cell>
          <cell r="C48">
            <v>243286.39999999999</v>
          </cell>
          <cell r="D48">
            <v>75073.16</v>
          </cell>
          <cell r="E48">
            <v>-34929.5</v>
          </cell>
          <cell r="F48">
            <v>50429.01</v>
          </cell>
          <cell r="G48">
            <v>271464.94</v>
          </cell>
          <cell r="H48">
            <v>638342.35</v>
          </cell>
          <cell r="I48">
            <v>83642.240000000005</v>
          </cell>
          <cell r="J48">
            <v>216140.9</v>
          </cell>
          <cell r="K48">
            <v>-1068788.3999999999</v>
          </cell>
          <cell r="L48">
            <v>1150828.8500000001</v>
          </cell>
          <cell r="M48">
            <v>-21676</v>
          </cell>
          <cell r="N48">
            <v>1542837.91</v>
          </cell>
          <cell r="O48">
            <v>428916.58</v>
          </cell>
          <cell r="P48">
            <v>3575568.44</v>
          </cell>
          <cell r="R48">
            <v>318359.56</v>
          </cell>
          <cell r="S48">
            <v>283430.06</v>
          </cell>
          <cell r="T48">
            <v>333859.07</v>
          </cell>
          <cell r="U48">
            <v>605324.01</v>
          </cell>
          <cell r="V48">
            <v>1243666.3599999999</v>
          </cell>
          <cell r="W48">
            <v>1327308.5999999999</v>
          </cell>
          <cell r="X48">
            <v>1543449.4999999998</v>
          </cell>
          <cell r="Y48">
            <v>474661.09999999986</v>
          </cell>
          <cell r="Z48">
            <v>1625489.95</v>
          </cell>
          <cell r="AA48">
            <v>1603813.95</v>
          </cell>
          <cell r="AB48">
            <v>3146651.86</v>
          </cell>
          <cell r="AC48">
            <v>3575568.44</v>
          </cell>
        </row>
        <row r="49">
          <cell r="A49">
            <v>101020801</v>
          </cell>
          <cell r="B49" t="str">
            <v xml:space="preserve">ANTICIPOS A PROVEEDORES                                               </v>
          </cell>
          <cell r="C49">
            <v>74711.899999999994</v>
          </cell>
          <cell r="D49">
            <v>39334.29</v>
          </cell>
          <cell r="E49">
            <v>-26009.88</v>
          </cell>
          <cell r="F49">
            <v>25992.47</v>
          </cell>
          <cell r="G49">
            <v>400751.87</v>
          </cell>
          <cell r="H49">
            <v>639415.94999999995</v>
          </cell>
          <cell r="I49">
            <v>61367.72</v>
          </cell>
          <cell r="J49">
            <v>195261.79</v>
          </cell>
          <cell r="K49">
            <v>-1169380.18</v>
          </cell>
          <cell r="L49">
            <v>1030198.01</v>
          </cell>
          <cell r="M49">
            <v>161697.42000000001</v>
          </cell>
          <cell r="N49">
            <v>1543831.92</v>
          </cell>
          <cell r="O49">
            <v>454447.23</v>
          </cell>
          <cell r="P49">
            <v>3431620.51</v>
          </cell>
          <cell r="R49">
            <v>114046.19</v>
          </cell>
          <cell r="S49">
            <v>88036.31</v>
          </cell>
          <cell r="T49">
            <v>114028.78</v>
          </cell>
          <cell r="U49">
            <v>514780.65</v>
          </cell>
          <cell r="V49">
            <v>1154196.6000000001</v>
          </cell>
          <cell r="W49">
            <v>1215564.32</v>
          </cell>
          <cell r="X49">
            <v>1410826.11</v>
          </cell>
          <cell r="Y49">
            <v>241445.93000000017</v>
          </cell>
          <cell r="Z49">
            <v>1271643.9400000002</v>
          </cell>
          <cell r="AA49">
            <v>1433341.36</v>
          </cell>
          <cell r="AB49">
            <v>2977173.2800000003</v>
          </cell>
          <cell r="AC49">
            <v>3431620.5100000002</v>
          </cell>
        </row>
        <row r="50">
          <cell r="A50">
            <v>101020801002</v>
          </cell>
          <cell r="B50" t="str">
            <v xml:space="preserve">Anticipo proveedores locales                                          </v>
          </cell>
          <cell r="C50">
            <v>74205.899999999994</v>
          </cell>
          <cell r="D50">
            <v>34384.29</v>
          </cell>
          <cell r="E50">
            <v>-26009.88</v>
          </cell>
          <cell r="F50">
            <v>25992.47</v>
          </cell>
          <cell r="G50">
            <v>-43081.33</v>
          </cell>
          <cell r="H50">
            <v>25584.62</v>
          </cell>
          <cell r="I50">
            <v>467.72</v>
          </cell>
          <cell r="J50">
            <v>1172.82</v>
          </cell>
          <cell r="K50">
            <v>10736.98</v>
          </cell>
          <cell r="L50">
            <v>19967.310000000001</v>
          </cell>
          <cell r="M50">
            <v>4447.42</v>
          </cell>
          <cell r="N50">
            <v>61462.91</v>
          </cell>
          <cell r="O50">
            <v>-38019.800000000003</v>
          </cell>
          <cell r="P50">
            <v>151311.43</v>
          </cell>
          <cell r="R50">
            <v>108590.19</v>
          </cell>
          <cell r="S50">
            <v>82580.31</v>
          </cell>
          <cell r="T50">
            <v>108572.78</v>
          </cell>
          <cell r="U50">
            <v>65491.45</v>
          </cell>
          <cell r="V50">
            <v>91076.069999999992</v>
          </cell>
          <cell r="W50">
            <v>91543.79</v>
          </cell>
          <cell r="X50">
            <v>92716.61</v>
          </cell>
          <cell r="Y50">
            <v>103453.59</v>
          </cell>
          <cell r="Z50">
            <v>123420.9</v>
          </cell>
          <cell r="AA50">
            <v>127868.31999999999</v>
          </cell>
          <cell r="AB50">
            <v>189331.22999999998</v>
          </cell>
          <cell r="AC50">
            <v>151311.43</v>
          </cell>
        </row>
        <row r="51">
          <cell r="A51">
            <v>101020801003</v>
          </cell>
          <cell r="B51" t="str">
            <v xml:space="preserve">Anticipo proveedores  exterior                                        </v>
          </cell>
          <cell r="C51">
            <v>506</v>
          </cell>
          <cell r="D51">
            <v>4950</v>
          </cell>
          <cell r="E51">
            <v>0</v>
          </cell>
          <cell r="F51">
            <v>0</v>
          </cell>
          <cell r="G51">
            <v>443833.2</v>
          </cell>
          <cell r="H51">
            <v>613831.32999999996</v>
          </cell>
          <cell r="I51">
            <v>60900</v>
          </cell>
          <cell r="J51">
            <v>194088.97</v>
          </cell>
          <cell r="K51">
            <v>-1180117.1599999999</v>
          </cell>
          <cell r="L51">
            <v>1010230.7</v>
          </cell>
          <cell r="M51">
            <v>157250</v>
          </cell>
          <cell r="N51">
            <v>1482369.01</v>
          </cell>
          <cell r="O51">
            <v>492467.03</v>
          </cell>
          <cell r="P51">
            <v>3280309.08</v>
          </cell>
          <cell r="R51">
            <v>5456</v>
          </cell>
          <cell r="S51">
            <v>5456</v>
          </cell>
          <cell r="T51">
            <v>5456</v>
          </cell>
          <cell r="U51">
            <v>449289.2</v>
          </cell>
          <cell r="V51">
            <v>1063120.53</v>
          </cell>
          <cell r="W51">
            <v>1124020.53</v>
          </cell>
          <cell r="X51">
            <v>1318109.5</v>
          </cell>
          <cell r="Y51">
            <v>137992.34000000008</v>
          </cell>
          <cell r="Z51">
            <v>1148223.04</v>
          </cell>
          <cell r="AA51">
            <v>1305473.04</v>
          </cell>
          <cell r="AB51">
            <v>2787842.05</v>
          </cell>
          <cell r="AC51">
            <v>3280309.08</v>
          </cell>
        </row>
        <row r="52">
          <cell r="A52">
            <v>101020803</v>
          </cell>
          <cell r="B52" t="str">
            <v xml:space="preserve">OTRAS CUENTAS POR COBRAR VARIAS                                       </v>
          </cell>
          <cell r="C52">
            <v>168574.5</v>
          </cell>
          <cell r="D52">
            <v>35738.870000000003</v>
          </cell>
          <cell r="E52">
            <v>-8919.6200000000008</v>
          </cell>
          <cell r="F52">
            <v>24436.54</v>
          </cell>
          <cell r="G52">
            <v>-129286.93</v>
          </cell>
          <cell r="H52">
            <v>-1073.5999999999999</v>
          </cell>
          <cell r="I52">
            <v>22274.52</v>
          </cell>
          <cell r="J52">
            <v>20879.11</v>
          </cell>
          <cell r="K52">
            <v>100591.78</v>
          </cell>
          <cell r="L52">
            <v>120630.84</v>
          </cell>
          <cell r="M52">
            <v>-183373.42</v>
          </cell>
          <cell r="N52">
            <v>-994.01</v>
          </cell>
          <cell r="O52">
            <v>-25530.65</v>
          </cell>
          <cell r="P52">
            <v>143947.93</v>
          </cell>
          <cell r="R52">
            <v>204313.37</v>
          </cell>
          <cell r="S52">
            <v>195393.75</v>
          </cell>
          <cell r="T52">
            <v>219830.29</v>
          </cell>
          <cell r="U52">
            <v>90543.360000000015</v>
          </cell>
          <cell r="V52">
            <v>89469.760000000009</v>
          </cell>
          <cell r="W52">
            <v>111744.28000000001</v>
          </cell>
          <cell r="X52">
            <v>132623.39000000001</v>
          </cell>
          <cell r="Y52">
            <v>233215.17</v>
          </cell>
          <cell r="Z52">
            <v>353846.01</v>
          </cell>
          <cell r="AA52">
            <v>170472.59</v>
          </cell>
          <cell r="AB52">
            <v>169478.58</v>
          </cell>
          <cell r="AC52">
            <v>143947.93</v>
          </cell>
        </row>
        <row r="53">
          <cell r="A53">
            <v>101020803001</v>
          </cell>
          <cell r="B53" t="str">
            <v xml:space="preserve">Anticipo gastos de viaje                                              </v>
          </cell>
          <cell r="C53">
            <v>0</v>
          </cell>
          <cell r="D53">
            <v>11.29</v>
          </cell>
          <cell r="E53">
            <v>188.71</v>
          </cell>
          <cell r="F53">
            <v>-200</v>
          </cell>
          <cell r="G53">
            <v>0</v>
          </cell>
          <cell r="H53">
            <v>3.9</v>
          </cell>
          <cell r="I53">
            <v>-3.91</v>
          </cell>
          <cell r="J53">
            <v>0</v>
          </cell>
          <cell r="K53">
            <v>0.01</v>
          </cell>
          <cell r="L53">
            <v>0.3</v>
          </cell>
          <cell r="M53">
            <v>-0.3</v>
          </cell>
          <cell r="N53">
            <v>230</v>
          </cell>
          <cell r="O53">
            <v>-230</v>
          </cell>
          <cell r="P53">
            <v>0</v>
          </cell>
          <cell r="R53">
            <v>11.29</v>
          </cell>
          <cell r="S53">
            <v>200</v>
          </cell>
          <cell r="T53">
            <v>0</v>
          </cell>
          <cell r="U53">
            <v>0</v>
          </cell>
          <cell r="V53">
            <v>3.9</v>
          </cell>
          <cell r="W53">
            <v>-1.0000000000000231E-2</v>
          </cell>
          <cell r="X53">
            <v>-1.0000000000000231E-2</v>
          </cell>
          <cell r="Y53">
            <v>-2.3071822230491534E-16</v>
          </cell>
          <cell r="Z53">
            <v>0.29999999999999977</v>
          </cell>
          <cell r="AA53">
            <v>0</v>
          </cell>
          <cell r="AB53">
            <v>230</v>
          </cell>
          <cell r="AC53">
            <v>0</v>
          </cell>
        </row>
        <row r="54">
          <cell r="A54">
            <v>101020803004</v>
          </cell>
          <cell r="B54" t="str">
            <v xml:space="preserve">Cuentas por cobrar IESS                                               </v>
          </cell>
          <cell r="C54">
            <v>86.08</v>
          </cell>
          <cell r="D54">
            <v>-86.08</v>
          </cell>
          <cell r="E54">
            <v>36.17</v>
          </cell>
          <cell r="F54">
            <v>93.63</v>
          </cell>
          <cell r="G54">
            <v>71.67</v>
          </cell>
          <cell r="H54">
            <v>0.56999999999999995</v>
          </cell>
          <cell r="I54">
            <v>88.69</v>
          </cell>
          <cell r="J54">
            <v>-91.24</v>
          </cell>
          <cell r="K54">
            <v>-105.22</v>
          </cell>
          <cell r="L54">
            <v>-224.34</v>
          </cell>
          <cell r="M54">
            <v>38.090000000000003</v>
          </cell>
          <cell r="N54">
            <v>215.97</v>
          </cell>
          <cell r="O54">
            <v>84.31</v>
          </cell>
          <cell r="P54">
            <v>208.3</v>
          </cell>
          <cell r="R54">
            <v>0</v>
          </cell>
          <cell r="S54">
            <v>36.17</v>
          </cell>
          <cell r="T54">
            <v>129.80000000000001</v>
          </cell>
          <cell r="U54">
            <v>201.47000000000003</v>
          </cell>
          <cell r="V54">
            <v>202.04000000000002</v>
          </cell>
          <cell r="W54">
            <v>290.73</v>
          </cell>
          <cell r="X54">
            <v>199.49</v>
          </cell>
          <cell r="Y54">
            <v>94.27000000000001</v>
          </cell>
          <cell r="Z54">
            <v>-130.07</v>
          </cell>
          <cell r="AA54">
            <v>-91.97999999999999</v>
          </cell>
          <cell r="AB54">
            <v>123.99000000000001</v>
          </cell>
          <cell r="AC54">
            <v>208.3</v>
          </cell>
        </row>
        <row r="55">
          <cell r="A55">
            <v>101020803005</v>
          </cell>
          <cell r="B55" t="str">
            <v xml:space="preserve">Cuentas por liquidar                                                  </v>
          </cell>
          <cell r="C55">
            <v>12112</v>
          </cell>
          <cell r="D55">
            <v>12813.32</v>
          </cell>
          <cell r="E55">
            <v>0</v>
          </cell>
          <cell r="F55">
            <v>-482.14</v>
          </cell>
          <cell r="G55">
            <v>3868.8</v>
          </cell>
          <cell r="H55">
            <v>-23800.19</v>
          </cell>
          <cell r="I55">
            <v>0.06</v>
          </cell>
          <cell r="J55">
            <v>74164.33</v>
          </cell>
          <cell r="K55">
            <v>65528.99</v>
          </cell>
          <cell r="L55">
            <v>93857.15</v>
          </cell>
          <cell r="M55">
            <v>-213018.63</v>
          </cell>
          <cell r="N55">
            <v>16717.91</v>
          </cell>
          <cell r="O55">
            <v>-47047.86</v>
          </cell>
          <cell r="P55">
            <v>-5286.26</v>
          </cell>
          <cell r="R55">
            <v>24925.32</v>
          </cell>
          <cell r="S55">
            <v>24925.32</v>
          </cell>
          <cell r="T55">
            <v>24443.18</v>
          </cell>
          <cell r="U55">
            <v>28311.98</v>
          </cell>
          <cell r="V55">
            <v>4511.7900000000009</v>
          </cell>
          <cell r="W55">
            <v>4511.8500000000013</v>
          </cell>
          <cell r="X55">
            <v>78676.180000000008</v>
          </cell>
          <cell r="Y55">
            <v>144205.17000000001</v>
          </cell>
          <cell r="Z55">
            <v>238062.32</v>
          </cell>
          <cell r="AA55">
            <v>25043.690000000002</v>
          </cell>
          <cell r="AB55">
            <v>41761.600000000006</v>
          </cell>
          <cell r="AC55">
            <v>-5286.2599999999948</v>
          </cell>
        </row>
        <row r="56">
          <cell r="A56">
            <v>101020803007</v>
          </cell>
          <cell r="B56" t="str">
            <v xml:space="preserve">Anticipo cuentas por rendir                                           </v>
          </cell>
          <cell r="C56">
            <v>139971.10999999999</v>
          </cell>
          <cell r="D56">
            <v>23000.34</v>
          </cell>
          <cell r="E56">
            <v>-9144.5</v>
          </cell>
          <cell r="F56">
            <v>25025.05</v>
          </cell>
          <cell r="G56">
            <v>-133312.29999999999</v>
          </cell>
          <cell r="H56">
            <v>22722.12</v>
          </cell>
          <cell r="I56">
            <v>22274.58</v>
          </cell>
          <cell r="J56">
            <v>-53193.98</v>
          </cell>
          <cell r="K56">
            <v>35168</v>
          </cell>
          <cell r="L56">
            <v>24642.85</v>
          </cell>
          <cell r="M56">
            <v>29606.9</v>
          </cell>
          <cell r="N56">
            <v>-18157.89</v>
          </cell>
          <cell r="O56">
            <v>28462.9</v>
          </cell>
          <cell r="P56">
            <v>137065.18</v>
          </cell>
          <cell r="R56">
            <v>162971.44999999998</v>
          </cell>
          <cell r="S56">
            <v>153826.94999999998</v>
          </cell>
          <cell r="T56">
            <v>178851.99999999997</v>
          </cell>
          <cell r="U56">
            <v>45539.699999999983</v>
          </cell>
          <cell r="V56">
            <v>68261.819999999978</v>
          </cell>
          <cell r="W56">
            <v>90536.39999999998</v>
          </cell>
          <cell r="X56">
            <v>37342.419999999976</v>
          </cell>
          <cell r="Y56">
            <v>72510.419999999984</v>
          </cell>
          <cell r="Z56">
            <v>97153.26999999999</v>
          </cell>
          <cell r="AA56">
            <v>126760.16999999998</v>
          </cell>
          <cell r="AB56">
            <v>108602.27999999998</v>
          </cell>
          <cell r="AC56">
            <v>137065.18</v>
          </cell>
        </row>
        <row r="57">
          <cell r="A57">
            <v>101020803009</v>
          </cell>
          <cell r="B57" t="str">
            <v xml:space="preserve">Deudores varios                                                       </v>
          </cell>
          <cell r="C57">
            <v>16405.310000000001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2354.88</v>
          </cell>
          <cell r="M57">
            <v>0.52</v>
          </cell>
          <cell r="N57">
            <v>0</v>
          </cell>
          <cell r="O57">
            <v>-6960</v>
          </cell>
          <cell r="P57">
            <v>11800.71</v>
          </cell>
          <cell r="R57">
            <v>16405.310000000001</v>
          </cell>
          <cell r="S57">
            <v>16405.310000000001</v>
          </cell>
          <cell r="T57">
            <v>16405.310000000001</v>
          </cell>
          <cell r="U57">
            <v>16405.310000000001</v>
          </cell>
          <cell r="V57">
            <v>16405.310000000001</v>
          </cell>
          <cell r="W57">
            <v>16405.310000000001</v>
          </cell>
          <cell r="X57">
            <v>16405.310000000001</v>
          </cell>
          <cell r="Y57">
            <v>16405.310000000001</v>
          </cell>
          <cell r="Z57">
            <v>18760.190000000002</v>
          </cell>
          <cell r="AA57">
            <v>18760.710000000003</v>
          </cell>
          <cell r="AB57">
            <v>18760.710000000003</v>
          </cell>
          <cell r="AC57">
            <v>11800.710000000003</v>
          </cell>
        </row>
        <row r="58">
          <cell r="A58">
            <v>101020803010</v>
          </cell>
          <cell r="B58" t="str">
            <v xml:space="preserve">Anticipo movilizacion                                                 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84.9</v>
          </cell>
          <cell r="H58">
            <v>0</v>
          </cell>
          <cell r="I58">
            <v>-84.9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160</v>
          </cell>
          <cell r="P58">
            <v>160</v>
          </cell>
          <cell r="R58">
            <v>0</v>
          </cell>
          <cell r="S58">
            <v>0</v>
          </cell>
          <cell r="T58">
            <v>0</v>
          </cell>
          <cell r="U58">
            <v>84.9</v>
          </cell>
          <cell r="V58">
            <v>84.9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160</v>
          </cell>
        </row>
        <row r="59">
          <cell r="A59">
            <v>1010209</v>
          </cell>
          <cell r="B59" t="str">
            <v xml:space="preserve">(-) PROVISIÓN CUENTAS INCOBRABLES                                     </v>
          </cell>
          <cell r="C59">
            <v>-198742.49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-198742.49</v>
          </cell>
          <cell r="R59">
            <v>-198742.49</v>
          </cell>
          <cell r="S59">
            <v>-198742.49</v>
          </cell>
          <cell r="T59">
            <v>-198742.49</v>
          </cell>
          <cell r="U59">
            <v>-198742.49</v>
          </cell>
          <cell r="V59">
            <v>-198742.49</v>
          </cell>
          <cell r="W59">
            <v>-198742.49</v>
          </cell>
          <cell r="X59">
            <v>-198742.49</v>
          </cell>
          <cell r="Y59">
            <v>-198742.49</v>
          </cell>
          <cell r="Z59">
            <v>-198742.49</v>
          </cell>
          <cell r="AA59">
            <v>-198742.49</v>
          </cell>
          <cell r="AB59">
            <v>-198742.49</v>
          </cell>
          <cell r="AC59">
            <v>-198742.49</v>
          </cell>
        </row>
        <row r="60">
          <cell r="A60">
            <v>101020901</v>
          </cell>
          <cell r="B60" t="str">
            <v xml:space="preserve">(-) PROVISIÓN CUENTAS INCOBRABLES                                     </v>
          </cell>
          <cell r="C60">
            <v>-198742.49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-198742.49</v>
          </cell>
          <cell r="R60">
            <v>-198742.49</v>
          </cell>
          <cell r="S60">
            <v>-198742.49</v>
          </cell>
          <cell r="T60">
            <v>-198742.49</v>
          </cell>
          <cell r="U60">
            <v>-198742.49</v>
          </cell>
          <cell r="V60">
            <v>-198742.49</v>
          </cell>
          <cell r="W60">
            <v>-198742.49</v>
          </cell>
          <cell r="X60">
            <v>-198742.49</v>
          </cell>
          <cell r="Y60">
            <v>-198742.49</v>
          </cell>
          <cell r="Z60">
            <v>-198742.49</v>
          </cell>
          <cell r="AA60">
            <v>-198742.49</v>
          </cell>
          <cell r="AB60">
            <v>-198742.49</v>
          </cell>
          <cell r="AC60">
            <v>-198742.49</v>
          </cell>
        </row>
        <row r="61">
          <cell r="A61">
            <v>101020901001</v>
          </cell>
          <cell r="B61" t="str">
            <v xml:space="preserve">(-) Provisión Cuentas Incobrables                                     </v>
          </cell>
          <cell r="C61">
            <v>-198742.49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-198742.49</v>
          </cell>
          <cell r="R61">
            <v>-198742.49</v>
          </cell>
          <cell r="S61">
            <v>-198742.49</v>
          </cell>
          <cell r="T61">
            <v>-198742.49</v>
          </cell>
          <cell r="U61">
            <v>-198742.49</v>
          </cell>
          <cell r="V61">
            <v>-198742.49</v>
          </cell>
          <cell r="W61">
            <v>-198742.49</v>
          </cell>
          <cell r="X61">
            <v>-198742.49</v>
          </cell>
          <cell r="Y61">
            <v>-198742.49</v>
          </cell>
          <cell r="Z61">
            <v>-198742.49</v>
          </cell>
          <cell r="AA61">
            <v>-198742.49</v>
          </cell>
          <cell r="AB61">
            <v>-198742.49</v>
          </cell>
          <cell r="AC61">
            <v>-198742.49</v>
          </cell>
        </row>
        <row r="62">
          <cell r="A62">
            <v>10103</v>
          </cell>
          <cell r="B62" t="str">
            <v xml:space="preserve">INVENTARIOS                                                           </v>
          </cell>
          <cell r="C62">
            <v>6463838.8600000003</v>
          </cell>
          <cell r="D62">
            <v>277057.65999999997</v>
          </cell>
          <cell r="E62">
            <v>153296.13</v>
          </cell>
          <cell r="F62">
            <v>210319.45</v>
          </cell>
          <cell r="G62">
            <v>-380674.11</v>
          </cell>
          <cell r="H62">
            <v>-139420.21</v>
          </cell>
          <cell r="I62">
            <v>628168.69999999995</v>
          </cell>
          <cell r="J62">
            <v>-583064.93999999994</v>
          </cell>
          <cell r="K62">
            <v>-760214.19</v>
          </cell>
          <cell r="L62">
            <v>120812.86</v>
          </cell>
          <cell r="M62">
            <v>343828.63</v>
          </cell>
          <cell r="N62">
            <v>894850.09</v>
          </cell>
          <cell r="O62">
            <v>-1539027.29</v>
          </cell>
          <cell r="P62">
            <v>5689771.6399999997</v>
          </cell>
          <cell r="R62">
            <v>6740896.5200000005</v>
          </cell>
          <cell r="S62">
            <v>6894192.6500000004</v>
          </cell>
          <cell r="T62">
            <v>7104512.1000000006</v>
          </cell>
          <cell r="U62">
            <v>6723837.9900000002</v>
          </cell>
          <cell r="V62">
            <v>6584417.7800000003</v>
          </cell>
          <cell r="W62">
            <v>7212586.4800000004</v>
          </cell>
          <cell r="X62">
            <v>6629521.540000001</v>
          </cell>
          <cell r="Y62">
            <v>5869307.3500000015</v>
          </cell>
          <cell r="Z62">
            <v>5990120.2100000018</v>
          </cell>
          <cell r="AA62">
            <v>6333948.8400000017</v>
          </cell>
          <cell r="AB62">
            <v>7228798.9300000016</v>
          </cell>
          <cell r="AC62">
            <v>5689771.6400000015</v>
          </cell>
        </row>
        <row r="63">
          <cell r="A63">
            <v>1010301</v>
          </cell>
          <cell r="B63" t="str">
            <v xml:space="preserve">INVENTARIOS DE MATERIA PRIMA                                          </v>
          </cell>
          <cell r="C63">
            <v>4401296.42</v>
          </cell>
          <cell r="D63">
            <v>49746.46</v>
          </cell>
          <cell r="E63">
            <v>124691.88</v>
          </cell>
          <cell r="F63">
            <v>-706270.05</v>
          </cell>
          <cell r="G63">
            <v>401149.01</v>
          </cell>
          <cell r="H63">
            <v>474670.06</v>
          </cell>
          <cell r="I63">
            <v>256510.61</v>
          </cell>
          <cell r="J63">
            <v>1100731.6100000001</v>
          </cell>
          <cell r="K63">
            <v>-931385.83</v>
          </cell>
          <cell r="L63">
            <v>-2509607.36</v>
          </cell>
          <cell r="M63">
            <v>200967.03</v>
          </cell>
          <cell r="N63">
            <v>493185.03</v>
          </cell>
          <cell r="O63">
            <v>-1481100.91</v>
          </cell>
          <cell r="P63">
            <v>1874583.96</v>
          </cell>
          <cell r="R63">
            <v>4451042.88</v>
          </cell>
          <cell r="S63">
            <v>4575734.76</v>
          </cell>
          <cell r="T63">
            <v>3869464.71</v>
          </cell>
          <cell r="U63">
            <v>4270613.72</v>
          </cell>
          <cell r="V63">
            <v>4745283.7799999993</v>
          </cell>
          <cell r="W63">
            <v>5001794.3899999997</v>
          </cell>
          <cell r="X63">
            <v>6102526</v>
          </cell>
          <cell r="Y63">
            <v>5171140.17</v>
          </cell>
          <cell r="Z63">
            <v>2661532.81</v>
          </cell>
          <cell r="AA63">
            <v>2862499.8399999999</v>
          </cell>
          <cell r="AB63">
            <v>3355684.87</v>
          </cell>
          <cell r="AC63">
            <v>1874583.9600000002</v>
          </cell>
        </row>
        <row r="64">
          <cell r="A64">
            <v>101030101</v>
          </cell>
          <cell r="B64" t="str">
            <v xml:space="preserve">INVENTARIO DE MATERIA PRIMA BRUTA                                     </v>
          </cell>
          <cell r="C64">
            <v>4042314.33</v>
          </cell>
          <cell r="D64">
            <v>-24765.42</v>
          </cell>
          <cell r="E64">
            <v>174734.02</v>
          </cell>
          <cell r="F64">
            <v>-816350.83</v>
          </cell>
          <cell r="G64">
            <v>898050.08</v>
          </cell>
          <cell r="H64">
            <v>-289917.3</v>
          </cell>
          <cell r="I64">
            <v>-729867.7</v>
          </cell>
          <cell r="J64">
            <v>500398.27</v>
          </cell>
          <cell r="K64">
            <v>-817225.19</v>
          </cell>
          <cell r="L64">
            <v>-1037649.75</v>
          </cell>
          <cell r="M64">
            <v>59864.9</v>
          </cell>
          <cell r="N64">
            <v>347285.01</v>
          </cell>
          <cell r="O64">
            <v>-726532.51</v>
          </cell>
          <cell r="P64">
            <v>1580337.91</v>
          </cell>
          <cell r="R64">
            <v>4017548.91</v>
          </cell>
          <cell r="S64">
            <v>4192282.93</v>
          </cell>
          <cell r="T64">
            <v>3375932.1</v>
          </cell>
          <cell r="U64">
            <v>4273982.18</v>
          </cell>
          <cell r="V64">
            <v>3984064.88</v>
          </cell>
          <cell r="W64">
            <v>3254197.1799999997</v>
          </cell>
          <cell r="X64">
            <v>3754595.4499999997</v>
          </cell>
          <cell r="Y64">
            <v>2937370.26</v>
          </cell>
          <cell r="Z64">
            <v>1899720.5099999998</v>
          </cell>
          <cell r="AA64">
            <v>1959585.4099999997</v>
          </cell>
          <cell r="AB64">
            <v>2306870.42</v>
          </cell>
          <cell r="AC64">
            <v>1580337.91</v>
          </cell>
        </row>
        <row r="65">
          <cell r="A65">
            <v>101030101001</v>
          </cell>
          <cell r="B65" t="str">
            <v xml:space="preserve">Inventario Bobinas                                                    </v>
          </cell>
          <cell r="C65">
            <v>4042314.33</v>
          </cell>
          <cell r="D65">
            <v>-24765.42</v>
          </cell>
          <cell r="E65">
            <v>174734.02</v>
          </cell>
          <cell r="F65">
            <v>-816350.83</v>
          </cell>
          <cell r="G65">
            <v>898050.08</v>
          </cell>
          <cell r="H65">
            <v>-289917.3</v>
          </cell>
          <cell r="I65">
            <v>-729867.7</v>
          </cell>
          <cell r="J65">
            <v>500398.27</v>
          </cell>
          <cell r="K65">
            <v>-817225.19</v>
          </cell>
          <cell r="L65">
            <v>-1037649.75</v>
          </cell>
          <cell r="M65">
            <v>59864.9</v>
          </cell>
          <cell r="N65">
            <v>347285.01</v>
          </cell>
          <cell r="O65">
            <v>-726532.51</v>
          </cell>
          <cell r="P65">
            <v>1580337.91</v>
          </cell>
          <cell r="R65">
            <v>4017548.91</v>
          </cell>
          <cell r="S65">
            <v>4192282.93</v>
          </cell>
          <cell r="T65">
            <v>3375932.1</v>
          </cell>
          <cell r="U65">
            <v>4273982.18</v>
          </cell>
          <cell r="V65">
            <v>3984064.88</v>
          </cell>
          <cell r="W65">
            <v>3254197.1799999997</v>
          </cell>
          <cell r="X65">
            <v>3754595.4499999997</v>
          </cell>
          <cell r="Y65">
            <v>2937370.26</v>
          </cell>
          <cell r="Z65">
            <v>1899720.5099999998</v>
          </cell>
          <cell r="AA65">
            <v>1959585.4099999997</v>
          </cell>
          <cell r="AB65">
            <v>2306870.42</v>
          </cell>
          <cell r="AC65">
            <v>1580337.91</v>
          </cell>
        </row>
        <row r="66">
          <cell r="A66">
            <v>101030102</v>
          </cell>
          <cell r="B66" t="str">
            <v xml:space="preserve">INVENTARIO DE MATERIA PRIMA PARA PRODUCCION                           </v>
          </cell>
          <cell r="C66">
            <v>358982.09</v>
          </cell>
          <cell r="D66">
            <v>74511.88</v>
          </cell>
          <cell r="E66">
            <v>-50042.14</v>
          </cell>
          <cell r="F66">
            <v>110080.78</v>
          </cell>
          <cell r="G66">
            <v>-496901.07</v>
          </cell>
          <cell r="H66">
            <v>764587.36</v>
          </cell>
          <cell r="I66">
            <v>986378.31</v>
          </cell>
          <cell r="J66">
            <v>600333.34</v>
          </cell>
          <cell r="K66">
            <v>-114160.64</v>
          </cell>
          <cell r="L66">
            <v>-1471957.61</v>
          </cell>
          <cell r="M66">
            <v>141102.13</v>
          </cell>
          <cell r="N66">
            <v>145900.01999999999</v>
          </cell>
          <cell r="O66">
            <v>-754568.4</v>
          </cell>
          <cell r="P66">
            <v>294246.05</v>
          </cell>
          <cell r="R66">
            <v>433493.97000000003</v>
          </cell>
          <cell r="S66">
            <v>383451.83</v>
          </cell>
          <cell r="T66">
            <v>493532.61</v>
          </cell>
          <cell r="U66">
            <v>-3368.460000000021</v>
          </cell>
          <cell r="V66">
            <v>761218.89999999991</v>
          </cell>
          <cell r="W66">
            <v>1747597.21</v>
          </cell>
          <cell r="X66">
            <v>2347930.5499999998</v>
          </cell>
          <cell r="Y66">
            <v>2233769.9099999997</v>
          </cell>
          <cell r="Z66">
            <v>761812.29999999958</v>
          </cell>
          <cell r="AA66">
            <v>902914.42999999959</v>
          </cell>
          <cell r="AB66">
            <v>1048814.4499999995</v>
          </cell>
          <cell r="AC66">
            <v>294246.04999999946</v>
          </cell>
        </row>
        <row r="67">
          <cell r="A67">
            <v>101030102001</v>
          </cell>
          <cell r="B67" t="str">
            <v xml:space="preserve">Inventario Materia Prima                                              </v>
          </cell>
          <cell r="C67">
            <v>358982.09</v>
          </cell>
          <cell r="D67">
            <v>74511.88</v>
          </cell>
          <cell r="E67">
            <v>-50042.14</v>
          </cell>
          <cell r="F67">
            <v>110080.78</v>
          </cell>
          <cell r="G67">
            <v>-496901.07</v>
          </cell>
          <cell r="H67">
            <v>764587.36</v>
          </cell>
          <cell r="I67">
            <v>986378.31</v>
          </cell>
          <cell r="J67">
            <v>600333.34</v>
          </cell>
          <cell r="K67">
            <v>-114160.64</v>
          </cell>
          <cell r="L67">
            <v>-1471957.61</v>
          </cell>
          <cell r="M67">
            <v>141102.13</v>
          </cell>
          <cell r="N67">
            <v>145900.01999999999</v>
          </cell>
          <cell r="O67">
            <v>-754568.4</v>
          </cell>
          <cell r="P67">
            <v>294246.05</v>
          </cell>
          <cell r="R67">
            <v>433493.97000000003</v>
          </cell>
          <cell r="S67">
            <v>383451.83</v>
          </cell>
          <cell r="T67">
            <v>493532.61</v>
          </cell>
          <cell r="U67">
            <v>-3368.460000000021</v>
          </cell>
          <cell r="V67">
            <v>761218.89999999991</v>
          </cell>
          <cell r="W67">
            <v>1747597.21</v>
          </cell>
          <cell r="X67">
            <v>2347930.5499999998</v>
          </cell>
          <cell r="Y67">
            <v>2233769.9099999997</v>
          </cell>
          <cell r="Z67">
            <v>761812.29999999958</v>
          </cell>
          <cell r="AA67">
            <v>902914.42999999959</v>
          </cell>
          <cell r="AB67">
            <v>1048814.4499999995</v>
          </cell>
          <cell r="AC67">
            <v>294246.04999999946</v>
          </cell>
        </row>
        <row r="68">
          <cell r="A68">
            <v>1010302</v>
          </cell>
          <cell r="B68" t="str">
            <v xml:space="preserve">INVENTARIO DE PRODUCTOS EN PROCESO                                    </v>
          </cell>
          <cell r="C68">
            <v>7136.06</v>
          </cell>
          <cell r="D68">
            <v>-6311.53</v>
          </cell>
          <cell r="E68">
            <v>1617.12</v>
          </cell>
          <cell r="F68">
            <v>2793.82</v>
          </cell>
          <cell r="G68">
            <v>126742.02</v>
          </cell>
          <cell r="H68">
            <v>-93814.65</v>
          </cell>
          <cell r="I68">
            <v>111145.93</v>
          </cell>
          <cell r="J68">
            <v>-26303.27</v>
          </cell>
          <cell r="K68">
            <v>49537.7</v>
          </cell>
          <cell r="L68">
            <v>90126.46</v>
          </cell>
          <cell r="M68">
            <v>-57977.68</v>
          </cell>
          <cell r="N68">
            <v>-162110.06</v>
          </cell>
          <cell r="O68">
            <v>-85939.75</v>
          </cell>
          <cell r="P68">
            <v>-43357.83</v>
          </cell>
          <cell r="R68">
            <v>824.53000000000065</v>
          </cell>
          <cell r="S68">
            <v>2441.6500000000005</v>
          </cell>
          <cell r="T68">
            <v>5235.4700000000012</v>
          </cell>
          <cell r="U68">
            <v>131977.49</v>
          </cell>
          <cell r="V68">
            <v>38162.839999999997</v>
          </cell>
          <cell r="W68">
            <v>149308.76999999999</v>
          </cell>
          <cell r="X68">
            <v>123005.49999999999</v>
          </cell>
          <cell r="Y68">
            <v>172543.19999999998</v>
          </cell>
          <cell r="Z68">
            <v>262669.65999999997</v>
          </cell>
          <cell r="AA68">
            <v>204691.97999999998</v>
          </cell>
          <cell r="AB68">
            <v>42581.919999999984</v>
          </cell>
          <cell r="AC68">
            <v>-43357.830000000016</v>
          </cell>
        </row>
        <row r="69">
          <cell r="A69">
            <v>101030201</v>
          </cell>
          <cell r="B69" t="str">
            <v xml:space="preserve">INVENTARIOS DE PRODUCTOS EN PROCESO                                   </v>
          </cell>
          <cell r="C69">
            <v>7136.06</v>
          </cell>
          <cell r="D69">
            <v>-6311.53</v>
          </cell>
          <cell r="E69">
            <v>1617.12</v>
          </cell>
          <cell r="F69">
            <v>2793.82</v>
          </cell>
          <cell r="G69">
            <v>126742.02</v>
          </cell>
          <cell r="H69">
            <v>-93814.65</v>
          </cell>
          <cell r="I69">
            <v>111145.93</v>
          </cell>
          <cell r="J69">
            <v>-26303.27</v>
          </cell>
          <cell r="K69">
            <v>49537.7</v>
          </cell>
          <cell r="L69">
            <v>90126.46</v>
          </cell>
          <cell r="M69">
            <v>-57977.68</v>
          </cell>
          <cell r="N69">
            <v>-162110.06</v>
          </cell>
          <cell r="O69">
            <v>-85939.75</v>
          </cell>
          <cell r="P69">
            <v>-43357.83</v>
          </cell>
          <cell r="R69">
            <v>824.53000000000065</v>
          </cell>
          <cell r="S69">
            <v>2441.6500000000005</v>
          </cell>
          <cell r="T69">
            <v>5235.4700000000012</v>
          </cell>
          <cell r="U69">
            <v>131977.49</v>
          </cell>
          <cell r="V69">
            <v>38162.839999999997</v>
          </cell>
          <cell r="W69">
            <v>149308.76999999999</v>
          </cell>
          <cell r="X69">
            <v>123005.49999999999</v>
          </cell>
          <cell r="Y69">
            <v>172543.19999999998</v>
          </cell>
          <cell r="Z69">
            <v>262669.65999999997</v>
          </cell>
          <cell r="AA69">
            <v>204691.97999999998</v>
          </cell>
          <cell r="AB69">
            <v>42581.919999999984</v>
          </cell>
          <cell r="AC69">
            <v>-43357.830000000016</v>
          </cell>
        </row>
        <row r="70">
          <cell r="A70">
            <v>101030201001</v>
          </cell>
          <cell r="B70" t="str">
            <v xml:space="preserve">Inventario de Productos en Proceso                                    </v>
          </cell>
          <cell r="C70">
            <v>7136.06</v>
          </cell>
          <cell r="D70">
            <v>-6311.53</v>
          </cell>
          <cell r="E70">
            <v>1617.12</v>
          </cell>
          <cell r="F70">
            <v>2793.82</v>
          </cell>
          <cell r="G70">
            <v>126742.02</v>
          </cell>
          <cell r="H70">
            <v>-93814.65</v>
          </cell>
          <cell r="I70">
            <v>111145.93</v>
          </cell>
          <cell r="J70">
            <v>-26303.27</v>
          </cell>
          <cell r="K70">
            <v>49537.7</v>
          </cell>
          <cell r="L70">
            <v>90126.46</v>
          </cell>
          <cell r="M70">
            <v>-57977.68</v>
          </cell>
          <cell r="N70">
            <v>-162110.06</v>
          </cell>
          <cell r="O70">
            <v>-85939.75</v>
          </cell>
          <cell r="P70">
            <v>-43357.83</v>
          </cell>
          <cell r="R70">
            <v>824.53000000000065</v>
          </cell>
          <cell r="S70">
            <v>2441.6500000000005</v>
          </cell>
          <cell r="T70">
            <v>5235.4700000000012</v>
          </cell>
          <cell r="U70">
            <v>131977.49</v>
          </cell>
          <cell r="V70">
            <v>38162.839999999997</v>
          </cell>
          <cell r="W70">
            <v>149308.76999999999</v>
          </cell>
          <cell r="X70">
            <v>123005.49999999999</v>
          </cell>
          <cell r="Y70">
            <v>172543.19999999998</v>
          </cell>
          <cell r="Z70">
            <v>262669.65999999997</v>
          </cell>
          <cell r="AA70">
            <v>204691.97999999998</v>
          </cell>
          <cell r="AB70">
            <v>42581.919999999984</v>
          </cell>
          <cell r="AC70">
            <v>-43357.830000000016</v>
          </cell>
        </row>
        <row r="71">
          <cell r="A71">
            <v>1010303</v>
          </cell>
          <cell r="B71" t="str">
            <v xml:space="preserve">INVENTARIO DE PRODUCTOS TERMINADOS                                    </v>
          </cell>
          <cell r="C71">
            <v>616155.6</v>
          </cell>
          <cell r="D71">
            <v>-84334.73</v>
          </cell>
          <cell r="E71">
            <v>-10606.98</v>
          </cell>
          <cell r="F71">
            <v>68682.91</v>
          </cell>
          <cell r="G71">
            <v>97447.07</v>
          </cell>
          <cell r="H71">
            <v>298296.90000000002</v>
          </cell>
          <cell r="I71">
            <v>-159.35</v>
          </cell>
          <cell r="J71">
            <v>-318804.02</v>
          </cell>
          <cell r="K71">
            <v>24147.61</v>
          </cell>
          <cell r="L71">
            <v>69404.929999999993</v>
          </cell>
          <cell r="M71">
            <v>270205.15000000002</v>
          </cell>
          <cell r="N71">
            <v>169774.44</v>
          </cell>
          <cell r="O71">
            <v>3017.13</v>
          </cell>
          <cell r="P71">
            <v>1203226.6599999999</v>
          </cell>
          <cell r="R71">
            <v>531820.87</v>
          </cell>
          <cell r="S71">
            <v>521213.89</v>
          </cell>
          <cell r="T71">
            <v>589896.80000000005</v>
          </cell>
          <cell r="U71">
            <v>687343.87000000011</v>
          </cell>
          <cell r="V71">
            <v>985640.77000000014</v>
          </cell>
          <cell r="W71">
            <v>985481.42000000016</v>
          </cell>
          <cell r="X71">
            <v>666677.40000000014</v>
          </cell>
          <cell r="Y71">
            <v>690825.01000000013</v>
          </cell>
          <cell r="Z71">
            <v>760229.94000000018</v>
          </cell>
          <cell r="AA71">
            <v>1030435.0900000002</v>
          </cell>
          <cell r="AB71">
            <v>1200209.5300000003</v>
          </cell>
          <cell r="AC71">
            <v>1203226.6600000001</v>
          </cell>
        </row>
        <row r="72">
          <cell r="A72">
            <v>101030301</v>
          </cell>
          <cell r="B72" t="str">
            <v xml:space="preserve">INVENTARIO DE PRODUCTOS TERMINADOS                                    </v>
          </cell>
          <cell r="C72">
            <v>616155.6</v>
          </cell>
          <cell r="D72">
            <v>-84334.73</v>
          </cell>
          <cell r="E72">
            <v>-10606.98</v>
          </cell>
          <cell r="F72">
            <v>68682.91</v>
          </cell>
          <cell r="G72">
            <v>97447.07</v>
          </cell>
          <cell r="H72">
            <v>298296.90000000002</v>
          </cell>
          <cell r="I72">
            <v>-159.35</v>
          </cell>
          <cell r="J72">
            <v>-318804.02</v>
          </cell>
          <cell r="K72">
            <v>24147.61</v>
          </cell>
          <cell r="L72">
            <v>69404.929999999993</v>
          </cell>
          <cell r="M72">
            <v>270205.15000000002</v>
          </cell>
          <cell r="N72">
            <v>169774.44</v>
          </cell>
          <cell r="O72">
            <v>3017.13</v>
          </cell>
          <cell r="P72">
            <v>1203226.6599999999</v>
          </cell>
          <cell r="R72">
            <v>531820.87</v>
          </cell>
          <cell r="S72">
            <v>521213.89</v>
          </cell>
          <cell r="T72">
            <v>589896.80000000005</v>
          </cell>
          <cell r="U72">
            <v>687343.87000000011</v>
          </cell>
          <cell r="V72">
            <v>985640.77000000014</v>
          </cell>
          <cell r="W72">
            <v>985481.42000000016</v>
          </cell>
          <cell r="X72">
            <v>666677.40000000014</v>
          </cell>
          <cell r="Y72">
            <v>690825.01000000013</v>
          </cell>
          <cell r="Z72">
            <v>760229.94000000018</v>
          </cell>
          <cell r="AA72">
            <v>1030435.0900000002</v>
          </cell>
          <cell r="AB72">
            <v>1200209.5300000003</v>
          </cell>
          <cell r="AC72">
            <v>1203226.6600000001</v>
          </cell>
        </row>
        <row r="73">
          <cell r="A73">
            <v>101030301001</v>
          </cell>
          <cell r="B73" t="str">
            <v xml:space="preserve">Inventario Productos Terminados                                       </v>
          </cell>
          <cell r="C73">
            <v>589653.64</v>
          </cell>
          <cell r="D73">
            <v>-84334.73</v>
          </cell>
          <cell r="E73">
            <v>-10606.98</v>
          </cell>
          <cell r="F73">
            <v>48690.25</v>
          </cell>
          <cell r="G73">
            <v>199292.21</v>
          </cell>
          <cell r="H73">
            <v>254887.62</v>
          </cell>
          <cell r="I73">
            <v>-24246.959999999999</v>
          </cell>
          <cell r="J73">
            <v>-309182.59999999998</v>
          </cell>
          <cell r="K73">
            <v>24147.61</v>
          </cell>
          <cell r="L73">
            <v>69404.929999999993</v>
          </cell>
          <cell r="M73">
            <v>270205.15000000002</v>
          </cell>
          <cell r="N73">
            <v>169774.44</v>
          </cell>
          <cell r="O73">
            <v>3017.13</v>
          </cell>
          <cell r="P73">
            <v>1200701.71</v>
          </cell>
          <cell r="R73">
            <v>505318.91000000003</v>
          </cell>
          <cell r="S73">
            <v>494711.93000000005</v>
          </cell>
          <cell r="T73">
            <v>543402.18000000005</v>
          </cell>
          <cell r="U73">
            <v>742694.39</v>
          </cell>
          <cell r="V73">
            <v>997582.01</v>
          </cell>
          <cell r="W73">
            <v>973335.05</v>
          </cell>
          <cell r="X73">
            <v>664152.45000000007</v>
          </cell>
          <cell r="Y73">
            <v>688300.06</v>
          </cell>
          <cell r="Z73">
            <v>757704.99</v>
          </cell>
          <cell r="AA73">
            <v>1027910.14</v>
          </cell>
          <cell r="AB73">
            <v>1197684.58</v>
          </cell>
          <cell r="AC73">
            <v>1200701.71</v>
          </cell>
        </row>
        <row r="74">
          <cell r="A74">
            <v>101030301003</v>
          </cell>
          <cell r="B74" t="str">
            <v xml:space="preserve">Inventario Productos Terminados Adquirido                             </v>
          </cell>
          <cell r="C74">
            <v>26501.96</v>
          </cell>
          <cell r="D74">
            <v>0</v>
          </cell>
          <cell r="E74">
            <v>0</v>
          </cell>
          <cell r="F74">
            <v>19992.66</v>
          </cell>
          <cell r="G74">
            <v>-101845.14</v>
          </cell>
          <cell r="H74">
            <v>43409.279999999999</v>
          </cell>
          <cell r="I74">
            <v>24087.61</v>
          </cell>
          <cell r="J74">
            <v>-9621.42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2524.9499999999998</v>
          </cell>
          <cell r="R74">
            <v>26501.96</v>
          </cell>
          <cell r="S74">
            <v>26501.96</v>
          </cell>
          <cell r="T74">
            <v>46494.619999999995</v>
          </cell>
          <cell r="U74">
            <v>-55350.520000000004</v>
          </cell>
          <cell r="V74">
            <v>-11941.240000000005</v>
          </cell>
          <cell r="W74">
            <v>12146.369999999995</v>
          </cell>
          <cell r="X74">
            <v>2524.9499999999953</v>
          </cell>
          <cell r="Y74">
            <v>2524.9499999999953</v>
          </cell>
          <cell r="Z74">
            <v>2524.9499999999953</v>
          </cell>
          <cell r="AA74">
            <v>2524.9499999999953</v>
          </cell>
          <cell r="AB74">
            <v>2524.9499999999953</v>
          </cell>
          <cell r="AC74">
            <v>2524.9499999999953</v>
          </cell>
        </row>
        <row r="75">
          <cell r="A75">
            <v>1010304</v>
          </cell>
          <cell r="B75" t="str">
            <v xml:space="preserve">INVENTARIOS DE EMPAQUES                                               </v>
          </cell>
          <cell r="C75">
            <v>40988.17</v>
          </cell>
          <cell r="D75">
            <v>12660.71</v>
          </cell>
          <cell r="E75">
            <v>-2886.41</v>
          </cell>
          <cell r="F75">
            <v>253.97</v>
          </cell>
          <cell r="G75">
            <v>104941.62</v>
          </cell>
          <cell r="H75">
            <v>56666.68</v>
          </cell>
          <cell r="I75">
            <v>-36018.42</v>
          </cell>
          <cell r="J75">
            <v>-79302.02</v>
          </cell>
          <cell r="K75">
            <v>8233.89</v>
          </cell>
          <cell r="L75">
            <v>-74498.59</v>
          </cell>
          <cell r="M75">
            <v>-43983.4</v>
          </cell>
          <cell r="N75">
            <v>29755.85</v>
          </cell>
          <cell r="O75">
            <v>-31175.62</v>
          </cell>
          <cell r="P75">
            <v>-14363.57</v>
          </cell>
          <cell r="R75">
            <v>53648.88</v>
          </cell>
          <cell r="S75">
            <v>50762.47</v>
          </cell>
          <cell r="T75">
            <v>51016.44</v>
          </cell>
          <cell r="U75">
            <v>155958.06</v>
          </cell>
          <cell r="V75">
            <v>212624.74</v>
          </cell>
          <cell r="W75">
            <v>176606.32</v>
          </cell>
          <cell r="X75">
            <v>97304.3</v>
          </cell>
          <cell r="Y75">
            <v>105538.19</v>
          </cell>
          <cell r="Z75">
            <v>31039.600000000006</v>
          </cell>
          <cell r="AA75">
            <v>-12943.799999999996</v>
          </cell>
          <cell r="AB75">
            <v>16812.050000000003</v>
          </cell>
          <cell r="AC75">
            <v>-14363.569999999996</v>
          </cell>
        </row>
        <row r="76">
          <cell r="A76">
            <v>101030401</v>
          </cell>
          <cell r="B76" t="str">
            <v xml:space="preserve">INVENTARIOS DE EMPAQUES                                               </v>
          </cell>
          <cell r="C76">
            <v>40988.17</v>
          </cell>
          <cell r="D76">
            <v>12660.71</v>
          </cell>
          <cell r="E76">
            <v>-2886.41</v>
          </cell>
          <cell r="F76">
            <v>253.97</v>
          </cell>
          <cell r="G76">
            <v>104941.62</v>
          </cell>
          <cell r="H76">
            <v>56666.68</v>
          </cell>
          <cell r="I76">
            <v>-36018.42</v>
          </cell>
          <cell r="J76">
            <v>-79302.02</v>
          </cell>
          <cell r="K76">
            <v>8233.89</v>
          </cell>
          <cell r="L76">
            <v>-74498.59</v>
          </cell>
          <cell r="M76">
            <v>-43983.4</v>
          </cell>
          <cell r="N76">
            <v>29755.85</v>
          </cell>
          <cell r="O76">
            <v>-31175.62</v>
          </cell>
          <cell r="P76">
            <v>-14363.57</v>
          </cell>
          <cell r="R76">
            <v>53648.88</v>
          </cell>
          <cell r="S76">
            <v>50762.47</v>
          </cell>
          <cell r="T76">
            <v>51016.44</v>
          </cell>
          <cell r="U76">
            <v>155958.06</v>
          </cell>
          <cell r="V76">
            <v>212624.74</v>
          </cell>
          <cell r="W76">
            <v>176606.32</v>
          </cell>
          <cell r="X76">
            <v>97304.3</v>
          </cell>
          <cell r="Y76">
            <v>105538.19</v>
          </cell>
          <cell r="Z76">
            <v>31039.600000000006</v>
          </cell>
          <cell r="AA76">
            <v>-12943.799999999996</v>
          </cell>
          <cell r="AB76">
            <v>16812.050000000003</v>
          </cell>
          <cell r="AC76">
            <v>-14363.569999999996</v>
          </cell>
        </row>
        <row r="77">
          <cell r="A77">
            <v>101030401001</v>
          </cell>
          <cell r="B77" t="str">
            <v xml:space="preserve">Inventario de Empaques                                                </v>
          </cell>
          <cell r="C77">
            <v>40988.17</v>
          </cell>
          <cell r="D77">
            <v>12660.71</v>
          </cell>
          <cell r="E77">
            <v>-2886.41</v>
          </cell>
          <cell r="F77">
            <v>253.97</v>
          </cell>
          <cell r="G77">
            <v>104941.62</v>
          </cell>
          <cell r="H77">
            <v>56666.68</v>
          </cell>
          <cell r="I77">
            <v>-36018.42</v>
          </cell>
          <cell r="J77">
            <v>-79302.02</v>
          </cell>
          <cell r="K77">
            <v>8233.89</v>
          </cell>
          <cell r="L77">
            <v>-74498.59</v>
          </cell>
          <cell r="M77">
            <v>-43983.4</v>
          </cell>
          <cell r="N77">
            <v>29755.85</v>
          </cell>
          <cell r="O77">
            <v>-31175.62</v>
          </cell>
          <cell r="P77">
            <v>-14363.57</v>
          </cell>
          <cell r="R77">
            <v>53648.88</v>
          </cell>
          <cell r="S77">
            <v>50762.47</v>
          </cell>
          <cell r="T77">
            <v>51016.44</v>
          </cell>
          <cell r="U77">
            <v>155958.06</v>
          </cell>
          <cell r="V77">
            <v>212624.74</v>
          </cell>
          <cell r="W77">
            <v>176606.32</v>
          </cell>
          <cell r="X77">
            <v>97304.3</v>
          </cell>
          <cell r="Y77">
            <v>105538.19</v>
          </cell>
          <cell r="Z77">
            <v>31039.600000000006</v>
          </cell>
          <cell r="AA77">
            <v>-12943.799999999996</v>
          </cell>
          <cell r="AB77">
            <v>16812.050000000003</v>
          </cell>
          <cell r="AC77">
            <v>-14363.569999999996</v>
          </cell>
        </row>
        <row r="78">
          <cell r="A78">
            <v>1010305</v>
          </cell>
          <cell r="B78" t="str">
            <v xml:space="preserve">INVENTARIOS DE SUMINISTROS INDUSTRIALES                               </v>
          </cell>
          <cell r="C78">
            <v>44911.58</v>
          </cell>
          <cell r="D78">
            <v>91.5</v>
          </cell>
          <cell r="E78">
            <v>4648.45</v>
          </cell>
          <cell r="F78">
            <v>129.5</v>
          </cell>
          <cell r="G78">
            <v>883.74</v>
          </cell>
          <cell r="H78">
            <v>3928.5</v>
          </cell>
          <cell r="I78">
            <v>4574.47</v>
          </cell>
          <cell r="J78">
            <v>5295.98</v>
          </cell>
          <cell r="K78">
            <v>-198.48</v>
          </cell>
          <cell r="L78">
            <v>2694.5</v>
          </cell>
          <cell r="M78">
            <v>22456.25</v>
          </cell>
          <cell r="N78">
            <v>18614.27</v>
          </cell>
          <cell r="O78">
            <v>8841.82</v>
          </cell>
          <cell r="P78">
            <v>116872.08</v>
          </cell>
          <cell r="R78">
            <v>45003.08</v>
          </cell>
          <cell r="S78">
            <v>49651.53</v>
          </cell>
          <cell r="T78">
            <v>49781.03</v>
          </cell>
          <cell r="U78">
            <v>50664.77</v>
          </cell>
          <cell r="V78">
            <v>54593.27</v>
          </cell>
          <cell r="W78">
            <v>59167.74</v>
          </cell>
          <cell r="X78">
            <v>64463.72</v>
          </cell>
          <cell r="Y78">
            <v>64265.24</v>
          </cell>
          <cell r="Z78">
            <v>66959.739999999991</v>
          </cell>
          <cell r="AA78">
            <v>89415.989999999991</v>
          </cell>
          <cell r="AB78">
            <v>108030.26</v>
          </cell>
          <cell r="AC78">
            <v>116872.07999999999</v>
          </cell>
        </row>
        <row r="79">
          <cell r="A79">
            <v>101030501</v>
          </cell>
          <cell r="B79" t="str">
            <v xml:space="preserve">INVENTARIOS DE SUMINISTROS INDUSTRIALES                               </v>
          </cell>
          <cell r="C79">
            <v>44911.58</v>
          </cell>
          <cell r="D79">
            <v>91.5</v>
          </cell>
          <cell r="E79">
            <v>4648.45</v>
          </cell>
          <cell r="F79">
            <v>129.5</v>
          </cell>
          <cell r="G79">
            <v>883.74</v>
          </cell>
          <cell r="H79">
            <v>3928.5</v>
          </cell>
          <cell r="I79">
            <v>4574.47</v>
          </cell>
          <cell r="J79">
            <v>5295.98</v>
          </cell>
          <cell r="K79">
            <v>-198.48</v>
          </cell>
          <cell r="L79">
            <v>2694.5</v>
          </cell>
          <cell r="M79">
            <v>22456.25</v>
          </cell>
          <cell r="N79">
            <v>18614.27</v>
          </cell>
          <cell r="O79">
            <v>8841.82</v>
          </cell>
          <cell r="P79">
            <v>116872.08</v>
          </cell>
          <cell r="R79">
            <v>45003.08</v>
          </cell>
          <cell r="S79">
            <v>49651.53</v>
          </cell>
          <cell r="T79">
            <v>49781.03</v>
          </cell>
          <cell r="U79">
            <v>50664.77</v>
          </cell>
          <cell r="V79">
            <v>54593.27</v>
          </cell>
          <cell r="W79">
            <v>59167.74</v>
          </cell>
          <cell r="X79">
            <v>64463.72</v>
          </cell>
          <cell r="Y79">
            <v>64265.24</v>
          </cell>
          <cell r="Z79">
            <v>66959.739999999991</v>
          </cell>
          <cell r="AA79">
            <v>89415.989999999991</v>
          </cell>
          <cell r="AB79">
            <v>108030.26</v>
          </cell>
          <cell r="AC79">
            <v>116872.07999999999</v>
          </cell>
        </row>
        <row r="80">
          <cell r="A80">
            <v>101030501001</v>
          </cell>
          <cell r="B80" t="str">
            <v xml:space="preserve">Inventarios de Suministros Industriales                               </v>
          </cell>
          <cell r="C80">
            <v>44911.58</v>
          </cell>
          <cell r="D80">
            <v>91.5</v>
          </cell>
          <cell r="E80">
            <v>4648.45</v>
          </cell>
          <cell r="F80">
            <v>129.5</v>
          </cell>
          <cell r="G80">
            <v>883.74</v>
          </cell>
          <cell r="H80">
            <v>3928.5</v>
          </cell>
          <cell r="I80">
            <v>4574.47</v>
          </cell>
          <cell r="J80">
            <v>5295.98</v>
          </cell>
          <cell r="K80">
            <v>-198.48</v>
          </cell>
          <cell r="L80">
            <v>2694.5</v>
          </cell>
          <cell r="M80">
            <v>22456.25</v>
          </cell>
          <cell r="N80">
            <v>18614.27</v>
          </cell>
          <cell r="O80">
            <v>8841.82</v>
          </cell>
          <cell r="P80">
            <v>116872.08</v>
          </cell>
          <cell r="R80">
            <v>45003.08</v>
          </cell>
          <cell r="S80">
            <v>49651.53</v>
          </cell>
          <cell r="T80">
            <v>49781.03</v>
          </cell>
          <cell r="U80">
            <v>50664.77</v>
          </cell>
          <cell r="V80">
            <v>54593.27</v>
          </cell>
          <cell r="W80">
            <v>59167.74</v>
          </cell>
          <cell r="X80">
            <v>64463.72</v>
          </cell>
          <cell r="Y80">
            <v>64265.24</v>
          </cell>
          <cell r="Z80">
            <v>66959.739999999991</v>
          </cell>
          <cell r="AA80">
            <v>89415.989999999991</v>
          </cell>
          <cell r="AB80">
            <v>108030.26</v>
          </cell>
          <cell r="AC80">
            <v>116872.07999999999</v>
          </cell>
        </row>
        <row r="81">
          <cell r="A81">
            <v>1010306</v>
          </cell>
          <cell r="B81" t="str">
            <v xml:space="preserve">INVENTARIOS DE REPUESTOS, HERRAMIENTAS Y ACCESORIOS                   </v>
          </cell>
          <cell r="C81">
            <v>393908.33</v>
          </cell>
          <cell r="D81">
            <v>-6738.01</v>
          </cell>
          <cell r="E81">
            <v>513.76</v>
          </cell>
          <cell r="F81">
            <v>36009.800000000003</v>
          </cell>
          <cell r="G81">
            <v>-19865.080000000002</v>
          </cell>
          <cell r="H81">
            <v>-79736.97</v>
          </cell>
          <cell r="I81">
            <v>1930.44</v>
          </cell>
          <cell r="J81">
            <v>1182.8</v>
          </cell>
          <cell r="K81">
            <v>9206.94</v>
          </cell>
          <cell r="L81">
            <v>199.19</v>
          </cell>
          <cell r="M81">
            <v>5347.43</v>
          </cell>
          <cell r="N81">
            <v>22768.53</v>
          </cell>
          <cell r="O81">
            <v>59869.87</v>
          </cell>
          <cell r="P81">
            <v>424597.03</v>
          </cell>
          <cell r="R81">
            <v>387170.32</v>
          </cell>
          <cell r="S81">
            <v>387684.08</v>
          </cell>
          <cell r="T81">
            <v>423693.88</v>
          </cell>
          <cell r="U81">
            <v>403828.8</v>
          </cell>
          <cell r="V81">
            <v>324091.82999999996</v>
          </cell>
          <cell r="W81">
            <v>326022.26999999996</v>
          </cell>
          <cell r="X81">
            <v>327205.06999999995</v>
          </cell>
          <cell r="Y81">
            <v>336412.00999999995</v>
          </cell>
          <cell r="Z81">
            <v>336611.19999999995</v>
          </cell>
          <cell r="AA81">
            <v>341958.62999999995</v>
          </cell>
          <cell r="AB81">
            <v>364727.15999999992</v>
          </cell>
          <cell r="AC81">
            <v>424597.02999999991</v>
          </cell>
        </row>
        <row r="82">
          <cell r="A82">
            <v>101030601</v>
          </cell>
          <cell r="B82" t="str">
            <v xml:space="preserve">INVENTARIOS DE REPUESTOS Y OTROS                                      </v>
          </cell>
          <cell r="C82">
            <v>393908.33</v>
          </cell>
          <cell r="D82">
            <v>-6738.01</v>
          </cell>
          <cell r="E82">
            <v>513.76</v>
          </cell>
          <cell r="F82">
            <v>36009.800000000003</v>
          </cell>
          <cell r="G82">
            <v>-19865.080000000002</v>
          </cell>
          <cell r="H82">
            <v>-79736.97</v>
          </cell>
          <cell r="I82">
            <v>1930.44</v>
          </cell>
          <cell r="J82">
            <v>1182.8</v>
          </cell>
          <cell r="K82">
            <v>9206.94</v>
          </cell>
          <cell r="L82">
            <v>199.19</v>
          </cell>
          <cell r="M82">
            <v>5347.43</v>
          </cell>
          <cell r="N82">
            <v>22768.53</v>
          </cell>
          <cell r="O82">
            <v>59869.87</v>
          </cell>
          <cell r="P82">
            <v>424597.03</v>
          </cell>
          <cell r="R82">
            <v>387170.32</v>
          </cell>
          <cell r="S82">
            <v>387684.08</v>
          </cell>
          <cell r="T82">
            <v>423693.88</v>
          </cell>
          <cell r="U82">
            <v>403828.8</v>
          </cell>
          <cell r="V82">
            <v>324091.82999999996</v>
          </cell>
          <cell r="W82">
            <v>326022.26999999996</v>
          </cell>
          <cell r="X82">
            <v>327205.06999999995</v>
          </cell>
          <cell r="Y82">
            <v>336412.00999999995</v>
          </cell>
          <cell r="Z82">
            <v>336611.19999999995</v>
          </cell>
          <cell r="AA82">
            <v>341958.62999999995</v>
          </cell>
          <cell r="AB82">
            <v>364727.15999999992</v>
          </cell>
          <cell r="AC82">
            <v>424597.02999999991</v>
          </cell>
        </row>
        <row r="83">
          <cell r="A83">
            <v>101030601001</v>
          </cell>
          <cell r="B83" t="str">
            <v xml:space="preserve">Inventario de Repuestos                                               </v>
          </cell>
          <cell r="C83">
            <v>393908.33</v>
          </cell>
          <cell r="D83">
            <v>-6738.01</v>
          </cell>
          <cell r="E83">
            <v>513.76</v>
          </cell>
          <cell r="F83">
            <v>36009.800000000003</v>
          </cell>
          <cell r="G83">
            <v>-19865.080000000002</v>
          </cell>
          <cell r="H83">
            <v>-79736.97</v>
          </cell>
          <cell r="I83">
            <v>1930.44</v>
          </cell>
          <cell r="J83">
            <v>1182.8</v>
          </cell>
          <cell r="K83">
            <v>9206.94</v>
          </cell>
          <cell r="L83">
            <v>199.19</v>
          </cell>
          <cell r="M83">
            <v>5347.43</v>
          </cell>
          <cell r="N83">
            <v>22768.53</v>
          </cell>
          <cell r="O83">
            <v>59869.87</v>
          </cell>
          <cell r="P83">
            <v>424597.03</v>
          </cell>
          <cell r="R83">
            <v>387170.32</v>
          </cell>
          <cell r="S83">
            <v>387684.08</v>
          </cell>
          <cell r="T83">
            <v>423693.88</v>
          </cell>
          <cell r="U83">
            <v>403828.8</v>
          </cell>
          <cell r="V83">
            <v>324091.82999999996</v>
          </cell>
          <cell r="W83">
            <v>326022.26999999996</v>
          </cell>
          <cell r="X83">
            <v>327205.06999999995</v>
          </cell>
          <cell r="Y83">
            <v>336412.00999999995</v>
          </cell>
          <cell r="Z83">
            <v>336611.19999999995</v>
          </cell>
          <cell r="AA83">
            <v>341958.62999999995</v>
          </cell>
          <cell r="AB83">
            <v>364727.15999999992</v>
          </cell>
          <cell r="AC83">
            <v>424597.02999999991</v>
          </cell>
        </row>
        <row r="84">
          <cell r="A84">
            <v>1010307</v>
          </cell>
          <cell r="B84" t="str">
            <v xml:space="preserve">IMPORTACIONES EN TRANSITO                                             </v>
          </cell>
          <cell r="C84">
            <v>492787.06</v>
          </cell>
          <cell r="D84">
            <v>368054.32</v>
          </cell>
          <cell r="E84">
            <v>19115.060000000001</v>
          </cell>
          <cell r="F84">
            <v>808141.63</v>
          </cell>
          <cell r="G84">
            <v>-1256142.3700000001</v>
          </cell>
          <cell r="H84">
            <v>49828.59</v>
          </cell>
          <cell r="I84">
            <v>1114646.96</v>
          </cell>
          <cell r="J84">
            <v>-1009811.76</v>
          </cell>
          <cell r="K84">
            <v>40163.58</v>
          </cell>
          <cell r="L84">
            <v>934856.94</v>
          </cell>
          <cell r="M84">
            <v>-469978.03</v>
          </cell>
          <cell r="N84">
            <v>334101.33</v>
          </cell>
          <cell r="O84">
            <v>311744.71000000002</v>
          </cell>
          <cell r="P84">
            <v>1737508.02</v>
          </cell>
          <cell r="R84">
            <v>860841.38</v>
          </cell>
          <cell r="S84">
            <v>879956.44000000006</v>
          </cell>
          <cell r="T84">
            <v>1688098.07</v>
          </cell>
          <cell r="U84">
            <v>431955.69999999995</v>
          </cell>
          <cell r="V84">
            <v>481784.28999999992</v>
          </cell>
          <cell r="W84">
            <v>1596431.25</v>
          </cell>
          <cell r="X84">
            <v>586619.49</v>
          </cell>
          <cell r="Y84">
            <v>626783.06999999995</v>
          </cell>
          <cell r="Z84">
            <v>1561640.0099999998</v>
          </cell>
          <cell r="AA84">
            <v>1091661.9799999997</v>
          </cell>
          <cell r="AB84">
            <v>1425763.3099999998</v>
          </cell>
          <cell r="AC84">
            <v>1737508.0199999998</v>
          </cell>
        </row>
        <row r="85">
          <cell r="A85">
            <v>101030701</v>
          </cell>
          <cell r="B85" t="str">
            <v xml:space="preserve">IMPORTACIONES EN TRANSITO                                             </v>
          </cell>
          <cell r="C85">
            <v>492787.06</v>
          </cell>
          <cell r="D85">
            <v>368054.32</v>
          </cell>
          <cell r="E85">
            <v>19115.060000000001</v>
          </cell>
          <cell r="F85">
            <v>808141.63</v>
          </cell>
          <cell r="G85">
            <v>-1256142.3700000001</v>
          </cell>
          <cell r="H85">
            <v>49828.59</v>
          </cell>
          <cell r="I85">
            <v>1114646.96</v>
          </cell>
          <cell r="J85">
            <v>-1009811.76</v>
          </cell>
          <cell r="K85">
            <v>40163.58</v>
          </cell>
          <cell r="L85">
            <v>934856.94</v>
          </cell>
          <cell r="M85">
            <v>-469978.03</v>
          </cell>
          <cell r="N85">
            <v>334101.33</v>
          </cell>
          <cell r="O85">
            <v>311744.71000000002</v>
          </cell>
          <cell r="P85">
            <v>1737508.02</v>
          </cell>
          <cell r="R85">
            <v>860841.38</v>
          </cell>
          <cell r="S85">
            <v>879956.44000000006</v>
          </cell>
          <cell r="T85">
            <v>1688098.07</v>
          </cell>
          <cell r="U85">
            <v>431955.69999999995</v>
          </cell>
          <cell r="V85">
            <v>481784.28999999992</v>
          </cell>
          <cell r="W85">
            <v>1596431.25</v>
          </cell>
          <cell r="X85">
            <v>586619.49</v>
          </cell>
          <cell r="Y85">
            <v>626783.06999999995</v>
          </cell>
          <cell r="Z85">
            <v>1561640.0099999998</v>
          </cell>
          <cell r="AA85">
            <v>1091661.9799999997</v>
          </cell>
          <cell r="AB85">
            <v>1425763.3099999998</v>
          </cell>
          <cell r="AC85">
            <v>1737508.0199999998</v>
          </cell>
        </row>
        <row r="86">
          <cell r="A86">
            <v>101030701001</v>
          </cell>
          <cell r="B86" t="str">
            <v xml:space="preserve">Importaciones en Transito                                             </v>
          </cell>
          <cell r="C86">
            <v>492787.06</v>
          </cell>
          <cell r="D86">
            <v>368054.32</v>
          </cell>
          <cell r="E86">
            <v>19115.060000000001</v>
          </cell>
          <cell r="F86">
            <v>808141.63</v>
          </cell>
          <cell r="G86">
            <v>-1256142.3700000001</v>
          </cell>
          <cell r="H86">
            <v>49828.59</v>
          </cell>
          <cell r="I86">
            <v>1114646.96</v>
          </cell>
          <cell r="J86">
            <v>-1009811.76</v>
          </cell>
          <cell r="K86">
            <v>40163.58</v>
          </cell>
          <cell r="L86">
            <v>934856.94</v>
          </cell>
          <cell r="M86">
            <v>-469978.03</v>
          </cell>
          <cell r="N86">
            <v>334101.33</v>
          </cell>
          <cell r="O86">
            <v>311744.71000000002</v>
          </cell>
          <cell r="P86">
            <v>1737508.02</v>
          </cell>
          <cell r="R86">
            <v>860841.38</v>
          </cell>
          <cell r="S86">
            <v>879956.44000000006</v>
          </cell>
          <cell r="T86">
            <v>1688098.07</v>
          </cell>
          <cell r="U86">
            <v>431955.69999999995</v>
          </cell>
          <cell r="V86">
            <v>481784.28999999992</v>
          </cell>
          <cell r="W86">
            <v>1596431.25</v>
          </cell>
          <cell r="X86">
            <v>586619.49</v>
          </cell>
          <cell r="Y86">
            <v>626783.06999999995</v>
          </cell>
          <cell r="Z86">
            <v>1561640.0099999998</v>
          </cell>
          <cell r="AA86">
            <v>1091661.9799999997</v>
          </cell>
          <cell r="AB86">
            <v>1425763.3099999998</v>
          </cell>
          <cell r="AC86">
            <v>1737508.0199999998</v>
          </cell>
        </row>
        <row r="87">
          <cell r="A87">
            <v>1010308</v>
          </cell>
          <cell r="B87" t="str">
            <v xml:space="preserve">MOV. DE INVENTARIO EN TRANSITO                                        </v>
          </cell>
          <cell r="C87">
            <v>466655.64</v>
          </cell>
          <cell r="D87">
            <v>-56111.06</v>
          </cell>
          <cell r="E87">
            <v>16203.25</v>
          </cell>
          <cell r="F87">
            <v>577.87</v>
          </cell>
          <cell r="G87">
            <v>164169.88</v>
          </cell>
          <cell r="H87">
            <v>-849259.32</v>
          </cell>
          <cell r="I87">
            <v>-824461.94</v>
          </cell>
          <cell r="J87">
            <v>-256054.26</v>
          </cell>
          <cell r="K87">
            <v>40080.400000000001</v>
          </cell>
          <cell r="L87">
            <v>1607636.79</v>
          </cell>
          <cell r="M87">
            <v>416791.88</v>
          </cell>
          <cell r="N87">
            <v>-11239.3</v>
          </cell>
          <cell r="O87">
            <v>-324284.53999999998</v>
          </cell>
          <cell r="P87">
            <v>390705.29</v>
          </cell>
          <cell r="R87">
            <v>410544.58</v>
          </cell>
          <cell r="S87">
            <v>426747.83</v>
          </cell>
          <cell r="T87">
            <v>427325.7</v>
          </cell>
          <cell r="U87">
            <v>591495.58000000007</v>
          </cell>
          <cell r="V87">
            <v>-257763.73999999987</v>
          </cell>
          <cell r="W87">
            <v>-1082225.6799999997</v>
          </cell>
          <cell r="X87">
            <v>-1338279.9399999997</v>
          </cell>
          <cell r="Y87">
            <v>-1298199.5399999998</v>
          </cell>
          <cell r="Z87">
            <v>309437.25000000023</v>
          </cell>
          <cell r="AA87">
            <v>726229.13000000024</v>
          </cell>
          <cell r="AB87">
            <v>714989.83000000019</v>
          </cell>
          <cell r="AC87">
            <v>390705.29000000021</v>
          </cell>
        </row>
        <row r="88">
          <cell r="A88">
            <v>101030801</v>
          </cell>
          <cell r="B88" t="str">
            <v xml:space="preserve">MOV. DE INVENTARIO EN TRANSITO                                        </v>
          </cell>
          <cell r="C88">
            <v>466655.64</v>
          </cell>
          <cell r="D88">
            <v>-56111.06</v>
          </cell>
          <cell r="E88">
            <v>16203.25</v>
          </cell>
          <cell r="F88">
            <v>577.87</v>
          </cell>
          <cell r="G88">
            <v>164169.88</v>
          </cell>
          <cell r="H88">
            <v>-849259.32</v>
          </cell>
          <cell r="I88">
            <v>-824461.94</v>
          </cell>
          <cell r="J88">
            <v>-256054.26</v>
          </cell>
          <cell r="K88">
            <v>40080.400000000001</v>
          </cell>
          <cell r="L88">
            <v>1607636.79</v>
          </cell>
          <cell r="M88">
            <v>416791.88</v>
          </cell>
          <cell r="N88">
            <v>-11239.3</v>
          </cell>
          <cell r="O88">
            <v>-324284.53999999998</v>
          </cell>
          <cell r="P88">
            <v>390705.29</v>
          </cell>
          <cell r="R88">
            <v>410544.58</v>
          </cell>
          <cell r="S88">
            <v>426747.83</v>
          </cell>
          <cell r="T88">
            <v>427325.7</v>
          </cell>
          <cell r="U88">
            <v>591495.58000000007</v>
          </cell>
          <cell r="V88">
            <v>-257763.73999999987</v>
          </cell>
          <cell r="W88">
            <v>-1082225.6799999997</v>
          </cell>
          <cell r="X88">
            <v>-1338279.9399999997</v>
          </cell>
          <cell r="Y88">
            <v>-1298199.5399999998</v>
          </cell>
          <cell r="Z88">
            <v>309437.25000000023</v>
          </cell>
          <cell r="AA88">
            <v>726229.13000000024</v>
          </cell>
          <cell r="AB88">
            <v>714989.83000000019</v>
          </cell>
          <cell r="AC88">
            <v>390705.29000000021</v>
          </cell>
        </row>
        <row r="89">
          <cell r="A89">
            <v>101030801001</v>
          </cell>
          <cell r="B89" t="str">
            <v xml:space="preserve">Mov. de Inventario en Transito                                        </v>
          </cell>
          <cell r="C89">
            <v>466655.64</v>
          </cell>
          <cell r="D89">
            <v>-56111.06</v>
          </cell>
          <cell r="E89">
            <v>16203.25</v>
          </cell>
          <cell r="F89">
            <v>577.87</v>
          </cell>
          <cell r="G89">
            <v>164169.88</v>
          </cell>
          <cell r="H89">
            <v>-849259.32</v>
          </cell>
          <cell r="I89">
            <v>-824461.94</v>
          </cell>
          <cell r="J89">
            <v>-256054.26</v>
          </cell>
          <cell r="K89">
            <v>40080.400000000001</v>
          </cell>
          <cell r="L89">
            <v>1607636.79</v>
          </cell>
          <cell r="M89">
            <v>416791.88</v>
          </cell>
          <cell r="N89">
            <v>-11239.3</v>
          </cell>
          <cell r="O89">
            <v>-324284.53999999998</v>
          </cell>
          <cell r="P89">
            <v>390705.29</v>
          </cell>
          <cell r="R89">
            <v>410544.58</v>
          </cell>
          <cell r="S89">
            <v>426747.83</v>
          </cell>
          <cell r="T89">
            <v>427325.7</v>
          </cell>
          <cell r="U89">
            <v>591495.58000000007</v>
          </cell>
          <cell r="V89">
            <v>-257763.73999999987</v>
          </cell>
          <cell r="W89">
            <v>-1082225.6799999997</v>
          </cell>
          <cell r="X89">
            <v>-1338279.9399999997</v>
          </cell>
          <cell r="Y89">
            <v>-1298199.5399999998</v>
          </cell>
          <cell r="Z89">
            <v>309437.25000000023</v>
          </cell>
          <cell r="AA89">
            <v>726229.13000000024</v>
          </cell>
          <cell r="AB89">
            <v>714989.83000000019</v>
          </cell>
          <cell r="AC89">
            <v>390705.29000000021</v>
          </cell>
        </row>
        <row r="90">
          <cell r="A90">
            <v>10104</v>
          </cell>
          <cell r="B90" t="str">
            <v xml:space="preserve">SERVICIOS Y OTROS GASTOS ANTICIPADOS                                  </v>
          </cell>
          <cell r="C90">
            <v>20359.41</v>
          </cell>
          <cell r="D90">
            <v>-2857.63</v>
          </cell>
          <cell r="E90">
            <v>2290.15</v>
          </cell>
          <cell r="F90">
            <v>-3008.29</v>
          </cell>
          <cell r="G90">
            <v>-3420.59</v>
          </cell>
          <cell r="H90">
            <v>-2985.64</v>
          </cell>
          <cell r="I90">
            <v>-2560.11</v>
          </cell>
          <cell r="J90">
            <v>-2559.79</v>
          </cell>
          <cell r="K90">
            <v>-2533.4499999999998</v>
          </cell>
          <cell r="L90">
            <v>-1003.51</v>
          </cell>
          <cell r="M90">
            <v>-1095.55</v>
          </cell>
          <cell r="N90">
            <v>811.31</v>
          </cell>
          <cell r="O90">
            <v>0</v>
          </cell>
          <cell r="P90">
            <v>1436.31</v>
          </cell>
          <cell r="R90">
            <v>17501.78</v>
          </cell>
          <cell r="S90">
            <v>19791.93</v>
          </cell>
          <cell r="T90">
            <v>16783.64</v>
          </cell>
          <cell r="U90">
            <v>13363.05</v>
          </cell>
          <cell r="V90">
            <v>10377.41</v>
          </cell>
          <cell r="W90">
            <v>7817.2999999999993</v>
          </cell>
          <cell r="X90">
            <v>5257.5099999999993</v>
          </cell>
          <cell r="Y90">
            <v>2724.0599999999995</v>
          </cell>
          <cell r="Z90">
            <v>1720.5499999999995</v>
          </cell>
          <cell r="AA90">
            <v>624.99999999999955</v>
          </cell>
          <cell r="AB90">
            <v>1436.3099999999995</v>
          </cell>
          <cell r="AC90">
            <v>1436.3099999999995</v>
          </cell>
        </row>
        <row r="91">
          <cell r="A91">
            <v>1010401</v>
          </cell>
          <cell r="B91" t="str">
            <v xml:space="preserve">SERVICIOS Y OTROS GASTOS ANTICIPADOS                                  </v>
          </cell>
          <cell r="C91">
            <v>20359.41</v>
          </cell>
          <cell r="D91">
            <v>-2857.63</v>
          </cell>
          <cell r="E91">
            <v>2290.15</v>
          </cell>
          <cell r="F91">
            <v>-3008.29</v>
          </cell>
          <cell r="G91">
            <v>-3420.59</v>
          </cell>
          <cell r="H91">
            <v>-2985.64</v>
          </cell>
          <cell r="I91">
            <v>-2560.11</v>
          </cell>
          <cell r="J91">
            <v>-2559.79</v>
          </cell>
          <cell r="K91">
            <v>-2533.4499999999998</v>
          </cell>
          <cell r="L91">
            <v>-1003.51</v>
          </cell>
          <cell r="M91">
            <v>-1095.55</v>
          </cell>
          <cell r="N91">
            <v>811.31</v>
          </cell>
          <cell r="O91">
            <v>0</v>
          </cell>
          <cell r="P91">
            <v>1436.31</v>
          </cell>
          <cell r="R91">
            <v>17501.78</v>
          </cell>
          <cell r="S91">
            <v>19791.93</v>
          </cell>
          <cell r="T91">
            <v>16783.64</v>
          </cell>
          <cell r="U91">
            <v>13363.05</v>
          </cell>
          <cell r="V91">
            <v>10377.41</v>
          </cell>
          <cell r="W91">
            <v>7817.2999999999993</v>
          </cell>
          <cell r="X91">
            <v>5257.5099999999993</v>
          </cell>
          <cell r="Y91">
            <v>2724.0599999999995</v>
          </cell>
          <cell r="Z91">
            <v>1720.5499999999995</v>
          </cell>
          <cell r="AA91">
            <v>624.99999999999955</v>
          </cell>
          <cell r="AB91">
            <v>1436.3099999999995</v>
          </cell>
          <cell r="AC91">
            <v>1436.3099999999995</v>
          </cell>
        </row>
        <row r="92">
          <cell r="A92">
            <v>101040101</v>
          </cell>
          <cell r="B92" t="str">
            <v xml:space="preserve">SEGUROS PAGADOS POR  ANTICIPADOS                                      </v>
          </cell>
          <cell r="C92">
            <v>20359.41</v>
          </cell>
          <cell r="D92">
            <v>-2857.63</v>
          </cell>
          <cell r="E92">
            <v>2290.15</v>
          </cell>
          <cell r="F92">
            <v>-3008.29</v>
          </cell>
          <cell r="G92">
            <v>-3420.59</v>
          </cell>
          <cell r="H92">
            <v>-2985.64</v>
          </cell>
          <cell r="I92">
            <v>-2560.11</v>
          </cell>
          <cell r="J92">
            <v>-2559.79</v>
          </cell>
          <cell r="K92">
            <v>-2533.4499999999998</v>
          </cell>
          <cell r="L92">
            <v>-1003.51</v>
          </cell>
          <cell r="M92">
            <v>-1095.55</v>
          </cell>
          <cell r="N92">
            <v>811.31</v>
          </cell>
          <cell r="O92">
            <v>0</v>
          </cell>
          <cell r="P92">
            <v>1436.31</v>
          </cell>
          <cell r="R92">
            <v>17501.78</v>
          </cell>
          <cell r="S92">
            <v>19791.93</v>
          </cell>
          <cell r="T92">
            <v>16783.64</v>
          </cell>
          <cell r="U92">
            <v>13363.05</v>
          </cell>
          <cell r="V92">
            <v>10377.41</v>
          </cell>
          <cell r="W92">
            <v>7817.2999999999993</v>
          </cell>
          <cell r="X92">
            <v>5257.5099999999993</v>
          </cell>
          <cell r="Y92">
            <v>2724.0599999999995</v>
          </cell>
          <cell r="Z92">
            <v>1720.5499999999995</v>
          </cell>
          <cell r="AA92">
            <v>624.99999999999955</v>
          </cell>
          <cell r="AB92">
            <v>1436.3099999999995</v>
          </cell>
          <cell r="AC92">
            <v>1436.3099999999995</v>
          </cell>
        </row>
        <row r="93">
          <cell r="A93">
            <v>101040101001</v>
          </cell>
          <cell r="B93" t="str">
            <v xml:space="preserve">Seguros Pagado por Anticipado                                         </v>
          </cell>
          <cell r="C93">
            <v>18002.099999999999</v>
          </cell>
          <cell r="D93">
            <v>-2402.2800000000002</v>
          </cell>
          <cell r="E93">
            <v>2587.1799999999998</v>
          </cell>
          <cell r="F93">
            <v>-3147.76</v>
          </cell>
          <cell r="G93">
            <v>-3075.06</v>
          </cell>
          <cell r="H93">
            <v>-2640.11</v>
          </cell>
          <cell r="I93">
            <v>-3114.58</v>
          </cell>
          <cell r="J93">
            <v>-2214.2600000000002</v>
          </cell>
          <cell r="K93">
            <v>-2214.2600000000002</v>
          </cell>
          <cell r="L93">
            <v>-808.92</v>
          </cell>
          <cell r="M93">
            <v>-972.05</v>
          </cell>
          <cell r="N93">
            <v>229.31</v>
          </cell>
          <cell r="O93">
            <v>0</v>
          </cell>
          <cell r="P93">
            <v>229.31</v>
          </cell>
          <cell r="R93">
            <v>15599.819999999998</v>
          </cell>
          <cell r="S93">
            <v>18186.999999999996</v>
          </cell>
          <cell r="T93">
            <v>15039.239999999996</v>
          </cell>
          <cell r="U93">
            <v>11964.179999999997</v>
          </cell>
          <cell r="V93">
            <v>9324.0699999999961</v>
          </cell>
          <cell r="W93">
            <v>6209.4899999999961</v>
          </cell>
          <cell r="X93">
            <v>3995.2299999999959</v>
          </cell>
          <cell r="Y93">
            <v>1780.9699999999957</v>
          </cell>
          <cell r="Z93">
            <v>972.04999999999575</v>
          </cell>
          <cell r="AA93">
            <v>-4.2064129956997931E-12</v>
          </cell>
          <cell r="AB93">
            <v>229.3099999999958</v>
          </cell>
          <cell r="AC93">
            <v>229.3099999999958</v>
          </cell>
        </row>
        <row r="94">
          <cell r="A94">
            <v>101040101002</v>
          </cell>
          <cell r="B94" t="str">
            <v xml:space="preserve">Servicios pagados por anticipado                                      </v>
          </cell>
          <cell r="C94">
            <v>2357.31</v>
          </cell>
          <cell r="D94">
            <v>-455.35</v>
          </cell>
          <cell r="E94">
            <v>-297.02999999999997</v>
          </cell>
          <cell r="F94">
            <v>139.47</v>
          </cell>
          <cell r="G94">
            <v>-345.53</v>
          </cell>
          <cell r="H94">
            <v>-345.53</v>
          </cell>
          <cell r="I94">
            <v>554.47</v>
          </cell>
          <cell r="J94">
            <v>-345.53</v>
          </cell>
          <cell r="K94">
            <v>-319.19</v>
          </cell>
          <cell r="L94">
            <v>-194.59</v>
          </cell>
          <cell r="M94">
            <v>-123.5</v>
          </cell>
          <cell r="N94">
            <v>582</v>
          </cell>
          <cell r="O94">
            <v>0</v>
          </cell>
          <cell r="P94">
            <v>1207</v>
          </cell>
          <cell r="R94">
            <v>1901.96</v>
          </cell>
          <cell r="S94">
            <v>1604.93</v>
          </cell>
          <cell r="T94">
            <v>1744.4</v>
          </cell>
          <cell r="U94">
            <v>1398.8700000000001</v>
          </cell>
          <cell r="V94">
            <v>1053.3400000000001</v>
          </cell>
          <cell r="W94">
            <v>1607.8100000000002</v>
          </cell>
          <cell r="X94">
            <v>1262.2800000000002</v>
          </cell>
          <cell r="Y94">
            <v>943.09000000000015</v>
          </cell>
          <cell r="Z94">
            <v>748.50000000000011</v>
          </cell>
          <cell r="AA94">
            <v>625.00000000000011</v>
          </cell>
          <cell r="AB94">
            <v>1207</v>
          </cell>
          <cell r="AC94">
            <v>1207</v>
          </cell>
        </row>
        <row r="95">
          <cell r="A95">
            <v>10105</v>
          </cell>
          <cell r="B95" t="str">
            <v xml:space="preserve">ACTIVOS POR IMPUESTOS CORRIENTES                                      </v>
          </cell>
          <cell r="C95">
            <v>381086.82</v>
          </cell>
          <cell r="D95">
            <v>-285634.15999999997</v>
          </cell>
          <cell r="E95">
            <v>30445.83</v>
          </cell>
          <cell r="F95">
            <v>38132.07</v>
          </cell>
          <cell r="G95">
            <v>74306.990000000005</v>
          </cell>
          <cell r="H95">
            <v>55253.8</v>
          </cell>
          <cell r="I95">
            <v>68029.100000000006</v>
          </cell>
          <cell r="J95">
            <v>255527.33</v>
          </cell>
          <cell r="K95">
            <v>22918.94</v>
          </cell>
          <cell r="L95">
            <v>50640.7</v>
          </cell>
          <cell r="M95">
            <v>151692.18</v>
          </cell>
          <cell r="N95">
            <v>210219.06</v>
          </cell>
          <cell r="O95">
            <v>179644.23</v>
          </cell>
          <cell r="P95">
            <v>1232262.8899999999</v>
          </cell>
          <cell r="R95">
            <v>95452.660000000033</v>
          </cell>
          <cell r="S95">
            <v>125898.49000000003</v>
          </cell>
          <cell r="T95">
            <v>164030.56000000003</v>
          </cell>
          <cell r="U95">
            <v>238337.55000000005</v>
          </cell>
          <cell r="V95">
            <v>293591.35000000003</v>
          </cell>
          <cell r="W95">
            <v>361620.45000000007</v>
          </cell>
          <cell r="X95">
            <v>617147.78</v>
          </cell>
          <cell r="Y95">
            <v>640066.72</v>
          </cell>
          <cell r="Z95">
            <v>690707.41999999993</v>
          </cell>
          <cell r="AA95">
            <v>842399.59999999986</v>
          </cell>
          <cell r="AB95">
            <v>1052618.6599999999</v>
          </cell>
          <cell r="AC95">
            <v>1232262.8899999999</v>
          </cell>
        </row>
        <row r="96">
          <cell r="A96">
            <v>1010501</v>
          </cell>
          <cell r="B96" t="str">
            <v xml:space="preserve">CRÉDITO TRIBUTARIO A/F DE LA EMPRESA (I.V.A.)                         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180781.28</v>
          </cell>
          <cell r="K96">
            <v>-180781.28</v>
          </cell>
          <cell r="L96">
            <v>5864.06</v>
          </cell>
          <cell r="M96">
            <v>82331.649999999994</v>
          </cell>
          <cell r="N96">
            <v>105891.26</v>
          </cell>
          <cell r="O96">
            <v>135198.88</v>
          </cell>
          <cell r="P96">
            <v>329285.84999999998</v>
          </cell>
          <cell r="R96">
            <v>0</v>
          </cell>
          <cell r="S96">
            <v>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>
            <v>180781.28</v>
          </cell>
          <cell r="Y96">
            <v>0</v>
          </cell>
          <cell r="Z96">
            <v>5864.06</v>
          </cell>
          <cell r="AA96">
            <v>88195.709999999992</v>
          </cell>
          <cell r="AB96">
            <v>194086.96999999997</v>
          </cell>
          <cell r="AC96">
            <v>329285.84999999998</v>
          </cell>
        </row>
        <row r="97">
          <cell r="A97">
            <v>101050101</v>
          </cell>
          <cell r="B97" t="str">
            <v xml:space="preserve">I.VA. PAGADO POR COMPRAS                                              </v>
          </cell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180781.18</v>
          </cell>
          <cell r="K97">
            <v>-180781.18</v>
          </cell>
          <cell r="L97">
            <v>5864.06</v>
          </cell>
          <cell r="M97">
            <v>58020.63</v>
          </cell>
          <cell r="N97">
            <v>80604.070000000007</v>
          </cell>
          <cell r="O97">
            <v>121999.53</v>
          </cell>
          <cell r="P97">
            <v>266488.28999999998</v>
          </cell>
          <cell r="R97">
            <v>0</v>
          </cell>
          <cell r="S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>
            <v>180781.18</v>
          </cell>
          <cell r="Y97">
            <v>0</v>
          </cell>
          <cell r="Z97">
            <v>5864.06</v>
          </cell>
          <cell r="AA97">
            <v>63884.689999999995</v>
          </cell>
          <cell r="AB97">
            <v>144488.76</v>
          </cell>
          <cell r="AC97">
            <v>266488.29000000004</v>
          </cell>
        </row>
        <row r="98">
          <cell r="A98">
            <v>101050101001</v>
          </cell>
          <cell r="B98" t="str">
            <v xml:space="preserve">IVA pagado 12%- Credito Tributario                                    </v>
          </cell>
          <cell r="C98">
            <v>0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180781.18</v>
          </cell>
          <cell r="K98">
            <v>-180781.18</v>
          </cell>
          <cell r="L98">
            <v>5864.06</v>
          </cell>
          <cell r="M98">
            <v>58020.63</v>
          </cell>
          <cell r="N98">
            <v>80604.070000000007</v>
          </cell>
          <cell r="O98">
            <v>121999.53</v>
          </cell>
          <cell r="P98">
            <v>266488.28999999998</v>
          </cell>
          <cell r="R98">
            <v>0</v>
          </cell>
          <cell r="S98">
            <v>0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180781.18</v>
          </cell>
          <cell r="Y98">
            <v>0</v>
          </cell>
          <cell r="Z98">
            <v>5864.06</v>
          </cell>
          <cell r="AA98">
            <v>63884.689999999995</v>
          </cell>
          <cell r="AB98">
            <v>144488.76</v>
          </cell>
          <cell r="AC98">
            <v>266488.29000000004</v>
          </cell>
        </row>
        <row r="99">
          <cell r="A99">
            <v>101050102</v>
          </cell>
          <cell r="B99" t="str">
            <v xml:space="preserve">RETENCIONES I.V.A. REALIZADAS POR CLIENTES                            </v>
          </cell>
          <cell r="C99">
            <v>0</v>
          </cell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0.1</v>
          </cell>
          <cell r="K99">
            <v>-0.1</v>
          </cell>
          <cell r="L99">
            <v>0</v>
          </cell>
          <cell r="M99">
            <v>24311.02</v>
          </cell>
          <cell r="N99">
            <v>25287.19</v>
          </cell>
          <cell r="O99">
            <v>13199.35</v>
          </cell>
          <cell r="P99">
            <v>62797.56</v>
          </cell>
          <cell r="R99">
            <v>0</v>
          </cell>
          <cell r="S99">
            <v>0</v>
          </cell>
          <cell r="T99">
            <v>0</v>
          </cell>
          <cell r="U99">
            <v>0</v>
          </cell>
          <cell r="V99">
            <v>0</v>
          </cell>
          <cell r="W99">
            <v>0</v>
          </cell>
          <cell r="X99">
            <v>0.1</v>
          </cell>
          <cell r="Y99">
            <v>0</v>
          </cell>
          <cell r="Z99">
            <v>0</v>
          </cell>
          <cell r="AA99">
            <v>24311.02</v>
          </cell>
          <cell r="AB99">
            <v>49598.21</v>
          </cell>
          <cell r="AC99">
            <v>62797.56</v>
          </cell>
        </row>
        <row r="100">
          <cell r="A100">
            <v>101050102001</v>
          </cell>
          <cell r="B100" t="str">
            <v xml:space="preserve">I.V.A. Clientes 30%                                                   </v>
          </cell>
          <cell r="C100">
            <v>0</v>
          </cell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63.44</v>
          </cell>
          <cell r="P100">
            <v>63.44</v>
          </cell>
          <cell r="R100">
            <v>0</v>
          </cell>
          <cell r="S100">
            <v>0</v>
          </cell>
          <cell r="T100">
            <v>0</v>
          </cell>
          <cell r="U100">
            <v>0</v>
          </cell>
          <cell r="V100">
            <v>0</v>
          </cell>
          <cell r="W100">
            <v>0</v>
          </cell>
          <cell r="X100">
            <v>0</v>
          </cell>
          <cell r="Y100">
            <v>0</v>
          </cell>
          <cell r="Z100">
            <v>0</v>
          </cell>
          <cell r="AA100">
            <v>0</v>
          </cell>
          <cell r="AB100">
            <v>0</v>
          </cell>
          <cell r="AC100">
            <v>63.44</v>
          </cell>
        </row>
        <row r="101">
          <cell r="A101">
            <v>101050102003</v>
          </cell>
          <cell r="B101" t="str">
            <v xml:space="preserve">I.V.A. Clientes 100%                                                  </v>
          </cell>
          <cell r="C101">
            <v>0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21758.97</v>
          </cell>
          <cell r="N101">
            <v>21319.78</v>
          </cell>
          <cell r="O101">
            <v>9162.48</v>
          </cell>
          <cell r="P101">
            <v>52241.23</v>
          </cell>
          <cell r="R101">
            <v>0</v>
          </cell>
          <cell r="S101">
            <v>0</v>
          </cell>
          <cell r="T101">
            <v>0</v>
          </cell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21758.97</v>
          </cell>
          <cell r="AB101">
            <v>43078.75</v>
          </cell>
          <cell r="AC101">
            <v>52241.229999999996</v>
          </cell>
        </row>
        <row r="102">
          <cell r="A102">
            <v>101050102004</v>
          </cell>
          <cell r="B102" t="str">
            <v xml:space="preserve">I.V.A. Clientes 10%                                                   </v>
          </cell>
          <cell r="C102">
            <v>0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0.1</v>
          </cell>
          <cell r="K102">
            <v>-0.1</v>
          </cell>
          <cell r="L102">
            <v>0</v>
          </cell>
          <cell r="M102">
            <v>2552.0500000000002</v>
          </cell>
          <cell r="N102">
            <v>3952.52</v>
          </cell>
          <cell r="O102">
            <v>3892.86</v>
          </cell>
          <cell r="P102">
            <v>10397.43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  <cell r="V102">
            <v>0</v>
          </cell>
          <cell r="W102">
            <v>0</v>
          </cell>
          <cell r="X102">
            <v>0.1</v>
          </cell>
          <cell r="Y102">
            <v>0</v>
          </cell>
          <cell r="Z102">
            <v>0</v>
          </cell>
          <cell r="AA102">
            <v>2552.0500000000002</v>
          </cell>
          <cell r="AB102">
            <v>6504.57</v>
          </cell>
          <cell r="AC102">
            <v>10397.43</v>
          </cell>
        </row>
        <row r="103">
          <cell r="A103">
            <v>101050102005</v>
          </cell>
          <cell r="B103" t="str">
            <v xml:space="preserve">I.V.A.  Clientes 20%                                                  </v>
          </cell>
          <cell r="C103">
            <v>0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14.89</v>
          </cell>
          <cell r="O103">
            <v>80.569999999999993</v>
          </cell>
          <cell r="P103">
            <v>95.46</v>
          </cell>
          <cell r="R103">
            <v>0</v>
          </cell>
          <cell r="S103">
            <v>0</v>
          </cell>
          <cell r="T103">
            <v>0</v>
          </cell>
          <cell r="U103">
            <v>0</v>
          </cell>
          <cell r="V103">
            <v>0</v>
          </cell>
          <cell r="W103">
            <v>0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  <cell r="AB103">
            <v>14.89</v>
          </cell>
          <cell r="AC103">
            <v>95.46</v>
          </cell>
        </row>
        <row r="104">
          <cell r="A104">
            <v>1010502</v>
          </cell>
          <cell r="B104" t="str">
            <v xml:space="preserve">CRÉDITO TRIBUTARIO A/F DE LA EMPRESA  (I.R.)                          </v>
          </cell>
          <cell r="C104">
            <v>374007.56</v>
          </cell>
          <cell r="D104">
            <v>-278554.90000000002</v>
          </cell>
          <cell r="E104">
            <v>30445.83</v>
          </cell>
          <cell r="F104">
            <v>34629.75</v>
          </cell>
          <cell r="G104">
            <v>56948.68</v>
          </cell>
          <cell r="H104">
            <v>61996.72</v>
          </cell>
          <cell r="I104">
            <v>38854.1</v>
          </cell>
          <cell r="J104">
            <v>55889.23</v>
          </cell>
          <cell r="K104">
            <v>52552.46</v>
          </cell>
          <cell r="L104">
            <v>54083.08</v>
          </cell>
          <cell r="M104">
            <v>69360.53</v>
          </cell>
          <cell r="N104">
            <v>104327.8</v>
          </cell>
          <cell r="O104">
            <v>44445.35</v>
          </cell>
          <cell r="P104">
            <v>698986.19</v>
          </cell>
          <cell r="R104">
            <v>95452.659999999974</v>
          </cell>
          <cell r="S104">
            <v>125898.48999999998</v>
          </cell>
          <cell r="T104">
            <v>160528.24</v>
          </cell>
          <cell r="U104">
            <v>217476.91999999998</v>
          </cell>
          <cell r="V104">
            <v>279473.64</v>
          </cell>
          <cell r="W104">
            <v>318327.74</v>
          </cell>
          <cell r="X104">
            <v>374216.97</v>
          </cell>
          <cell r="Y104">
            <v>426769.43</v>
          </cell>
          <cell r="Z104">
            <v>480852.51</v>
          </cell>
          <cell r="AA104">
            <v>550213.04</v>
          </cell>
          <cell r="AB104">
            <v>654540.84000000008</v>
          </cell>
          <cell r="AC104">
            <v>698986.19000000006</v>
          </cell>
        </row>
        <row r="105">
          <cell r="A105">
            <v>101050201</v>
          </cell>
          <cell r="B105" t="str">
            <v xml:space="preserve">CRÉDITO TRIBUTARIO A/F DE LA EMPRESA  (I.R.)                          </v>
          </cell>
          <cell r="C105">
            <v>374007.56</v>
          </cell>
          <cell r="D105">
            <v>-278554.90000000002</v>
          </cell>
          <cell r="E105">
            <v>30445.83</v>
          </cell>
          <cell r="F105">
            <v>34629.75</v>
          </cell>
          <cell r="G105">
            <v>56948.68</v>
          </cell>
          <cell r="H105">
            <v>61996.72</v>
          </cell>
          <cell r="I105">
            <v>38854.1</v>
          </cell>
          <cell r="J105">
            <v>55889.23</v>
          </cell>
          <cell r="K105">
            <v>52552.46</v>
          </cell>
          <cell r="L105">
            <v>54083.08</v>
          </cell>
          <cell r="M105">
            <v>69360.53</v>
          </cell>
          <cell r="N105">
            <v>104327.8</v>
          </cell>
          <cell r="O105">
            <v>44445.35</v>
          </cell>
          <cell r="P105">
            <v>698986.19</v>
          </cell>
          <cell r="R105">
            <v>95452.659999999974</v>
          </cell>
          <cell r="S105">
            <v>125898.48999999998</v>
          </cell>
          <cell r="T105">
            <v>160528.24</v>
          </cell>
          <cell r="U105">
            <v>217476.91999999998</v>
          </cell>
          <cell r="V105">
            <v>279473.64</v>
          </cell>
          <cell r="W105">
            <v>318327.74</v>
          </cell>
          <cell r="X105">
            <v>374216.97</v>
          </cell>
          <cell r="Y105">
            <v>426769.43</v>
          </cell>
          <cell r="Z105">
            <v>480852.51</v>
          </cell>
          <cell r="AA105">
            <v>550213.04</v>
          </cell>
          <cell r="AB105">
            <v>654540.84000000008</v>
          </cell>
          <cell r="AC105">
            <v>698986.19000000006</v>
          </cell>
        </row>
        <row r="106">
          <cell r="A106">
            <v>101050201001</v>
          </cell>
          <cell r="B106" t="str">
            <v xml:space="preserve">Retención en la Fuente I.R.1%                                         </v>
          </cell>
          <cell r="C106">
            <v>312846.78000000003</v>
          </cell>
          <cell r="D106">
            <v>-284285.77</v>
          </cell>
          <cell r="E106">
            <v>26608.45</v>
          </cell>
          <cell r="F106">
            <v>32162.19</v>
          </cell>
          <cell r="G106">
            <v>28402.720000000001</v>
          </cell>
          <cell r="H106">
            <v>26774</v>
          </cell>
          <cell r="I106">
            <v>32673.23</v>
          </cell>
          <cell r="J106">
            <v>41511.33</v>
          </cell>
          <cell r="K106">
            <v>51133.27</v>
          </cell>
          <cell r="L106">
            <v>52104.83</v>
          </cell>
          <cell r="M106">
            <v>65807.61</v>
          </cell>
          <cell r="N106">
            <v>72697.19</v>
          </cell>
          <cell r="O106">
            <v>34011.86</v>
          </cell>
          <cell r="P106">
            <v>492447.69</v>
          </cell>
          <cell r="R106">
            <v>28561.010000000009</v>
          </cell>
          <cell r="S106">
            <v>55169.460000000006</v>
          </cell>
          <cell r="T106">
            <v>87331.650000000009</v>
          </cell>
          <cell r="U106">
            <v>115734.37000000001</v>
          </cell>
          <cell r="V106">
            <v>142508.37</v>
          </cell>
          <cell r="W106">
            <v>175181.6</v>
          </cell>
          <cell r="X106">
            <v>216692.93</v>
          </cell>
          <cell r="Y106">
            <v>267826.2</v>
          </cell>
          <cell r="Z106">
            <v>319931.03000000003</v>
          </cell>
          <cell r="AA106">
            <v>385738.64</v>
          </cell>
          <cell r="AB106">
            <v>458435.83</v>
          </cell>
          <cell r="AC106">
            <v>492447.69</v>
          </cell>
        </row>
        <row r="107">
          <cell r="A107">
            <v>101050201002</v>
          </cell>
          <cell r="B107" t="str">
            <v xml:space="preserve">Retención en la Fuente I.R.2%                                         </v>
          </cell>
          <cell r="C107">
            <v>2276.3200000000002</v>
          </cell>
          <cell r="D107">
            <v>-2276.3200000000002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R107">
            <v>0</v>
          </cell>
          <cell r="S107">
            <v>0</v>
          </cell>
          <cell r="T107">
            <v>0</v>
          </cell>
          <cell r="U107">
            <v>0</v>
          </cell>
          <cell r="V107">
            <v>0</v>
          </cell>
          <cell r="W107">
            <v>0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  <cell r="AB107">
            <v>0</v>
          </cell>
          <cell r="AC107">
            <v>0</v>
          </cell>
        </row>
        <row r="108">
          <cell r="A108">
            <v>101050201003</v>
          </cell>
          <cell r="B108" t="str">
            <v xml:space="preserve">Retencion en la fuente ISD                                            </v>
          </cell>
          <cell r="C108">
            <v>32943.279999999999</v>
          </cell>
          <cell r="D108">
            <v>-32346.93</v>
          </cell>
          <cell r="E108">
            <v>3837.38</v>
          </cell>
          <cell r="F108">
            <v>2440</v>
          </cell>
          <cell r="G108">
            <v>28511.18</v>
          </cell>
          <cell r="H108">
            <v>35208.89</v>
          </cell>
          <cell r="I108">
            <v>6157.03</v>
          </cell>
          <cell r="J108">
            <v>14363.35</v>
          </cell>
          <cell r="K108">
            <v>1198.03</v>
          </cell>
          <cell r="L108">
            <v>1962.13</v>
          </cell>
          <cell r="M108">
            <v>3497.61</v>
          </cell>
          <cell r="N108">
            <v>31492.55</v>
          </cell>
          <cell r="O108">
            <v>10192.92</v>
          </cell>
          <cell r="P108">
            <v>139457.42000000001</v>
          </cell>
          <cell r="R108">
            <v>596.34999999999854</v>
          </cell>
          <cell r="S108">
            <v>4433.7299999999987</v>
          </cell>
          <cell r="T108">
            <v>6873.7299999999987</v>
          </cell>
          <cell r="U108">
            <v>35384.909999999996</v>
          </cell>
          <cell r="V108">
            <v>70593.799999999988</v>
          </cell>
          <cell r="W108">
            <v>76750.829999999987</v>
          </cell>
          <cell r="X108">
            <v>91114.18</v>
          </cell>
          <cell r="Y108">
            <v>92312.209999999992</v>
          </cell>
          <cell r="Z108">
            <v>94274.34</v>
          </cell>
          <cell r="AA108">
            <v>97771.95</v>
          </cell>
          <cell r="AB108">
            <v>129264.5</v>
          </cell>
          <cell r="AC108">
            <v>139457.42000000001</v>
          </cell>
        </row>
        <row r="109">
          <cell r="A109">
            <v>101050201004</v>
          </cell>
          <cell r="B109" t="str">
            <v xml:space="preserve">Reclamos al SRI                                                       </v>
          </cell>
          <cell r="C109">
            <v>24500.880000000001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24500.880000000001</v>
          </cell>
          <cell r="R109">
            <v>24500.880000000001</v>
          </cell>
          <cell r="S109">
            <v>24500.880000000001</v>
          </cell>
          <cell r="T109">
            <v>24500.880000000001</v>
          </cell>
          <cell r="U109">
            <v>24500.880000000001</v>
          </cell>
          <cell r="V109">
            <v>24500.880000000001</v>
          </cell>
          <cell r="W109">
            <v>24500.880000000001</v>
          </cell>
          <cell r="X109">
            <v>24500.880000000001</v>
          </cell>
          <cell r="Y109">
            <v>24500.880000000001</v>
          </cell>
          <cell r="Z109">
            <v>24500.880000000001</v>
          </cell>
          <cell r="AA109">
            <v>24500.880000000001</v>
          </cell>
          <cell r="AB109">
            <v>24500.880000000001</v>
          </cell>
          <cell r="AC109">
            <v>24500.880000000001</v>
          </cell>
        </row>
        <row r="110">
          <cell r="A110">
            <v>101050201005</v>
          </cell>
          <cell r="B110" t="str">
            <v xml:space="preserve">Retencion en la fuente rendimientos financ.                           </v>
          </cell>
          <cell r="C110">
            <v>81.56</v>
          </cell>
          <cell r="D110">
            <v>-79.89</v>
          </cell>
          <cell r="E110">
            <v>0</v>
          </cell>
          <cell r="F110">
            <v>27.56</v>
          </cell>
          <cell r="G110">
            <v>34.78</v>
          </cell>
          <cell r="H110">
            <v>13.83</v>
          </cell>
          <cell r="I110">
            <v>23.84</v>
          </cell>
          <cell r="J110">
            <v>14.55</v>
          </cell>
          <cell r="K110">
            <v>221.16</v>
          </cell>
          <cell r="L110">
            <v>16.12</v>
          </cell>
          <cell r="M110">
            <v>55.31</v>
          </cell>
          <cell r="N110">
            <v>138.06</v>
          </cell>
          <cell r="O110">
            <v>240.57</v>
          </cell>
          <cell r="P110">
            <v>787.45</v>
          </cell>
          <cell r="R110">
            <v>1.6700000000000017</v>
          </cell>
          <cell r="S110">
            <v>1.6700000000000017</v>
          </cell>
          <cell r="T110">
            <v>29.23</v>
          </cell>
          <cell r="U110">
            <v>64.010000000000005</v>
          </cell>
          <cell r="V110">
            <v>77.84</v>
          </cell>
          <cell r="W110">
            <v>101.68</v>
          </cell>
          <cell r="X110">
            <v>116.23</v>
          </cell>
          <cell r="Y110">
            <v>337.39</v>
          </cell>
          <cell r="Z110">
            <v>353.51</v>
          </cell>
          <cell r="AA110">
            <v>408.82</v>
          </cell>
          <cell r="AB110">
            <v>546.88</v>
          </cell>
          <cell r="AC110">
            <v>787.45</v>
          </cell>
        </row>
        <row r="111">
          <cell r="A111">
            <v>101050201006</v>
          </cell>
          <cell r="B111" t="str">
            <v xml:space="preserve">Remanente Ret Fte. Años Anteriores                                    </v>
          </cell>
          <cell r="C111">
            <v>1358.74</v>
          </cell>
          <cell r="D111">
            <v>40434.01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41792.75</v>
          </cell>
          <cell r="R111">
            <v>41792.75</v>
          </cell>
          <cell r="S111">
            <v>41792.75</v>
          </cell>
          <cell r="T111">
            <v>41792.75</v>
          </cell>
          <cell r="U111">
            <v>41792.75</v>
          </cell>
          <cell r="V111">
            <v>41792.75</v>
          </cell>
          <cell r="W111">
            <v>41792.75</v>
          </cell>
          <cell r="X111">
            <v>41792.75</v>
          </cell>
          <cell r="Y111">
            <v>41792.75</v>
          </cell>
          <cell r="Z111">
            <v>41792.75</v>
          </cell>
          <cell r="AA111">
            <v>41792.75</v>
          </cell>
          <cell r="AB111">
            <v>41792.75</v>
          </cell>
          <cell r="AC111">
            <v>41792.75</v>
          </cell>
        </row>
        <row r="112">
          <cell r="A112">
            <v>1010503</v>
          </cell>
          <cell r="B112" t="str">
            <v xml:space="preserve">ANTICIPOS DE IMPUESTO A LA RENTA                                      </v>
          </cell>
          <cell r="C112">
            <v>7079.26</v>
          </cell>
          <cell r="D112">
            <v>-7079.26</v>
          </cell>
          <cell r="E112">
            <v>0</v>
          </cell>
          <cell r="F112">
            <v>3502.32</v>
          </cell>
          <cell r="G112">
            <v>17358.310000000001</v>
          </cell>
          <cell r="H112">
            <v>-6742.92</v>
          </cell>
          <cell r="I112">
            <v>29175</v>
          </cell>
          <cell r="J112">
            <v>18856.82</v>
          </cell>
          <cell r="K112">
            <v>151147.76</v>
          </cell>
          <cell r="L112">
            <v>-9306.44</v>
          </cell>
          <cell r="M112">
            <v>0</v>
          </cell>
          <cell r="N112">
            <v>0</v>
          </cell>
          <cell r="O112">
            <v>0</v>
          </cell>
          <cell r="P112">
            <v>203990.85</v>
          </cell>
          <cell r="R112">
            <v>0</v>
          </cell>
          <cell r="S112">
            <v>0</v>
          </cell>
          <cell r="T112">
            <v>3502.32</v>
          </cell>
          <cell r="U112">
            <v>20860.63</v>
          </cell>
          <cell r="V112">
            <v>14117.710000000001</v>
          </cell>
          <cell r="W112">
            <v>43292.71</v>
          </cell>
          <cell r="X112">
            <v>62149.53</v>
          </cell>
          <cell r="Y112">
            <v>213297.29</v>
          </cell>
          <cell r="Z112">
            <v>203990.85</v>
          </cell>
          <cell r="AA112">
            <v>203990.85</v>
          </cell>
          <cell r="AB112">
            <v>203990.85</v>
          </cell>
          <cell r="AC112">
            <v>203990.85</v>
          </cell>
        </row>
        <row r="113">
          <cell r="A113">
            <v>101050301</v>
          </cell>
          <cell r="B113" t="str">
            <v xml:space="preserve">ANTICIPOS DE IMPUESTO A LA RENTA                                      </v>
          </cell>
          <cell r="C113">
            <v>7079.26</v>
          </cell>
          <cell r="D113">
            <v>-7079.26</v>
          </cell>
          <cell r="E113">
            <v>0</v>
          </cell>
          <cell r="F113">
            <v>3502.32</v>
          </cell>
          <cell r="G113">
            <v>17358.310000000001</v>
          </cell>
          <cell r="H113">
            <v>-6742.92</v>
          </cell>
          <cell r="I113">
            <v>29175</v>
          </cell>
          <cell r="J113">
            <v>18856.82</v>
          </cell>
          <cell r="K113">
            <v>151147.76</v>
          </cell>
          <cell r="L113">
            <v>-9306.44</v>
          </cell>
          <cell r="M113">
            <v>0</v>
          </cell>
          <cell r="N113">
            <v>0</v>
          </cell>
          <cell r="O113">
            <v>0</v>
          </cell>
          <cell r="P113">
            <v>203990.85</v>
          </cell>
          <cell r="R113">
            <v>0</v>
          </cell>
          <cell r="S113">
            <v>0</v>
          </cell>
          <cell r="T113">
            <v>3502.32</v>
          </cell>
          <cell r="U113">
            <v>20860.63</v>
          </cell>
          <cell r="V113">
            <v>14117.710000000001</v>
          </cell>
          <cell r="W113">
            <v>43292.71</v>
          </cell>
          <cell r="X113">
            <v>62149.53</v>
          </cell>
          <cell r="Y113">
            <v>213297.29</v>
          </cell>
          <cell r="Z113">
            <v>203990.85</v>
          </cell>
          <cell r="AA113">
            <v>203990.85</v>
          </cell>
          <cell r="AB113">
            <v>203990.85</v>
          </cell>
          <cell r="AC113">
            <v>203990.85</v>
          </cell>
        </row>
        <row r="114">
          <cell r="A114">
            <v>101050301001</v>
          </cell>
          <cell r="B114" t="str">
            <v xml:space="preserve">Crédito Tributario Anticipo de Impuesto a la Renta                    </v>
          </cell>
          <cell r="C114">
            <v>7079.26</v>
          </cell>
          <cell r="D114">
            <v>-7079.26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  <cell r="V114">
            <v>0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</row>
        <row r="115">
          <cell r="A115">
            <v>101050301002</v>
          </cell>
          <cell r="B115" t="str">
            <v xml:space="preserve">Credito tributario por adquisiciones e importaciones                  </v>
          </cell>
          <cell r="C115">
            <v>0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151504.79999999999</v>
          </cell>
          <cell r="L115">
            <v>-23440.91</v>
          </cell>
          <cell r="M115">
            <v>0</v>
          </cell>
          <cell r="N115">
            <v>0</v>
          </cell>
          <cell r="O115">
            <v>0</v>
          </cell>
          <cell r="P115">
            <v>128063.89</v>
          </cell>
          <cell r="R115">
            <v>0</v>
          </cell>
          <cell r="S115">
            <v>0</v>
          </cell>
          <cell r="T115">
            <v>0</v>
          </cell>
          <cell r="U115">
            <v>0</v>
          </cell>
          <cell r="V115">
            <v>0</v>
          </cell>
          <cell r="W115">
            <v>0</v>
          </cell>
          <cell r="X115">
            <v>0</v>
          </cell>
          <cell r="Y115">
            <v>151504.79999999999</v>
          </cell>
          <cell r="Z115">
            <v>128063.88999999998</v>
          </cell>
          <cell r="AA115">
            <v>128063.88999999998</v>
          </cell>
          <cell r="AB115">
            <v>128063.88999999998</v>
          </cell>
          <cell r="AC115">
            <v>128063.88999999998</v>
          </cell>
        </row>
        <row r="116">
          <cell r="A116">
            <v>101050301003</v>
          </cell>
          <cell r="B116" t="str">
            <v xml:space="preserve">Credito tributario por retenciones en la fuente de iva                </v>
          </cell>
          <cell r="C116">
            <v>0</v>
          </cell>
          <cell r="D116">
            <v>0</v>
          </cell>
          <cell r="E116">
            <v>0</v>
          </cell>
          <cell r="F116">
            <v>3502.32</v>
          </cell>
          <cell r="G116">
            <v>17358.310000000001</v>
          </cell>
          <cell r="H116">
            <v>-6742.92</v>
          </cell>
          <cell r="I116">
            <v>29175</v>
          </cell>
          <cell r="J116">
            <v>18856.82</v>
          </cell>
          <cell r="K116">
            <v>-357.04</v>
          </cell>
          <cell r="L116">
            <v>14134.47</v>
          </cell>
          <cell r="M116">
            <v>0</v>
          </cell>
          <cell r="N116">
            <v>0</v>
          </cell>
          <cell r="O116">
            <v>0</v>
          </cell>
          <cell r="P116">
            <v>75926.960000000006</v>
          </cell>
          <cell r="R116">
            <v>0</v>
          </cell>
          <cell r="S116">
            <v>0</v>
          </cell>
          <cell r="T116">
            <v>3502.32</v>
          </cell>
          <cell r="U116">
            <v>20860.63</v>
          </cell>
          <cell r="V116">
            <v>14117.710000000001</v>
          </cell>
          <cell r="W116">
            <v>43292.71</v>
          </cell>
          <cell r="X116">
            <v>62149.53</v>
          </cell>
          <cell r="Y116">
            <v>61792.49</v>
          </cell>
          <cell r="Z116">
            <v>75926.959999999992</v>
          </cell>
          <cell r="AA116">
            <v>75926.959999999992</v>
          </cell>
          <cell r="AB116">
            <v>75926.959999999992</v>
          </cell>
          <cell r="AC116">
            <v>75926.959999999992</v>
          </cell>
        </row>
        <row r="117">
          <cell r="A117">
            <v>10106</v>
          </cell>
          <cell r="B117" t="str">
            <v xml:space="preserve">OTROS ACTIVOS CORRIENTES                                              </v>
          </cell>
          <cell r="C117">
            <v>0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14.15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14.15</v>
          </cell>
          <cell r="R117">
            <v>0</v>
          </cell>
          <cell r="S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14.15</v>
          </cell>
          <cell r="X117">
            <v>14.15</v>
          </cell>
          <cell r="Y117">
            <v>14.15</v>
          </cell>
          <cell r="Z117">
            <v>14.15</v>
          </cell>
          <cell r="AA117">
            <v>14.15</v>
          </cell>
          <cell r="AB117">
            <v>14.15</v>
          </cell>
          <cell r="AC117">
            <v>14.15</v>
          </cell>
        </row>
        <row r="118">
          <cell r="A118">
            <v>1010601</v>
          </cell>
          <cell r="B118" t="str">
            <v xml:space="preserve">OTROS ACTIVOS CORRIENTES                                              </v>
          </cell>
          <cell r="C118">
            <v>0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14.15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14.15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  <cell r="V118">
            <v>0</v>
          </cell>
          <cell r="W118">
            <v>14.15</v>
          </cell>
          <cell r="X118">
            <v>14.15</v>
          </cell>
          <cell r="Y118">
            <v>14.15</v>
          </cell>
          <cell r="Z118">
            <v>14.15</v>
          </cell>
          <cell r="AA118">
            <v>14.15</v>
          </cell>
          <cell r="AB118">
            <v>14.15</v>
          </cell>
          <cell r="AC118">
            <v>14.15</v>
          </cell>
        </row>
        <row r="119">
          <cell r="A119">
            <v>101060101003</v>
          </cell>
          <cell r="B119" t="str">
            <v xml:space="preserve">Nota de Credito SRI Ecuador                                           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14.15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14.15</v>
          </cell>
          <cell r="R119">
            <v>0</v>
          </cell>
          <cell r="S119">
            <v>0</v>
          </cell>
          <cell r="T119">
            <v>0</v>
          </cell>
          <cell r="U119">
            <v>0</v>
          </cell>
          <cell r="V119">
            <v>0</v>
          </cell>
          <cell r="W119">
            <v>14.15</v>
          </cell>
          <cell r="X119">
            <v>14.15</v>
          </cell>
          <cell r="Y119">
            <v>14.15</v>
          </cell>
          <cell r="Z119">
            <v>14.15</v>
          </cell>
          <cell r="AA119">
            <v>14.15</v>
          </cell>
          <cell r="AB119">
            <v>14.15</v>
          </cell>
          <cell r="AC119">
            <v>14.15</v>
          </cell>
        </row>
        <row r="120">
          <cell r="A120">
            <v>102</v>
          </cell>
          <cell r="B120" t="str">
            <v xml:space="preserve">ACTIVO FIIJO                                                          </v>
          </cell>
          <cell r="C120">
            <v>6687649.4299999997</v>
          </cell>
          <cell r="D120">
            <v>-52188.75</v>
          </cell>
          <cell r="E120">
            <v>-48135.11</v>
          </cell>
          <cell r="F120">
            <v>-22950.799999999999</v>
          </cell>
          <cell r="G120">
            <v>-42832.41</v>
          </cell>
          <cell r="H120">
            <v>-46508.15</v>
          </cell>
          <cell r="I120">
            <v>60864.4</v>
          </cell>
          <cell r="J120">
            <v>1461483.32</v>
          </cell>
          <cell r="K120">
            <v>-42902.97</v>
          </cell>
          <cell r="L120">
            <v>-49301.59</v>
          </cell>
          <cell r="M120">
            <v>-31300.86</v>
          </cell>
          <cell r="N120">
            <v>-49286.81</v>
          </cell>
          <cell r="O120">
            <v>-49215.01</v>
          </cell>
          <cell r="P120">
            <v>7775374.6900000004</v>
          </cell>
          <cell r="R120">
            <v>6635460.6799999997</v>
          </cell>
          <cell r="S120">
            <v>6587325.5699999994</v>
          </cell>
          <cell r="T120">
            <v>6564374.7699999996</v>
          </cell>
          <cell r="U120">
            <v>6521542.3599999994</v>
          </cell>
          <cell r="V120">
            <v>6475034.209999999</v>
          </cell>
          <cell r="W120">
            <v>6535898.6099999994</v>
          </cell>
          <cell r="X120">
            <v>7997381.9299999997</v>
          </cell>
          <cell r="Y120">
            <v>7954478.96</v>
          </cell>
          <cell r="Z120">
            <v>7905177.3700000001</v>
          </cell>
          <cell r="AA120">
            <v>7873876.5099999998</v>
          </cell>
          <cell r="AB120">
            <v>7824589.7000000002</v>
          </cell>
          <cell r="AC120">
            <v>7775374.6900000004</v>
          </cell>
        </row>
        <row r="121">
          <cell r="A121">
            <v>10201</v>
          </cell>
          <cell r="B121" t="str">
            <v xml:space="preserve">PROPIEDADES, PLANTA Y EQUIPO                                          </v>
          </cell>
          <cell r="C121">
            <v>6686124.0300000003</v>
          </cell>
          <cell r="D121">
            <v>-50663.35</v>
          </cell>
          <cell r="E121">
            <v>-48135.67</v>
          </cell>
          <cell r="F121">
            <v>-22950.799999999999</v>
          </cell>
          <cell r="G121">
            <v>-42832.41</v>
          </cell>
          <cell r="H121">
            <v>-46508.15</v>
          </cell>
          <cell r="I121">
            <v>60864.4</v>
          </cell>
          <cell r="J121">
            <v>1461483.32</v>
          </cell>
          <cell r="K121">
            <v>-42902.97</v>
          </cell>
          <cell r="L121">
            <v>-49301.59</v>
          </cell>
          <cell r="M121">
            <v>-31300.86</v>
          </cell>
          <cell r="N121">
            <v>-49286.81</v>
          </cell>
          <cell r="O121">
            <v>-49215.01</v>
          </cell>
          <cell r="P121">
            <v>7775374.1299999999</v>
          </cell>
          <cell r="R121">
            <v>6635460.6800000006</v>
          </cell>
          <cell r="S121">
            <v>6587325.0100000007</v>
          </cell>
          <cell r="T121">
            <v>6564374.2100000009</v>
          </cell>
          <cell r="U121">
            <v>6521541.8000000007</v>
          </cell>
          <cell r="V121">
            <v>6475033.6500000004</v>
          </cell>
          <cell r="W121">
            <v>6535898.0500000007</v>
          </cell>
          <cell r="X121">
            <v>7997381.370000001</v>
          </cell>
          <cell r="Y121">
            <v>7954478.4000000013</v>
          </cell>
          <cell r="Z121">
            <v>7905176.8100000015</v>
          </cell>
          <cell r="AA121">
            <v>7873875.9500000011</v>
          </cell>
          <cell r="AB121">
            <v>7824589.1400000015</v>
          </cell>
          <cell r="AC121">
            <v>7775374.1300000018</v>
          </cell>
        </row>
        <row r="122">
          <cell r="A122">
            <v>1020101</v>
          </cell>
          <cell r="B122" t="str">
            <v xml:space="preserve">ACTIVOS NO DEPRECIABLES                                               </v>
          </cell>
          <cell r="C122">
            <v>2382273.09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48000</v>
          </cell>
          <cell r="J122">
            <v>1510726.25</v>
          </cell>
          <cell r="K122">
            <v>6400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3947399.34</v>
          </cell>
          <cell r="R122">
            <v>2382273.09</v>
          </cell>
          <cell r="S122">
            <v>2382273.09</v>
          </cell>
          <cell r="T122">
            <v>2382273.09</v>
          </cell>
          <cell r="U122">
            <v>2382273.09</v>
          </cell>
          <cell r="V122">
            <v>2382273.09</v>
          </cell>
          <cell r="W122">
            <v>2430273.09</v>
          </cell>
          <cell r="X122">
            <v>3940999.34</v>
          </cell>
          <cell r="Y122">
            <v>3947399.34</v>
          </cell>
          <cell r="Z122">
            <v>3947399.34</v>
          </cell>
          <cell r="AA122">
            <v>3947399.34</v>
          </cell>
          <cell r="AB122">
            <v>3947399.34</v>
          </cell>
          <cell r="AC122">
            <v>3947399.34</v>
          </cell>
        </row>
        <row r="123">
          <cell r="A123">
            <v>102010101</v>
          </cell>
          <cell r="B123" t="str">
            <v xml:space="preserve">NO DEPRECIABLES                                                       </v>
          </cell>
          <cell r="C123">
            <v>2382273.09</v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48000</v>
          </cell>
          <cell r="J123">
            <v>1510726.25</v>
          </cell>
          <cell r="K123">
            <v>6400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3947399.34</v>
          </cell>
          <cell r="R123">
            <v>2382273.09</v>
          </cell>
          <cell r="S123">
            <v>2382273.09</v>
          </cell>
          <cell r="T123">
            <v>2382273.09</v>
          </cell>
          <cell r="U123">
            <v>2382273.09</v>
          </cell>
          <cell r="V123">
            <v>2382273.09</v>
          </cell>
          <cell r="W123">
            <v>2430273.09</v>
          </cell>
          <cell r="X123">
            <v>3940999.34</v>
          </cell>
          <cell r="Y123">
            <v>3947399.34</v>
          </cell>
          <cell r="Z123">
            <v>3947399.34</v>
          </cell>
          <cell r="AA123">
            <v>3947399.34</v>
          </cell>
          <cell r="AB123">
            <v>3947399.34</v>
          </cell>
          <cell r="AC123">
            <v>3947399.34</v>
          </cell>
        </row>
        <row r="124">
          <cell r="A124">
            <v>102010101001</v>
          </cell>
          <cell r="B124" t="str">
            <v xml:space="preserve">Terrenos                                                              </v>
          </cell>
          <cell r="C124">
            <v>1898139.64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1898139.64</v>
          </cell>
          <cell r="R124">
            <v>1898139.64</v>
          </cell>
          <cell r="S124">
            <v>1898139.64</v>
          </cell>
          <cell r="T124">
            <v>1898139.64</v>
          </cell>
          <cell r="U124">
            <v>1898139.64</v>
          </cell>
          <cell r="V124">
            <v>1898139.64</v>
          </cell>
          <cell r="W124">
            <v>1898139.64</v>
          </cell>
          <cell r="X124">
            <v>1898139.64</v>
          </cell>
          <cell r="Y124">
            <v>1898139.64</v>
          </cell>
          <cell r="Z124">
            <v>1898139.64</v>
          </cell>
          <cell r="AA124">
            <v>1898139.64</v>
          </cell>
          <cell r="AB124">
            <v>1898139.64</v>
          </cell>
          <cell r="AC124">
            <v>1898139.64</v>
          </cell>
        </row>
        <row r="125">
          <cell r="A125">
            <v>102010101002</v>
          </cell>
          <cell r="B125" t="str">
            <v xml:space="preserve">Construcciones en Curso y Montajes                                    </v>
          </cell>
          <cell r="C125">
            <v>484133.45</v>
          </cell>
          <cell r="D125">
            <v>0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48000</v>
          </cell>
          <cell r="J125">
            <v>1510726.25</v>
          </cell>
          <cell r="K125">
            <v>6400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2049259.7</v>
          </cell>
          <cell r="R125">
            <v>484133.45</v>
          </cell>
          <cell r="S125">
            <v>484133.45</v>
          </cell>
          <cell r="T125">
            <v>484133.45</v>
          </cell>
          <cell r="U125">
            <v>484133.45</v>
          </cell>
          <cell r="V125">
            <v>484133.45</v>
          </cell>
          <cell r="W125">
            <v>532133.44999999995</v>
          </cell>
          <cell r="X125">
            <v>2042859.7</v>
          </cell>
          <cell r="Y125">
            <v>2049259.7</v>
          </cell>
          <cell r="Z125">
            <v>2049259.7</v>
          </cell>
          <cell r="AA125">
            <v>2049259.7</v>
          </cell>
          <cell r="AB125">
            <v>2049259.7</v>
          </cell>
          <cell r="AC125">
            <v>2049259.7</v>
          </cell>
        </row>
        <row r="126">
          <cell r="A126">
            <v>1020102</v>
          </cell>
          <cell r="B126" t="str">
            <v xml:space="preserve">ACTIVOS DEPRECIABLES                                                  </v>
          </cell>
          <cell r="C126">
            <v>8942261.6600000001</v>
          </cell>
          <cell r="D126">
            <v>2496.1</v>
          </cell>
          <cell r="E126">
            <v>-0.9</v>
          </cell>
          <cell r="F126">
            <v>-1550.9</v>
          </cell>
          <cell r="G126">
            <v>2971.06</v>
          </cell>
          <cell r="H126">
            <v>28863.27</v>
          </cell>
          <cell r="I126">
            <v>-0.9</v>
          </cell>
          <cell r="J126">
            <v>61485.11</v>
          </cell>
          <cell r="K126">
            <v>-661309.46</v>
          </cell>
          <cell r="L126">
            <v>0</v>
          </cell>
          <cell r="M126">
            <v>-0.9</v>
          </cell>
          <cell r="N126">
            <v>-0.9</v>
          </cell>
          <cell r="O126">
            <v>-0.9</v>
          </cell>
          <cell r="P126">
            <v>8375212.3399999999</v>
          </cell>
          <cell r="R126">
            <v>8944757.7599999998</v>
          </cell>
          <cell r="S126">
            <v>8944756.8599999994</v>
          </cell>
          <cell r="T126">
            <v>8943205.959999999</v>
          </cell>
          <cell r="U126">
            <v>8946177.0199999996</v>
          </cell>
          <cell r="V126">
            <v>8975040.2899999991</v>
          </cell>
          <cell r="W126">
            <v>8975039.3899999987</v>
          </cell>
          <cell r="X126">
            <v>9036524.4999999981</v>
          </cell>
          <cell r="Y126">
            <v>8375215.0399999982</v>
          </cell>
          <cell r="Z126">
            <v>8375215.0399999982</v>
          </cell>
          <cell r="AA126">
            <v>8375214.1399999978</v>
          </cell>
          <cell r="AB126">
            <v>8375213.2399999974</v>
          </cell>
          <cell r="AC126">
            <v>8375212.3399999971</v>
          </cell>
        </row>
        <row r="127">
          <cell r="A127">
            <v>102010201</v>
          </cell>
          <cell r="B127" t="str">
            <v xml:space="preserve">DEPRECIABLES                                                          </v>
          </cell>
          <cell r="C127">
            <v>8942261.6600000001</v>
          </cell>
          <cell r="D127">
            <v>2496.1</v>
          </cell>
          <cell r="E127">
            <v>-0.9</v>
          </cell>
          <cell r="F127">
            <v>-1550.9</v>
          </cell>
          <cell r="G127">
            <v>2971.06</v>
          </cell>
          <cell r="H127">
            <v>28863.27</v>
          </cell>
          <cell r="I127">
            <v>-0.9</v>
          </cell>
          <cell r="J127">
            <v>61485.11</v>
          </cell>
          <cell r="K127">
            <v>-661309.46</v>
          </cell>
          <cell r="L127">
            <v>0</v>
          </cell>
          <cell r="M127">
            <v>-0.9</v>
          </cell>
          <cell r="N127">
            <v>-0.9</v>
          </cell>
          <cell r="O127">
            <v>-0.9</v>
          </cell>
          <cell r="P127">
            <v>8375212.3399999999</v>
          </cell>
          <cell r="R127">
            <v>8944757.7599999998</v>
          </cell>
          <cell r="S127">
            <v>8944756.8599999994</v>
          </cell>
          <cell r="T127">
            <v>8943205.959999999</v>
          </cell>
          <cell r="U127">
            <v>8946177.0199999996</v>
          </cell>
          <cell r="V127">
            <v>8975040.2899999991</v>
          </cell>
          <cell r="W127">
            <v>8975039.3899999987</v>
          </cell>
          <cell r="X127">
            <v>9036524.4999999981</v>
          </cell>
          <cell r="Y127">
            <v>8375215.0399999982</v>
          </cell>
          <cell r="Z127">
            <v>8375215.0399999982</v>
          </cell>
          <cell r="AA127">
            <v>8375214.1399999978</v>
          </cell>
          <cell r="AB127">
            <v>8375213.2399999974</v>
          </cell>
          <cell r="AC127">
            <v>8375212.3399999971</v>
          </cell>
        </row>
        <row r="128">
          <cell r="A128">
            <v>102010201001</v>
          </cell>
          <cell r="B128" t="str">
            <v xml:space="preserve">Edificios                                                             </v>
          </cell>
          <cell r="C128">
            <v>461156.96</v>
          </cell>
          <cell r="D128">
            <v>0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461156.96</v>
          </cell>
          <cell r="R128">
            <v>461156.96</v>
          </cell>
          <cell r="S128">
            <v>461156.96</v>
          </cell>
          <cell r="T128">
            <v>461156.96</v>
          </cell>
          <cell r="U128">
            <v>461156.96</v>
          </cell>
          <cell r="V128">
            <v>461156.96</v>
          </cell>
          <cell r="W128">
            <v>461156.96</v>
          </cell>
          <cell r="X128">
            <v>461156.96</v>
          </cell>
          <cell r="Y128">
            <v>461156.96</v>
          </cell>
          <cell r="Z128">
            <v>461156.96</v>
          </cell>
          <cell r="AA128">
            <v>461156.96</v>
          </cell>
          <cell r="AB128">
            <v>461156.96</v>
          </cell>
          <cell r="AC128">
            <v>461156.96</v>
          </cell>
        </row>
        <row r="129">
          <cell r="A129">
            <v>102010201004</v>
          </cell>
          <cell r="B129" t="str">
            <v xml:space="preserve">Muebles y Enseres                                                     </v>
          </cell>
          <cell r="C129">
            <v>198798.62</v>
          </cell>
          <cell r="D129">
            <v>389.1</v>
          </cell>
          <cell r="E129">
            <v>-0.9</v>
          </cell>
          <cell r="F129">
            <v>599.1</v>
          </cell>
          <cell r="G129">
            <v>2971.06</v>
          </cell>
          <cell r="H129">
            <v>509.1</v>
          </cell>
          <cell r="I129">
            <v>-0.9</v>
          </cell>
          <cell r="J129">
            <v>169.1</v>
          </cell>
          <cell r="K129">
            <v>-0.9</v>
          </cell>
          <cell r="L129">
            <v>0</v>
          </cell>
          <cell r="M129">
            <v>-0.9</v>
          </cell>
          <cell r="N129">
            <v>-0.9</v>
          </cell>
          <cell r="O129">
            <v>-0.9</v>
          </cell>
          <cell r="P129">
            <v>203430.68</v>
          </cell>
          <cell r="R129">
            <v>199187.72</v>
          </cell>
          <cell r="S129">
            <v>199186.82</v>
          </cell>
          <cell r="T129">
            <v>199785.92</v>
          </cell>
          <cell r="U129">
            <v>202756.98</v>
          </cell>
          <cell r="V129">
            <v>203266.08000000002</v>
          </cell>
          <cell r="W129">
            <v>203265.18000000002</v>
          </cell>
          <cell r="X129">
            <v>203434.28000000003</v>
          </cell>
          <cell r="Y129">
            <v>203433.38000000003</v>
          </cell>
          <cell r="Z129">
            <v>203433.38000000003</v>
          </cell>
          <cell r="AA129">
            <v>203432.48000000004</v>
          </cell>
          <cell r="AB129">
            <v>203431.58000000005</v>
          </cell>
          <cell r="AC129">
            <v>203430.68000000005</v>
          </cell>
        </row>
        <row r="130">
          <cell r="A130">
            <v>102010201005</v>
          </cell>
          <cell r="B130" t="str">
            <v xml:space="preserve">Maquinarias y Equipos                                                 </v>
          </cell>
          <cell r="C130">
            <v>7621902.3799999999</v>
          </cell>
          <cell r="D130">
            <v>0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-661308.56000000006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6960593.8200000003</v>
          </cell>
          <cell r="R130">
            <v>7621902.3799999999</v>
          </cell>
          <cell r="S130">
            <v>7621902.3799999999</v>
          </cell>
          <cell r="T130">
            <v>7621902.3799999999</v>
          </cell>
          <cell r="U130">
            <v>7621902.3799999999</v>
          </cell>
          <cell r="V130">
            <v>7621902.3799999999</v>
          </cell>
          <cell r="W130">
            <v>7621902.3799999999</v>
          </cell>
          <cell r="X130">
            <v>7621902.3799999999</v>
          </cell>
          <cell r="Y130">
            <v>6960593.8200000003</v>
          </cell>
          <cell r="Z130">
            <v>6960593.8200000003</v>
          </cell>
          <cell r="AA130">
            <v>6960593.8200000003</v>
          </cell>
          <cell r="AB130">
            <v>6960593.8200000003</v>
          </cell>
          <cell r="AC130">
            <v>6960593.8200000003</v>
          </cell>
        </row>
        <row r="131">
          <cell r="A131">
            <v>102010201006</v>
          </cell>
          <cell r="B131" t="str">
            <v xml:space="preserve">Equipo de Seguridad                                                   </v>
          </cell>
          <cell r="C131">
            <v>15974.66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15974.66</v>
          </cell>
          <cell r="R131">
            <v>15974.66</v>
          </cell>
          <cell r="S131">
            <v>15974.66</v>
          </cell>
          <cell r="T131">
            <v>15974.66</v>
          </cell>
          <cell r="U131">
            <v>15974.66</v>
          </cell>
          <cell r="V131">
            <v>15974.66</v>
          </cell>
          <cell r="W131">
            <v>15974.66</v>
          </cell>
          <cell r="X131">
            <v>15974.66</v>
          </cell>
          <cell r="Y131">
            <v>15974.66</v>
          </cell>
          <cell r="Z131">
            <v>15974.66</v>
          </cell>
          <cell r="AA131">
            <v>15974.66</v>
          </cell>
          <cell r="AB131">
            <v>15974.66</v>
          </cell>
          <cell r="AC131">
            <v>15974.66</v>
          </cell>
        </row>
        <row r="132">
          <cell r="A132">
            <v>102010201007</v>
          </cell>
          <cell r="B132" t="str">
            <v xml:space="preserve">Equipos de Computación                                                </v>
          </cell>
          <cell r="C132">
            <v>141445.51</v>
          </cell>
          <cell r="D132">
            <v>2107</v>
          </cell>
          <cell r="E132">
            <v>0</v>
          </cell>
          <cell r="F132">
            <v>0</v>
          </cell>
          <cell r="G132">
            <v>0</v>
          </cell>
          <cell r="H132">
            <v>1040.5999999999999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144593.10999999999</v>
          </cell>
          <cell r="R132">
            <v>143552.51</v>
          </cell>
          <cell r="S132">
            <v>143552.51</v>
          </cell>
          <cell r="T132">
            <v>143552.51</v>
          </cell>
          <cell r="U132">
            <v>143552.51</v>
          </cell>
          <cell r="V132">
            <v>144593.11000000002</v>
          </cell>
          <cell r="W132">
            <v>144593.11000000002</v>
          </cell>
          <cell r="X132">
            <v>144593.11000000002</v>
          </cell>
          <cell r="Y132">
            <v>144593.11000000002</v>
          </cell>
          <cell r="Z132">
            <v>144593.11000000002</v>
          </cell>
          <cell r="AA132">
            <v>144593.11000000002</v>
          </cell>
          <cell r="AB132">
            <v>144593.11000000002</v>
          </cell>
          <cell r="AC132">
            <v>144593.11000000002</v>
          </cell>
        </row>
        <row r="133">
          <cell r="A133">
            <v>102010201009</v>
          </cell>
          <cell r="B133" t="str">
            <v xml:space="preserve">Vehiculos                                                             </v>
          </cell>
          <cell r="C133">
            <v>502983.53</v>
          </cell>
          <cell r="D133">
            <v>0</v>
          </cell>
          <cell r="E133">
            <v>0</v>
          </cell>
          <cell r="F133">
            <v>-2150</v>
          </cell>
          <cell r="G133">
            <v>0</v>
          </cell>
          <cell r="H133">
            <v>27313.57</v>
          </cell>
          <cell r="I133">
            <v>0</v>
          </cell>
          <cell r="J133">
            <v>61316.01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589463.11</v>
          </cell>
          <cell r="R133">
            <v>502983.53</v>
          </cell>
          <cell r="S133">
            <v>502983.53</v>
          </cell>
          <cell r="T133">
            <v>500833.53</v>
          </cell>
          <cell r="U133">
            <v>500833.53</v>
          </cell>
          <cell r="V133">
            <v>528147.1</v>
          </cell>
          <cell r="W133">
            <v>528147.1</v>
          </cell>
          <cell r="X133">
            <v>589463.11</v>
          </cell>
          <cell r="Y133">
            <v>589463.11</v>
          </cell>
          <cell r="Z133">
            <v>589463.11</v>
          </cell>
          <cell r="AA133">
            <v>589463.11</v>
          </cell>
          <cell r="AB133">
            <v>589463.11</v>
          </cell>
          <cell r="AC133">
            <v>589463.11</v>
          </cell>
        </row>
        <row r="134">
          <cell r="A134">
            <v>1020103</v>
          </cell>
          <cell r="B134" t="str">
            <v xml:space="preserve">(-) DEPRECIACIÓN ACUMULADA DE PROPIEDADES, PLANTAS Y EQUIPOS          </v>
          </cell>
          <cell r="C134">
            <v>-4638410.72</v>
          </cell>
          <cell r="D134">
            <v>-53160.01</v>
          </cell>
          <cell r="E134">
            <v>-48134.21</v>
          </cell>
          <cell r="F134">
            <v>-45953.47</v>
          </cell>
          <cell r="G134">
            <v>-48103.47</v>
          </cell>
          <cell r="H134">
            <v>-48517.85</v>
          </cell>
          <cell r="I134">
            <v>-48450.71</v>
          </cell>
          <cell r="J134">
            <v>-49412.03</v>
          </cell>
          <cell r="K134">
            <v>612006.49</v>
          </cell>
          <cell r="L134">
            <v>-49301.59</v>
          </cell>
          <cell r="M134">
            <v>-49299.4</v>
          </cell>
          <cell r="N134">
            <v>-49285.35</v>
          </cell>
          <cell r="O134">
            <v>-49213.55</v>
          </cell>
          <cell r="P134">
            <v>-4565235.87</v>
          </cell>
          <cell r="R134">
            <v>-4691570.7299999995</v>
          </cell>
          <cell r="S134">
            <v>-4739704.9399999995</v>
          </cell>
          <cell r="T134">
            <v>-4785658.4099999992</v>
          </cell>
          <cell r="U134">
            <v>-4833761.879999999</v>
          </cell>
          <cell r="V134">
            <v>-4882279.7299999986</v>
          </cell>
          <cell r="W134">
            <v>-4930730.4399999985</v>
          </cell>
          <cell r="X134">
            <v>-4980142.4699999988</v>
          </cell>
          <cell r="Y134">
            <v>-4368135.9799999986</v>
          </cell>
          <cell r="Z134">
            <v>-4417437.5699999984</v>
          </cell>
          <cell r="AA134">
            <v>-4466736.9699999988</v>
          </cell>
          <cell r="AB134">
            <v>-4516022.3199999984</v>
          </cell>
          <cell r="AC134">
            <v>-4565235.8699999982</v>
          </cell>
        </row>
        <row r="135">
          <cell r="A135">
            <v>102010301</v>
          </cell>
          <cell r="B135" t="str">
            <v xml:space="preserve">(-) DEPRECIACIÓN ACUMULADA DE ACTIVOS FIJOS                           </v>
          </cell>
          <cell r="C135">
            <v>-4638410.72</v>
          </cell>
          <cell r="D135">
            <v>-53160.01</v>
          </cell>
          <cell r="E135">
            <v>-48134.21</v>
          </cell>
          <cell r="F135">
            <v>-45953.47</v>
          </cell>
          <cell r="G135">
            <v>-48103.47</v>
          </cell>
          <cell r="H135">
            <v>-48517.85</v>
          </cell>
          <cell r="I135">
            <v>-48450.71</v>
          </cell>
          <cell r="J135">
            <v>-49412.03</v>
          </cell>
          <cell r="K135">
            <v>612006.49</v>
          </cell>
          <cell r="L135">
            <v>-49301.59</v>
          </cell>
          <cell r="M135">
            <v>-49299.4</v>
          </cell>
          <cell r="N135">
            <v>-49285.35</v>
          </cell>
          <cell r="O135">
            <v>-49213.55</v>
          </cell>
          <cell r="P135">
            <v>-4565235.87</v>
          </cell>
          <cell r="R135">
            <v>-4691570.7299999995</v>
          </cell>
          <cell r="S135">
            <v>-4739704.9399999995</v>
          </cell>
          <cell r="T135">
            <v>-4785658.4099999992</v>
          </cell>
          <cell r="U135">
            <v>-4833761.879999999</v>
          </cell>
          <cell r="V135">
            <v>-4882279.7299999986</v>
          </cell>
          <cell r="W135">
            <v>-4930730.4399999985</v>
          </cell>
          <cell r="X135">
            <v>-4980142.4699999988</v>
          </cell>
          <cell r="Y135">
            <v>-4368135.9799999986</v>
          </cell>
          <cell r="Z135">
            <v>-4417437.5699999984</v>
          </cell>
          <cell r="AA135">
            <v>-4466736.9699999988</v>
          </cell>
          <cell r="AB135">
            <v>-4516022.3199999984</v>
          </cell>
          <cell r="AC135">
            <v>-4565235.8699999982</v>
          </cell>
        </row>
        <row r="136">
          <cell r="A136">
            <v>102010301001</v>
          </cell>
          <cell r="B136" t="str">
            <v xml:space="preserve">Depreciación Acumulada Edificios                                      </v>
          </cell>
          <cell r="C136">
            <v>-8192.16</v>
          </cell>
          <cell r="D136">
            <v>-682.68</v>
          </cell>
          <cell r="E136">
            <v>-682.68</v>
          </cell>
          <cell r="F136">
            <v>-682.68</v>
          </cell>
          <cell r="G136">
            <v>-682.68</v>
          </cell>
          <cell r="H136">
            <v>-682.68</v>
          </cell>
          <cell r="I136">
            <v>-682.68</v>
          </cell>
          <cell r="J136">
            <v>-682.68</v>
          </cell>
          <cell r="K136">
            <v>-682.68</v>
          </cell>
          <cell r="L136">
            <v>-682.68</v>
          </cell>
          <cell r="M136">
            <v>-682.68</v>
          </cell>
          <cell r="N136">
            <v>-682.68</v>
          </cell>
          <cell r="O136">
            <v>-682.68</v>
          </cell>
          <cell r="P136">
            <v>-16384.32</v>
          </cell>
          <cell r="R136">
            <v>-8874.84</v>
          </cell>
          <cell r="S136">
            <v>-9557.52</v>
          </cell>
          <cell r="T136">
            <v>-10240.200000000001</v>
          </cell>
          <cell r="U136">
            <v>-10922.880000000001</v>
          </cell>
          <cell r="V136">
            <v>-11605.560000000001</v>
          </cell>
          <cell r="W136">
            <v>-12288.240000000002</v>
          </cell>
          <cell r="X136">
            <v>-12970.920000000002</v>
          </cell>
          <cell r="Y136">
            <v>-13653.600000000002</v>
          </cell>
          <cell r="Z136">
            <v>-14336.280000000002</v>
          </cell>
          <cell r="AA136">
            <v>-15018.960000000003</v>
          </cell>
          <cell r="AB136">
            <v>-15701.640000000003</v>
          </cell>
          <cell r="AC136">
            <v>-16384.320000000003</v>
          </cell>
        </row>
        <row r="137">
          <cell r="A137">
            <v>102010301004</v>
          </cell>
          <cell r="B137" t="str">
            <v xml:space="preserve">Depreciación Acumulada Muebles y Enseres                              </v>
          </cell>
          <cell r="C137">
            <v>-155832.79</v>
          </cell>
          <cell r="D137">
            <v>-687.42</v>
          </cell>
          <cell r="E137">
            <v>-686.59</v>
          </cell>
          <cell r="F137">
            <v>-684.92</v>
          </cell>
          <cell r="G137">
            <v>-684.92</v>
          </cell>
          <cell r="H137">
            <v>-709.7</v>
          </cell>
          <cell r="I137">
            <v>-662.31</v>
          </cell>
          <cell r="J137">
            <v>-619.79999999999995</v>
          </cell>
          <cell r="K137">
            <v>-613.63</v>
          </cell>
          <cell r="L137">
            <v>-613.15</v>
          </cell>
          <cell r="M137">
            <v>-611.52</v>
          </cell>
          <cell r="N137">
            <v>-610.38</v>
          </cell>
          <cell r="O137">
            <v>-551.57000000000005</v>
          </cell>
          <cell r="P137">
            <v>-163568.70000000001</v>
          </cell>
          <cell r="R137">
            <v>-156520.21000000002</v>
          </cell>
          <cell r="S137">
            <v>-157206.80000000002</v>
          </cell>
          <cell r="T137">
            <v>-157891.72000000003</v>
          </cell>
          <cell r="U137">
            <v>-158576.64000000004</v>
          </cell>
          <cell r="V137">
            <v>-159286.34000000005</v>
          </cell>
          <cell r="W137">
            <v>-159948.65000000005</v>
          </cell>
          <cell r="X137">
            <v>-160568.45000000004</v>
          </cell>
          <cell r="Y137">
            <v>-161182.08000000005</v>
          </cell>
          <cell r="Z137">
            <v>-161795.23000000004</v>
          </cell>
          <cell r="AA137">
            <v>-162406.75000000003</v>
          </cell>
          <cell r="AB137">
            <v>-163017.13000000003</v>
          </cell>
          <cell r="AC137">
            <v>-163568.70000000004</v>
          </cell>
        </row>
        <row r="138">
          <cell r="A138">
            <v>102010301005</v>
          </cell>
          <cell r="B138" t="str">
            <v xml:space="preserve">Depreciación Acumulada Maquinarias y Equipos                          </v>
          </cell>
          <cell r="C138">
            <v>-4024307.83</v>
          </cell>
          <cell r="D138">
            <v>-47345.64</v>
          </cell>
          <cell r="E138">
            <v>-42355.41</v>
          </cell>
          <cell r="F138">
            <v>-42355.41</v>
          </cell>
          <cell r="G138">
            <v>-42355.41</v>
          </cell>
          <cell r="H138">
            <v>-42355.41</v>
          </cell>
          <cell r="I138">
            <v>-42355.41</v>
          </cell>
          <cell r="J138">
            <v>-42355.41</v>
          </cell>
          <cell r="K138">
            <v>618953.15</v>
          </cell>
          <cell r="L138">
            <v>-42355.97</v>
          </cell>
          <cell r="M138">
            <v>-42355.41</v>
          </cell>
          <cell r="N138">
            <v>-42355.41</v>
          </cell>
          <cell r="O138">
            <v>-42354.22</v>
          </cell>
          <cell r="P138">
            <v>-3876253.79</v>
          </cell>
          <cell r="R138">
            <v>-4071653.47</v>
          </cell>
          <cell r="S138">
            <v>-4114008.8800000004</v>
          </cell>
          <cell r="T138">
            <v>-4156364.2900000005</v>
          </cell>
          <cell r="U138">
            <v>-4198719.7</v>
          </cell>
          <cell r="V138">
            <v>-4241075.1100000003</v>
          </cell>
          <cell r="W138">
            <v>-4283430.5200000005</v>
          </cell>
          <cell r="X138">
            <v>-4325785.9300000006</v>
          </cell>
          <cell r="Y138">
            <v>-3706832.7800000007</v>
          </cell>
          <cell r="Z138">
            <v>-3749188.7500000009</v>
          </cell>
          <cell r="AA138">
            <v>-3791544.1600000011</v>
          </cell>
          <cell r="AB138">
            <v>-3833899.5700000012</v>
          </cell>
          <cell r="AC138">
            <v>-3876253.7900000014</v>
          </cell>
        </row>
        <row r="139">
          <cell r="A139">
            <v>102010301006</v>
          </cell>
          <cell r="B139" t="str">
            <v xml:space="preserve">Depreciación Acumulada Equipo de Seguridad                            </v>
          </cell>
          <cell r="C139">
            <v>-15329.9</v>
          </cell>
          <cell r="D139">
            <v>-36.880000000000003</v>
          </cell>
          <cell r="E139">
            <v>-35.76</v>
          </cell>
          <cell r="F139">
            <v>-36.32</v>
          </cell>
          <cell r="G139">
            <v>-36.32</v>
          </cell>
          <cell r="H139">
            <v>-36.32</v>
          </cell>
          <cell r="I139">
            <v>-36.32</v>
          </cell>
          <cell r="J139">
            <v>-36.32</v>
          </cell>
          <cell r="K139">
            <v>-36.32</v>
          </cell>
          <cell r="L139">
            <v>-35.76</v>
          </cell>
          <cell r="M139">
            <v>-35.76</v>
          </cell>
          <cell r="N139">
            <v>-35.76</v>
          </cell>
          <cell r="O139">
            <v>-35.76</v>
          </cell>
          <cell r="P139">
            <v>-15763.5</v>
          </cell>
          <cell r="R139">
            <v>-15366.779999999999</v>
          </cell>
          <cell r="S139">
            <v>-15402.539999999999</v>
          </cell>
          <cell r="T139">
            <v>-15438.859999999999</v>
          </cell>
          <cell r="U139">
            <v>-15475.179999999998</v>
          </cell>
          <cell r="V139">
            <v>-15511.499999999998</v>
          </cell>
          <cell r="W139">
            <v>-15547.819999999998</v>
          </cell>
          <cell r="X139">
            <v>-15584.139999999998</v>
          </cell>
          <cell r="Y139">
            <v>-15620.459999999997</v>
          </cell>
          <cell r="Z139">
            <v>-15656.219999999998</v>
          </cell>
          <cell r="AA139">
            <v>-15691.979999999998</v>
          </cell>
          <cell r="AB139">
            <v>-15727.739999999998</v>
          </cell>
          <cell r="AC139">
            <v>-15763.499999999998</v>
          </cell>
        </row>
        <row r="140">
          <cell r="A140">
            <v>102010301007</v>
          </cell>
          <cell r="B140" t="str">
            <v xml:space="preserve">Depreciaciión Acumulada Equipos de Computación                        </v>
          </cell>
          <cell r="C140">
            <v>-118120.19</v>
          </cell>
          <cell r="D140">
            <v>-507.44</v>
          </cell>
          <cell r="E140">
            <v>-473.82</v>
          </cell>
          <cell r="F140">
            <v>-444.19</v>
          </cell>
          <cell r="G140">
            <v>-444.19</v>
          </cell>
          <cell r="H140">
            <v>-378.56</v>
          </cell>
          <cell r="I140">
            <v>-358.81</v>
          </cell>
          <cell r="J140">
            <v>-340.71</v>
          </cell>
          <cell r="K140">
            <v>-236.92</v>
          </cell>
          <cell r="L140">
            <v>-236.92</v>
          </cell>
          <cell r="M140">
            <v>-236.92</v>
          </cell>
          <cell r="N140">
            <v>-224.01</v>
          </cell>
          <cell r="O140">
            <v>-212.21</v>
          </cell>
          <cell r="P140">
            <v>-122214.89</v>
          </cell>
          <cell r="R140">
            <v>-118627.63</v>
          </cell>
          <cell r="S140">
            <v>-119101.45000000001</v>
          </cell>
          <cell r="T140">
            <v>-119545.64000000001</v>
          </cell>
          <cell r="U140">
            <v>-119989.83000000002</v>
          </cell>
          <cell r="V140">
            <v>-120368.39000000001</v>
          </cell>
          <cell r="W140">
            <v>-120727.20000000001</v>
          </cell>
          <cell r="X140">
            <v>-121067.91000000002</v>
          </cell>
          <cell r="Y140">
            <v>-121304.83000000002</v>
          </cell>
          <cell r="Z140">
            <v>-121541.75000000001</v>
          </cell>
          <cell r="AA140">
            <v>-121778.67000000001</v>
          </cell>
          <cell r="AB140">
            <v>-122002.68000000001</v>
          </cell>
          <cell r="AC140">
            <v>-122214.89000000001</v>
          </cell>
        </row>
        <row r="141">
          <cell r="A141">
            <v>102010301009</v>
          </cell>
          <cell r="B141" t="str">
            <v xml:space="preserve">Depreciacion Acumulada Vehiculos                                      </v>
          </cell>
          <cell r="C141">
            <v>-316627.84999999998</v>
          </cell>
          <cell r="D141">
            <v>-3899.95</v>
          </cell>
          <cell r="E141">
            <v>-3899.95</v>
          </cell>
          <cell r="F141">
            <v>-1749.95</v>
          </cell>
          <cell r="G141">
            <v>-3899.95</v>
          </cell>
          <cell r="H141">
            <v>-4355.18</v>
          </cell>
          <cell r="I141">
            <v>-4355.18</v>
          </cell>
          <cell r="J141">
            <v>-5377.11</v>
          </cell>
          <cell r="K141">
            <v>-5377.11</v>
          </cell>
          <cell r="L141">
            <v>-5377.11</v>
          </cell>
          <cell r="M141">
            <v>-5377.11</v>
          </cell>
          <cell r="N141">
            <v>-5377.11</v>
          </cell>
          <cell r="O141">
            <v>-5377.11</v>
          </cell>
          <cell r="P141">
            <v>-371050.67</v>
          </cell>
          <cell r="R141">
            <v>-320527.8</v>
          </cell>
          <cell r="S141">
            <v>-324427.75</v>
          </cell>
          <cell r="T141">
            <v>-326177.7</v>
          </cell>
          <cell r="U141">
            <v>-330077.65000000002</v>
          </cell>
          <cell r="V141">
            <v>-334432.83</v>
          </cell>
          <cell r="W141">
            <v>-338788.01</v>
          </cell>
          <cell r="X141">
            <v>-344165.12</v>
          </cell>
          <cell r="Y141">
            <v>-349542.23</v>
          </cell>
          <cell r="Z141">
            <v>-354919.33999999997</v>
          </cell>
          <cell r="AA141">
            <v>-360296.44999999995</v>
          </cell>
          <cell r="AB141">
            <v>-365673.55999999994</v>
          </cell>
          <cell r="AC141">
            <v>-371050.66999999993</v>
          </cell>
        </row>
        <row r="142">
          <cell r="A142">
            <v>1020104</v>
          </cell>
          <cell r="B142" t="str">
            <v xml:space="preserve">(-) DETERIORO ACUMULADO DE PROPIEDADES, PLANTAS Y EQUIPOS             </v>
          </cell>
          <cell r="C142">
            <v>0</v>
          </cell>
          <cell r="D142">
            <v>0.56000000000000005</v>
          </cell>
          <cell r="E142">
            <v>-0.56000000000000005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-0.56000000000000005</v>
          </cell>
          <cell r="N142">
            <v>-0.56000000000000005</v>
          </cell>
          <cell r="O142">
            <v>-0.56000000000000005</v>
          </cell>
          <cell r="P142">
            <v>-1.68</v>
          </cell>
          <cell r="R142">
            <v>0.56000000000000005</v>
          </cell>
          <cell r="S142">
            <v>0</v>
          </cell>
          <cell r="T142">
            <v>0</v>
          </cell>
          <cell r="U142">
            <v>0</v>
          </cell>
          <cell r="V142">
            <v>0</v>
          </cell>
          <cell r="W142">
            <v>0</v>
          </cell>
          <cell r="X142">
            <v>0</v>
          </cell>
          <cell r="Y142">
            <v>0</v>
          </cell>
          <cell r="Z142">
            <v>0</v>
          </cell>
          <cell r="AA142">
            <v>-0.56000000000000005</v>
          </cell>
          <cell r="AB142">
            <v>-1.1200000000000001</v>
          </cell>
          <cell r="AC142">
            <v>-1.6800000000000002</v>
          </cell>
        </row>
        <row r="143">
          <cell r="A143">
            <v>102010401</v>
          </cell>
          <cell r="B143" t="str">
            <v xml:space="preserve">(-) DETERIORO ACUMULADO DE ACTIVOS FIJOS                              </v>
          </cell>
          <cell r="C143">
            <v>0</v>
          </cell>
          <cell r="D143">
            <v>0.56000000000000005</v>
          </cell>
          <cell r="E143">
            <v>-0.56000000000000005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-0.56000000000000005</v>
          </cell>
          <cell r="N143">
            <v>-0.56000000000000005</v>
          </cell>
          <cell r="O143">
            <v>-0.56000000000000005</v>
          </cell>
          <cell r="P143">
            <v>-1.68</v>
          </cell>
          <cell r="R143">
            <v>0.56000000000000005</v>
          </cell>
          <cell r="S143">
            <v>0</v>
          </cell>
          <cell r="T143">
            <v>0</v>
          </cell>
          <cell r="U143">
            <v>0</v>
          </cell>
          <cell r="V143">
            <v>0</v>
          </cell>
          <cell r="W143">
            <v>0</v>
          </cell>
          <cell r="X143">
            <v>0</v>
          </cell>
          <cell r="Y143">
            <v>0</v>
          </cell>
          <cell r="Z143">
            <v>0</v>
          </cell>
          <cell r="AA143">
            <v>-0.56000000000000005</v>
          </cell>
          <cell r="AB143">
            <v>-1.1200000000000001</v>
          </cell>
          <cell r="AC143">
            <v>-1.6800000000000002</v>
          </cell>
        </row>
        <row r="144">
          <cell r="A144">
            <v>102010401006</v>
          </cell>
          <cell r="B144" t="str">
            <v xml:space="preserve">Deterioro Acum. Equipo de Seguridad                                   </v>
          </cell>
          <cell r="C144">
            <v>0</v>
          </cell>
          <cell r="D144">
            <v>0.56000000000000005</v>
          </cell>
          <cell r="E144">
            <v>-0.56000000000000005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-0.56000000000000005</v>
          </cell>
          <cell r="N144">
            <v>-0.56000000000000005</v>
          </cell>
          <cell r="O144">
            <v>-0.56000000000000005</v>
          </cell>
          <cell r="P144">
            <v>-1.68</v>
          </cell>
          <cell r="R144">
            <v>0.56000000000000005</v>
          </cell>
          <cell r="S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>
            <v>0</v>
          </cell>
          <cell r="Y144">
            <v>0</v>
          </cell>
          <cell r="Z144">
            <v>0</v>
          </cell>
          <cell r="AA144">
            <v>-0.56000000000000005</v>
          </cell>
          <cell r="AB144">
            <v>-1.1200000000000001</v>
          </cell>
          <cell r="AC144">
            <v>-1.6800000000000002</v>
          </cell>
        </row>
        <row r="145">
          <cell r="A145">
            <v>1020105</v>
          </cell>
          <cell r="B145" t="str">
            <v xml:space="preserve">Activos fijos en tránsito                                             </v>
          </cell>
          <cell r="C145">
            <v>0</v>
          </cell>
          <cell r="D145">
            <v>0</v>
          </cell>
          <cell r="E145">
            <v>0</v>
          </cell>
          <cell r="F145">
            <v>24553.57</v>
          </cell>
          <cell r="G145">
            <v>2300</v>
          </cell>
          <cell r="H145">
            <v>-26853.57</v>
          </cell>
          <cell r="I145">
            <v>61316.01</v>
          </cell>
          <cell r="J145">
            <v>-61316.01</v>
          </cell>
          <cell r="K145">
            <v>0</v>
          </cell>
          <cell r="L145">
            <v>0</v>
          </cell>
          <cell r="M145">
            <v>18000</v>
          </cell>
          <cell r="N145">
            <v>0</v>
          </cell>
          <cell r="O145">
            <v>0</v>
          </cell>
          <cell r="P145">
            <v>18000</v>
          </cell>
          <cell r="R145">
            <v>0</v>
          </cell>
          <cell r="S145">
            <v>0</v>
          </cell>
          <cell r="T145">
            <v>24553.57</v>
          </cell>
          <cell r="U145">
            <v>26853.57</v>
          </cell>
          <cell r="V145">
            <v>0</v>
          </cell>
          <cell r="W145">
            <v>61316.01</v>
          </cell>
          <cell r="X145">
            <v>0</v>
          </cell>
          <cell r="Y145">
            <v>0</v>
          </cell>
          <cell r="Z145">
            <v>0</v>
          </cell>
          <cell r="AA145">
            <v>18000</v>
          </cell>
          <cell r="AB145">
            <v>18000</v>
          </cell>
          <cell r="AC145">
            <v>18000</v>
          </cell>
        </row>
        <row r="146">
          <cell r="A146">
            <v>102010501</v>
          </cell>
          <cell r="B146" t="str">
            <v xml:space="preserve">Activos fijos en tránsito                                             </v>
          </cell>
          <cell r="C146">
            <v>0</v>
          </cell>
          <cell r="D146">
            <v>0</v>
          </cell>
          <cell r="E146">
            <v>0</v>
          </cell>
          <cell r="F146">
            <v>24553.57</v>
          </cell>
          <cell r="G146">
            <v>2300</v>
          </cell>
          <cell r="H146">
            <v>-26853.57</v>
          </cell>
          <cell r="I146">
            <v>61316.01</v>
          </cell>
          <cell r="J146">
            <v>-61316.01</v>
          </cell>
          <cell r="K146">
            <v>0</v>
          </cell>
          <cell r="L146">
            <v>0</v>
          </cell>
          <cell r="M146">
            <v>18000</v>
          </cell>
          <cell r="N146">
            <v>0</v>
          </cell>
          <cell r="O146">
            <v>0</v>
          </cell>
          <cell r="P146">
            <v>18000</v>
          </cell>
          <cell r="R146">
            <v>0</v>
          </cell>
          <cell r="S146">
            <v>0</v>
          </cell>
          <cell r="T146">
            <v>24553.57</v>
          </cell>
          <cell r="U146">
            <v>26853.57</v>
          </cell>
          <cell r="V146">
            <v>0</v>
          </cell>
          <cell r="W146">
            <v>61316.01</v>
          </cell>
          <cell r="X146">
            <v>0</v>
          </cell>
          <cell r="Y146">
            <v>0</v>
          </cell>
          <cell r="Z146">
            <v>0</v>
          </cell>
          <cell r="AA146">
            <v>18000</v>
          </cell>
          <cell r="AB146">
            <v>18000</v>
          </cell>
          <cell r="AC146">
            <v>18000</v>
          </cell>
        </row>
        <row r="147">
          <cell r="A147">
            <v>102010501001</v>
          </cell>
          <cell r="B147" t="str">
            <v xml:space="preserve">Activo Fijo en Transito                                               </v>
          </cell>
          <cell r="C147">
            <v>0</v>
          </cell>
          <cell r="D147">
            <v>0</v>
          </cell>
          <cell r="E147">
            <v>0</v>
          </cell>
          <cell r="F147">
            <v>24553.57</v>
          </cell>
          <cell r="G147">
            <v>2300</v>
          </cell>
          <cell r="H147">
            <v>-26853.57</v>
          </cell>
          <cell r="I147">
            <v>61316.01</v>
          </cell>
          <cell r="J147">
            <v>-61316.01</v>
          </cell>
          <cell r="K147">
            <v>0</v>
          </cell>
          <cell r="L147">
            <v>0</v>
          </cell>
          <cell r="M147">
            <v>18000</v>
          </cell>
          <cell r="N147">
            <v>0</v>
          </cell>
          <cell r="O147">
            <v>0</v>
          </cell>
          <cell r="P147">
            <v>18000</v>
          </cell>
          <cell r="R147">
            <v>0</v>
          </cell>
          <cell r="S147">
            <v>0</v>
          </cell>
          <cell r="T147">
            <v>24553.57</v>
          </cell>
          <cell r="U147">
            <v>26853.57</v>
          </cell>
          <cell r="V147">
            <v>0</v>
          </cell>
          <cell r="W147">
            <v>61316.01</v>
          </cell>
          <cell r="X147">
            <v>0</v>
          </cell>
          <cell r="Y147">
            <v>0</v>
          </cell>
          <cell r="Z147">
            <v>0</v>
          </cell>
          <cell r="AA147">
            <v>18000</v>
          </cell>
          <cell r="AB147">
            <v>18000</v>
          </cell>
          <cell r="AC147">
            <v>18000</v>
          </cell>
        </row>
        <row r="148">
          <cell r="A148">
            <v>10202</v>
          </cell>
          <cell r="B148" t="str">
            <v xml:space="preserve">ACTIVOS INTANGIBLE                                                    </v>
          </cell>
          <cell r="C148">
            <v>1525.4</v>
          </cell>
          <cell r="D148">
            <v>-1525.4</v>
          </cell>
          <cell r="E148">
            <v>0.56000000000000005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0.56000000000000005</v>
          </cell>
          <cell r="R148">
            <v>0</v>
          </cell>
          <cell r="S148">
            <v>0.56000000000000005</v>
          </cell>
          <cell r="T148">
            <v>0.56000000000000005</v>
          </cell>
          <cell r="U148">
            <v>0.56000000000000005</v>
          </cell>
          <cell r="V148">
            <v>0.56000000000000005</v>
          </cell>
          <cell r="W148">
            <v>0.56000000000000005</v>
          </cell>
          <cell r="X148">
            <v>0.56000000000000005</v>
          </cell>
          <cell r="Y148">
            <v>0.56000000000000005</v>
          </cell>
          <cell r="Z148">
            <v>0.56000000000000005</v>
          </cell>
          <cell r="AA148">
            <v>0.56000000000000005</v>
          </cell>
          <cell r="AB148">
            <v>0.56000000000000005</v>
          </cell>
          <cell r="AC148">
            <v>0.56000000000000005</v>
          </cell>
        </row>
        <row r="149">
          <cell r="A149">
            <v>1020201</v>
          </cell>
          <cell r="B149" t="str">
            <v xml:space="preserve">INTANGIBLES AMORTIZABLE                                               </v>
          </cell>
          <cell r="C149">
            <v>82108</v>
          </cell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82108</v>
          </cell>
          <cell r="R149">
            <v>82108</v>
          </cell>
          <cell r="S149">
            <v>82108</v>
          </cell>
          <cell r="T149">
            <v>82108</v>
          </cell>
          <cell r="U149">
            <v>82108</v>
          </cell>
          <cell r="V149">
            <v>82108</v>
          </cell>
          <cell r="W149">
            <v>82108</v>
          </cell>
          <cell r="X149">
            <v>82108</v>
          </cell>
          <cell r="Y149">
            <v>82108</v>
          </cell>
          <cell r="Z149">
            <v>82108</v>
          </cell>
          <cell r="AA149">
            <v>82108</v>
          </cell>
          <cell r="AB149">
            <v>82108</v>
          </cell>
          <cell r="AC149">
            <v>82108</v>
          </cell>
        </row>
        <row r="150">
          <cell r="A150">
            <v>102020101</v>
          </cell>
          <cell r="B150" t="str">
            <v>MARCAS, PATENTES, LICENCIAS, DERECHOS DE LLAVE, CUOTAS PATRIMONIALES Y</v>
          </cell>
          <cell r="C150">
            <v>82108</v>
          </cell>
          <cell r="D150">
            <v>0</v>
          </cell>
          <cell r="E150">
            <v>0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82108</v>
          </cell>
          <cell r="R150">
            <v>82108</v>
          </cell>
          <cell r="S150">
            <v>82108</v>
          </cell>
          <cell r="T150">
            <v>82108</v>
          </cell>
          <cell r="U150">
            <v>82108</v>
          </cell>
          <cell r="V150">
            <v>82108</v>
          </cell>
          <cell r="W150">
            <v>82108</v>
          </cell>
          <cell r="X150">
            <v>82108</v>
          </cell>
          <cell r="Y150">
            <v>82108</v>
          </cell>
          <cell r="Z150">
            <v>82108</v>
          </cell>
          <cell r="AA150">
            <v>82108</v>
          </cell>
          <cell r="AB150">
            <v>82108</v>
          </cell>
          <cell r="AC150">
            <v>82108</v>
          </cell>
        </row>
        <row r="151">
          <cell r="A151">
            <v>102020101004</v>
          </cell>
          <cell r="B151" t="str">
            <v xml:space="preserve">Software                                                              </v>
          </cell>
          <cell r="C151">
            <v>82108</v>
          </cell>
          <cell r="D151">
            <v>0</v>
          </cell>
          <cell r="E151">
            <v>0</v>
          </cell>
          <cell r="F151">
            <v>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0</v>
          </cell>
          <cell r="P151">
            <v>82108</v>
          </cell>
          <cell r="R151">
            <v>82108</v>
          </cell>
          <cell r="S151">
            <v>82108</v>
          </cell>
          <cell r="T151">
            <v>82108</v>
          </cell>
          <cell r="U151">
            <v>82108</v>
          </cell>
          <cell r="V151">
            <v>82108</v>
          </cell>
          <cell r="W151">
            <v>82108</v>
          </cell>
          <cell r="X151">
            <v>82108</v>
          </cell>
          <cell r="Y151">
            <v>82108</v>
          </cell>
          <cell r="Z151">
            <v>82108</v>
          </cell>
          <cell r="AA151">
            <v>82108</v>
          </cell>
          <cell r="AB151">
            <v>82108</v>
          </cell>
          <cell r="AC151">
            <v>82108</v>
          </cell>
        </row>
        <row r="152">
          <cell r="A152">
            <v>1020202</v>
          </cell>
          <cell r="B152" t="str">
            <v xml:space="preserve">(-) AMORTIZACION ACUMULADA DE ACTIVOS INTANGIBLES                     </v>
          </cell>
          <cell r="C152">
            <v>-80582.600000000006</v>
          </cell>
          <cell r="D152">
            <v>-1525.4</v>
          </cell>
          <cell r="E152">
            <v>0.56000000000000005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-82107.44</v>
          </cell>
          <cell r="R152">
            <v>-82108</v>
          </cell>
          <cell r="S152">
            <v>-82107.44</v>
          </cell>
          <cell r="T152">
            <v>-82107.44</v>
          </cell>
          <cell r="U152">
            <v>-82107.44</v>
          </cell>
          <cell r="V152">
            <v>-82107.44</v>
          </cell>
          <cell r="W152">
            <v>-82107.44</v>
          </cell>
          <cell r="X152">
            <v>-82107.44</v>
          </cell>
          <cell r="Y152">
            <v>-82107.44</v>
          </cell>
          <cell r="Z152">
            <v>-82107.44</v>
          </cell>
          <cell r="AA152">
            <v>-82107.44</v>
          </cell>
          <cell r="AB152">
            <v>-82107.44</v>
          </cell>
          <cell r="AC152">
            <v>-82107.44</v>
          </cell>
        </row>
        <row r="153">
          <cell r="A153">
            <v>102020201</v>
          </cell>
          <cell r="B153" t="str">
            <v xml:space="preserve">(-) AMORTIZACION ACUMULADA DE ACTIVOS INTANGIBLES                     </v>
          </cell>
          <cell r="C153">
            <v>-80582.600000000006</v>
          </cell>
          <cell r="D153">
            <v>-1525.4</v>
          </cell>
          <cell r="E153">
            <v>0.56000000000000005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-82107.44</v>
          </cell>
          <cell r="R153">
            <v>-82108</v>
          </cell>
          <cell r="S153">
            <v>-82107.44</v>
          </cell>
          <cell r="T153">
            <v>-82107.44</v>
          </cell>
          <cell r="U153">
            <v>-82107.44</v>
          </cell>
          <cell r="V153">
            <v>-82107.44</v>
          </cell>
          <cell r="W153">
            <v>-82107.44</v>
          </cell>
          <cell r="X153">
            <v>-82107.44</v>
          </cell>
          <cell r="Y153">
            <v>-82107.44</v>
          </cell>
          <cell r="Z153">
            <v>-82107.44</v>
          </cell>
          <cell r="AA153">
            <v>-82107.44</v>
          </cell>
          <cell r="AB153">
            <v>-82107.44</v>
          </cell>
          <cell r="AC153">
            <v>-82107.44</v>
          </cell>
        </row>
        <row r="154">
          <cell r="A154">
            <v>102020201001</v>
          </cell>
          <cell r="B154" t="str">
            <v xml:space="preserve">(-) Amortizacion acumulada de activos intangibles                     </v>
          </cell>
          <cell r="C154">
            <v>-80582.600000000006</v>
          </cell>
          <cell r="D154">
            <v>-1525.4</v>
          </cell>
          <cell r="E154">
            <v>0.56000000000000005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-82107.44</v>
          </cell>
          <cell r="R154">
            <v>-82108</v>
          </cell>
          <cell r="S154">
            <v>-82107.44</v>
          </cell>
          <cell r="T154">
            <v>-82107.44</v>
          </cell>
          <cell r="U154">
            <v>-82107.44</v>
          </cell>
          <cell r="V154">
            <v>-82107.44</v>
          </cell>
          <cell r="W154">
            <v>-82107.44</v>
          </cell>
          <cell r="X154">
            <v>-82107.44</v>
          </cell>
          <cell r="Y154">
            <v>-82107.44</v>
          </cell>
          <cell r="Z154">
            <v>-82107.44</v>
          </cell>
          <cell r="AA154">
            <v>-82107.44</v>
          </cell>
          <cell r="AB154">
            <v>-82107.44</v>
          </cell>
          <cell r="AC154">
            <v>-82107.44</v>
          </cell>
        </row>
        <row r="155">
          <cell r="A155">
            <v>104</v>
          </cell>
          <cell r="B155" t="str">
            <v xml:space="preserve">ACTIVOS POR IMPUESTOS DIFERIDOS                                       </v>
          </cell>
          <cell r="C155">
            <v>38708.81</v>
          </cell>
          <cell r="D155">
            <v>0</v>
          </cell>
          <cell r="E155">
            <v>0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38708.81</v>
          </cell>
          <cell r="R155">
            <v>38708.81</v>
          </cell>
          <cell r="S155">
            <v>38708.81</v>
          </cell>
          <cell r="T155">
            <v>38708.81</v>
          </cell>
          <cell r="U155">
            <v>38708.81</v>
          </cell>
          <cell r="V155">
            <v>38708.81</v>
          </cell>
          <cell r="W155">
            <v>38708.81</v>
          </cell>
          <cell r="X155">
            <v>38708.81</v>
          </cell>
          <cell r="Y155">
            <v>38708.81</v>
          </cell>
          <cell r="Z155">
            <v>38708.81</v>
          </cell>
          <cell r="AA155">
            <v>38708.81</v>
          </cell>
          <cell r="AB155">
            <v>38708.81</v>
          </cell>
          <cell r="AC155">
            <v>38708.81</v>
          </cell>
        </row>
        <row r="156">
          <cell r="A156">
            <v>10401</v>
          </cell>
          <cell r="B156" t="str">
            <v xml:space="preserve">ACTIVOS POR IMPUESTOS DIFERIDOS                                       </v>
          </cell>
          <cell r="C156">
            <v>38708.81</v>
          </cell>
          <cell r="D156">
            <v>0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38708.81</v>
          </cell>
          <cell r="R156">
            <v>38708.81</v>
          </cell>
          <cell r="S156">
            <v>38708.81</v>
          </cell>
          <cell r="T156">
            <v>38708.81</v>
          </cell>
          <cell r="U156">
            <v>38708.81</v>
          </cell>
          <cell r="V156">
            <v>38708.81</v>
          </cell>
          <cell r="W156">
            <v>38708.81</v>
          </cell>
          <cell r="X156">
            <v>38708.81</v>
          </cell>
          <cell r="Y156">
            <v>38708.81</v>
          </cell>
          <cell r="Z156">
            <v>38708.81</v>
          </cell>
          <cell r="AA156">
            <v>38708.81</v>
          </cell>
          <cell r="AB156">
            <v>38708.81</v>
          </cell>
          <cell r="AC156">
            <v>38708.81</v>
          </cell>
        </row>
        <row r="157">
          <cell r="A157">
            <v>1040101</v>
          </cell>
          <cell r="B157" t="str">
            <v xml:space="preserve">ACTIVOS POR IMPUESTOS DIFERIDOS                                       </v>
          </cell>
          <cell r="C157">
            <v>38708.81</v>
          </cell>
          <cell r="D157">
            <v>0</v>
          </cell>
          <cell r="E157">
            <v>0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  <cell r="P157">
            <v>38708.81</v>
          </cell>
          <cell r="R157">
            <v>38708.81</v>
          </cell>
          <cell r="S157">
            <v>38708.81</v>
          </cell>
          <cell r="T157">
            <v>38708.81</v>
          </cell>
          <cell r="U157">
            <v>38708.81</v>
          </cell>
          <cell r="V157">
            <v>38708.81</v>
          </cell>
          <cell r="W157">
            <v>38708.81</v>
          </cell>
          <cell r="X157">
            <v>38708.81</v>
          </cell>
          <cell r="Y157">
            <v>38708.81</v>
          </cell>
          <cell r="Z157">
            <v>38708.81</v>
          </cell>
          <cell r="AA157">
            <v>38708.81</v>
          </cell>
          <cell r="AB157">
            <v>38708.81</v>
          </cell>
          <cell r="AC157">
            <v>38708.81</v>
          </cell>
        </row>
        <row r="158">
          <cell r="A158">
            <v>104010101</v>
          </cell>
          <cell r="B158" t="str">
            <v xml:space="preserve">ACTIVOS POR IMPUESTOS DIFERIDOS                                       </v>
          </cell>
          <cell r="C158">
            <v>38708.81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38708.81</v>
          </cell>
          <cell r="R158">
            <v>38708.81</v>
          </cell>
          <cell r="S158">
            <v>38708.81</v>
          </cell>
          <cell r="T158">
            <v>38708.81</v>
          </cell>
          <cell r="U158">
            <v>38708.81</v>
          </cell>
          <cell r="V158">
            <v>38708.81</v>
          </cell>
          <cell r="W158">
            <v>38708.81</v>
          </cell>
          <cell r="X158">
            <v>38708.81</v>
          </cell>
          <cell r="Y158">
            <v>38708.81</v>
          </cell>
          <cell r="Z158">
            <v>38708.81</v>
          </cell>
          <cell r="AA158">
            <v>38708.81</v>
          </cell>
          <cell r="AB158">
            <v>38708.81</v>
          </cell>
          <cell r="AC158">
            <v>38708.81</v>
          </cell>
        </row>
        <row r="159">
          <cell r="A159">
            <v>104010101001</v>
          </cell>
          <cell r="B159" t="str">
            <v xml:space="preserve">Por Diferencias Temporales                                            </v>
          </cell>
          <cell r="C159">
            <v>38708.81</v>
          </cell>
          <cell r="D159">
            <v>0</v>
          </cell>
          <cell r="E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  <cell r="P159">
            <v>38708.81</v>
          </cell>
          <cell r="R159">
            <v>38708.81</v>
          </cell>
          <cell r="S159">
            <v>38708.81</v>
          </cell>
          <cell r="T159">
            <v>38708.81</v>
          </cell>
          <cell r="U159">
            <v>38708.81</v>
          </cell>
          <cell r="V159">
            <v>38708.81</v>
          </cell>
          <cell r="W159">
            <v>38708.81</v>
          </cell>
          <cell r="X159">
            <v>38708.81</v>
          </cell>
          <cell r="Y159">
            <v>38708.81</v>
          </cell>
          <cell r="Z159">
            <v>38708.81</v>
          </cell>
          <cell r="AA159">
            <v>38708.81</v>
          </cell>
          <cell r="AB159">
            <v>38708.81</v>
          </cell>
          <cell r="AC159">
            <v>38708.81</v>
          </cell>
        </row>
        <row r="160">
          <cell r="A160">
            <v>2</v>
          </cell>
          <cell r="B160" t="str">
            <v xml:space="preserve">PASIVO                                                                </v>
          </cell>
          <cell r="C160">
            <v>8434313.6699999999</v>
          </cell>
          <cell r="D160">
            <v>-126648.85</v>
          </cell>
          <cell r="E160">
            <v>262189.08</v>
          </cell>
          <cell r="F160">
            <v>664167.38</v>
          </cell>
          <cell r="G160">
            <v>-348964.57</v>
          </cell>
          <cell r="H160">
            <v>-190608.41</v>
          </cell>
          <cell r="I160">
            <v>1432409.55</v>
          </cell>
          <cell r="J160">
            <v>991722.49</v>
          </cell>
          <cell r="K160">
            <v>-1336843.03</v>
          </cell>
          <cell r="L160">
            <v>1458043.74</v>
          </cell>
          <cell r="M160">
            <v>-1063707.51</v>
          </cell>
          <cell r="N160">
            <v>3068128.83</v>
          </cell>
          <cell r="O160">
            <v>50658.01</v>
          </cell>
          <cell r="P160">
            <v>13294860.380000001</v>
          </cell>
          <cell r="R160">
            <v>8307664.8200000003</v>
          </cell>
          <cell r="S160">
            <v>8569853.9000000004</v>
          </cell>
          <cell r="T160">
            <v>9234021.2800000012</v>
          </cell>
          <cell r="U160">
            <v>8885056.7100000009</v>
          </cell>
          <cell r="V160">
            <v>8694448.3000000007</v>
          </cell>
          <cell r="W160">
            <v>10126857.850000001</v>
          </cell>
          <cell r="X160">
            <v>11118580.340000002</v>
          </cell>
          <cell r="Y160">
            <v>9781737.3100000024</v>
          </cell>
          <cell r="Z160">
            <v>11239781.050000003</v>
          </cell>
          <cell r="AA160">
            <v>10176073.540000003</v>
          </cell>
          <cell r="AB160">
            <v>13244202.370000003</v>
          </cell>
          <cell r="AC160">
            <v>13294860.380000003</v>
          </cell>
        </row>
        <row r="161">
          <cell r="A161">
            <v>201</v>
          </cell>
          <cell r="B161" t="str">
            <v xml:space="preserve">PASIVO CORRIENTE                                                      </v>
          </cell>
          <cell r="C161">
            <v>7682263.21</v>
          </cell>
          <cell r="D161">
            <v>-131860.64000000001</v>
          </cell>
          <cell r="E161">
            <v>256222.31</v>
          </cell>
          <cell r="F161">
            <v>657159.94999999995</v>
          </cell>
          <cell r="G161">
            <v>-356252.99</v>
          </cell>
          <cell r="H161">
            <v>-195758.75</v>
          </cell>
          <cell r="I161">
            <v>1426454.21</v>
          </cell>
          <cell r="J161">
            <v>1000545.43</v>
          </cell>
          <cell r="K161">
            <v>-1340163.75</v>
          </cell>
          <cell r="L161">
            <v>1452293.39</v>
          </cell>
          <cell r="M161">
            <v>-1070257.8500000001</v>
          </cell>
          <cell r="N161">
            <v>3061578.48</v>
          </cell>
          <cell r="O161">
            <v>45058.66</v>
          </cell>
          <cell r="P161">
            <v>12487281.66</v>
          </cell>
          <cell r="R161">
            <v>7550402.5700000003</v>
          </cell>
          <cell r="S161">
            <v>7806624.8799999999</v>
          </cell>
          <cell r="T161">
            <v>8463784.8300000001</v>
          </cell>
          <cell r="U161">
            <v>8107531.8399999999</v>
          </cell>
          <cell r="V161">
            <v>7911773.0899999999</v>
          </cell>
          <cell r="W161">
            <v>9338227.3000000007</v>
          </cell>
          <cell r="X161">
            <v>10338772.73</v>
          </cell>
          <cell r="Y161">
            <v>8998608.9800000004</v>
          </cell>
          <cell r="Z161">
            <v>10450902.370000001</v>
          </cell>
          <cell r="AA161">
            <v>9380644.5200000014</v>
          </cell>
          <cell r="AB161">
            <v>12442223.000000002</v>
          </cell>
          <cell r="AC161">
            <v>12487281.660000002</v>
          </cell>
        </row>
        <row r="162">
          <cell r="A162">
            <v>20103</v>
          </cell>
          <cell r="B162" t="str">
            <v xml:space="preserve">CUENTAS Y DOCUMENTOS POR PAGAR                                        </v>
          </cell>
          <cell r="C162">
            <v>7198395.7599999998</v>
          </cell>
          <cell r="D162">
            <v>-331652.92</v>
          </cell>
          <cell r="E162">
            <v>287563.58</v>
          </cell>
          <cell r="F162">
            <v>633161.44999999995</v>
          </cell>
          <cell r="G162">
            <v>-88067.77</v>
          </cell>
          <cell r="H162">
            <v>-179770.22</v>
          </cell>
          <cell r="I162">
            <v>1239829.07</v>
          </cell>
          <cell r="J162">
            <v>1113976.1100000001</v>
          </cell>
          <cell r="K162">
            <v>-1323357.72</v>
          </cell>
          <cell r="L162">
            <v>1418366.48</v>
          </cell>
          <cell r="M162">
            <v>-1156086.33</v>
          </cell>
          <cell r="N162">
            <v>2819831.38</v>
          </cell>
          <cell r="O162">
            <v>71807.070000000007</v>
          </cell>
          <cell r="P162">
            <v>11703995.939999999</v>
          </cell>
          <cell r="R162">
            <v>6866742.8399999999</v>
          </cell>
          <cell r="S162">
            <v>7154306.4199999999</v>
          </cell>
          <cell r="T162">
            <v>7787467.8700000001</v>
          </cell>
          <cell r="U162">
            <v>7699400.1000000006</v>
          </cell>
          <cell r="V162">
            <v>7519629.8800000008</v>
          </cell>
          <cell r="W162">
            <v>8759458.9500000011</v>
          </cell>
          <cell r="X162">
            <v>9873435.0600000005</v>
          </cell>
          <cell r="Y162">
            <v>8550077.3399999999</v>
          </cell>
          <cell r="Z162">
            <v>9968443.8200000003</v>
          </cell>
          <cell r="AA162">
            <v>8812357.4900000002</v>
          </cell>
          <cell r="AB162">
            <v>11632188.870000001</v>
          </cell>
          <cell r="AC162">
            <v>11703995.940000001</v>
          </cell>
        </row>
        <row r="163">
          <cell r="A163">
            <v>2010301</v>
          </cell>
          <cell r="B163" t="str">
            <v xml:space="preserve">PROVEEDORES LOCALES                                                   </v>
          </cell>
          <cell r="C163">
            <v>1006161.55</v>
          </cell>
          <cell r="D163">
            <v>-48289.35</v>
          </cell>
          <cell r="E163">
            <v>-297079.86</v>
          </cell>
          <cell r="F163">
            <v>-61333.46</v>
          </cell>
          <cell r="G163">
            <v>180993.75</v>
          </cell>
          <cell r="H163">
            <v>178561.1</v>
          </cell>
          <cell r="I163">
            <v>119831.93</v>
          </cell>
          <cell r="J163">
            <v>-80158.22</v>
          </cell>
          <cell r="K163">
            <v>122627.12</v>
          </cell>
          <cell r="L163">
            <v>-498058.48</v>
          </cell>
          <cell r="M163">
            <v>335612.85</v>
          </cell>
          <cell r="N163">
            <v>1366506.99</v>
          </cell>
          <cell r="O163">
            <v>1145634.24</v>
          </cell>
          <cell r="P163">
            <v>3471010.16</v>
          </cell>
          <cell r="R163">
            <v>957872.20000000007</v>
          </cell>
          <cell r="S163">
            <v>660792.34000000008</v>
          </cell>
          <cell r="T163">
            <v>599458.88000000012</v>
          </cell>
          <cell r="U163">
            <v>780452.63000000012</v>
          </cell>
          <cell r="V163">
            <v>959013.7300000001</v>
          </cell>
          <cell r="W163">
            <v>1078845.6600000001</v>
          </cell>
          <cell r="X163">
            <v>998687.44000000018</v>
          </cell>
          <cell r="Y163">
            <v>1121314.56</v>
          </cell>
          <cell r="Z163">
            <v>623256.08000000007</v>
          </cell>
          <cell r="AA163">
            <v>958868.93</v>
          </cell>
          <cell r="AB163">
            <v>2325375.92</v>
          </cell>
          <cell r="AC163">
            <v>3471010.16</v>
          </cell>
        </row>
        <row r="164">
          <cell r="A164">
            <v>201030101</v>
          </cell>
          <cell r="B164" t="str">
            <v xml:space="preserve">PROVEEDORES LOCALES                                                   </v>
          </cell>
          <cell r="C164">
            <v>1006161.55</v>
          </cell>
          <cell r="D164">
            <v>-48289.35</v>
          </cell>
          <cell r="E164">
            <v>-297079.86</v>
          </cell>
          <cell r="F164">
            <v>-61333.46</v>
          </cell>
          <cell r="G164">
            <v>180993.75</v>
          </cell>
          <cell r="H164">
            <v>178561.1</v>
          </cell>
          <cell r="I164">
            <v>119831.93</v>
          </cell>
          <cell r="J164">
            <v>-80158.22</v>
          </cell>
          <cell r="K164">
            <v>122627.12</v>
          </cell>
          <cell r="L164">
            <v>-498058.48</v>
          </cell>
          <cell r="M164">
            <v>335612.85</v>
          </cell>
          <cell r="N164">
            <v>1366506.99</v>
          </cell>
          <cell r="O164">
            <v>1145634.24</v>
          </cell>
          <cell r="P164">
            <v>3471010.16</v>
          </cell>
          <cell r="R164">
            <v>957872.20000000007</v>
          </cell>
          <cell r="S164">
            <v>660792.34000000008</v>
          </cell>
          <cell r="T164">
            <v>599458.88000000012</v>
          </cell>
          <cell r="U164">
            <v>780452.63000000012</v>
          </cell>
          <cell r="V164">
            <v>959013.7300000001</v>
          </cell>
          <cell r="W164">
            <v>1078845.6600000001</v>
          </cell>
          <cell r="X164">
            <v>998687.44000000018</v>
          </cell>
          <cell r="Y164">
            <v>1121314.56</v>
          </cell>
          <cell r="Z164">
            <v>623256.08000000007</v>
          </cell>
          <cell r="AA164">
            <v>958868.93</v>
          </cell>
          <cell r="AB164">
            <v>2325375.92</v>
          </cell>
          <cell r="AC164">
            <v>3471010.16</v>
          </cell>
        </row>
        <row r="165">
          <cell r="A165">
            <v>201030101001</v>
          </cell>
          <cell r="B165" t="str">
            <v xml:space="preserve">Proveedores de Bienes   Locales                                       </v>
          </cell>
          <cell r="C165">
            <v>569589.9</v>
          </cell>
          <cell r="D165">
            <v>-64508.71</v>
          </cell>
          <cell r="E165">
            <v>-129747.54</v>
          </cell>
          <cell r="F165">
            <v>48793.82</v>
          </cell>
          <cell r="G165">
            <v>185520.51</v>
          </cell>
          <cell r="H165">
            <v>199915.69</v>
          </cell>
          <cell r="I165">
            <v>44344.99</v>
          </cell>
          <cell r="J165">
            <v>-63792.28</v>
          </cell>
          <cell r="K165">
            <v>148904.4</v>
          </cell>
          <cell r="L165">
            <v>-420917.91</v>
          </cell>
          <cell r="M165">
            <v>150456.9</v>
          </cell>
          <cell r="N165">
            <v>870398</v>
          </cell>
          <cell r="O165">
            <v>450388.46</v>
          </cell>
          <cell r="P165">
            <v>1989346.23</v>
          </cell>
          <cell r="R165">
            <v>505081.19</v>
          </cell>
          <cell r="S165">
            <v>375333.65</v>
          </cell>
          <cell r="T165">
            <v>424127.47000000003</v>
          </cell>
          <cell r="U165">
            <v>609647.98</v>
          </cell>
          <cell r="V165">
            <v>809563.66999999993</v>
          </cell>
          <cell r="W165">
            <v>853908.65999999992</v>
          </cell>
          <cell r="X165">
            <v>790116.37999999989</v>
          </cell>
          <cell r="Y165">
            <v>939020.77999999991</v>
          </cell>
          <cell r="Z165">
            <v>518102.86999999994</v>
          </cell>
          <cell r="AA165">
            <v>668559.7699999999</v>
          </cell>
          <cell r="AB165">
            <v>1538957.77</v>
          </cell>
          <cell r="AC165">
            <v>1989346.23</v>
          </cell>
        </row>
        <row r="166">
          <cell r="A166">
            <v>201030101002</v>
          </cell>
          <cell r="B166" t="str">
            <v xml:space="preserve">Proveedores de Servicios  Locales                                     </v>
          </cell>
          <cell r="C166">
            <v>436571.65</v>
          </cell>
          <cell r="D166">
            <v>16219.36</v>
          </cell>
          <cell r="E166">
            <v>-167332.32</v>
          </cell>
          <cell r="F166">
            <v>-110127.28</v>
          </cell>
          <cell r="G166">
            <v>-4526.76</v>
          </cell>
          <cell r="H166">
            <v>-21354.59</v>
          </cell>
          <cell r="I166">
            <v>75486.94</v>
          </cell>
          <cell r="J166">
            <v>-16365.94</v>
          </cell>
          <cell r="K166">
            <v>-26277.279999999999</v>
          </cell>
          <cell r="L166">
            <v>-77140.570000000007</v>
          </cell>
          <cell r="M166">
            <v>185155.95</v>
          </cell>
          <cell r="N166">
            <v>496108.99</v>
          </cell>
          <cell r="O166">
            <v>695245.78</v>
          </cell>
          <cell r="P166">
            <v>1481663.93</v>
          </cell>
          <cell r="R166">
            <v>452791.01</v>
          </cell>
          <cell r="S166">
            <v>285458.69</v>
          </cell>
          <cell r="T166">
            <v>175331.41</v>
          </cell>
          <cell r="U166">
            <v>170804.65</v>
          </cell>
          <cell r="V166">
            <v>149450.06</v>
          </cell>
          <cell r="W166">
            <v>224937</v>
          </cell>
          <cell r="X166">
            <v>208571.06</v>
          </cell>
          <cell r="Y166">
            <v>182293.78</v>
          </cell>
          <cell r="Z166">
            <v>105153.20999999999</v>
          </cell>
          <cell r="AA166">
            <v>290309.16000000003</v>
          </cell>
          <cell r="AB166">
            <v>786418.15</v>
          </cell>
          <cell r="AC166">
            <v>1481663.9300000002</v>
          </cell>
        </row>
        <row r="167">
          <cell r="A167">
            <v>2010302</v>
          </cell>
          <cell r="B167" t="str">
            <v xml:space="preserve">PROVEEDORES DEL EXTERIOR                                              </v>
          </cell>
          <cell r="C167">
            <v>2900969</v>
          </cell>
          <cell r="D167">
            <v>-480303.82</v>
          </cell>
          <cell r="E167">
            <v>358330.54</v>
          </cell>
          <cell r="F167">
            <v>498976.51</v>
          </cell>
          <cell r="G167">
            <v>-172342.09</v>
          </cell>
          <cell r="H167">
            <v>-451748.05</v>
          </cell>
          <cell r="I167">
            <v>1122771.43</v>
          </cell>
          <cell r="J167">
            <v>-642165.30000000005</v>
          </cell>
          <cell r="K167">
            <v>-292108.37</v>
          </cell>
          <cell r="L167">
            <v>1646710.67</v>
          </cell>
          <cell r="M167">
            <v>-549337.62</v>
          </cell>
          <cell r="N167">
            <v>1557392.09</v>
          </cell>
          <cell r="O167">
            <v>309006.38</v>
          </cell>
          <cell r="P167">
            <v>5806151.3700000001</v>
          </cell>
          <cell r="R167">
            <v>2420665.1800000002</v>
          </cell>
          <cell r="S167">
            <v>2778995.72</v>
          </cell>
          <cell r="T167">
            <v>3277972.2300000004</v>
          </cell>
          <cell r="U167">
            <v>3105630.1400000006</v>
          </cell>
          <cell r="V167">
            <v>2653882.0900000008</v>
          </cell>
          <cell r="W167">
            <v>3776653.5200000005</v>
          </cell>
          <cell r="X167">
            <v>3134488.2200000007</v>
          </cell>
          <cell r="Y167">
            <v>2842379.8500000006</v>
          </cell>
          <cell r="Z167">
            <v>4489090.5200000005</v>
          </cell>
          <cell r="AA167">
            <v>3939752.9000000004</v>
          </cell>
          <cell r="AB167">
            <v>5497144.9900000002</v>
          </cell>
          <cell r="AC167">
            <v>5806151.3700000001</v>
          </cell>
        </row>
        <row r="168">
          <cell r="A168">
            <v>201030201</v>
          </cell>
          <cell r="B168" t="str">
            <v xml:space="preserve">PROVEEDORES DEL EXTERIOR                                              </v>
          </cell>
          <cell r="C168">
            <v>2900969</v>
          </cell>
          <cell r="D168">
            <v>-480303.82</v>
          </cell>
          <cell r="E168">
            <v>358330.54</v>
          </cell>
          <cell r="F168">
            <v>498976.51</v>
          </cell>
          <cell r="G168">
            <v>-172342.09</v>
          </cell>
          <cell r="H168">
            <v>-451748.05</v>
          </cell>
          <cell r="I168">
            <v>1122771.43</v>
          </cell>
          <cell r="J168">
            <v>-642165.30000000005</v>
          </cell>
          <cell r="K168">
            <v>-292108.37</v>
          </cell>
          <cell r="L168">
            <v>1646710.67</v>
          </cell>
          <cell r="M168">
            <v>-549337.62</v>
          </cell>
          <cell r="N168">
            <v>1557392.09</v>
          </cell>
          <cell r="O168">
            <v>309006.38</v>
          </cell>
          <cell r="P168">
            <v>5806151.3700000001</v>
          </cell>
          <cell r="R168">
            <v>2420665.1800000002</v>
          </cell>
          <cell r="S168">
            <v>2778995.72</v>
          </cell>
          <cell r="T168">
            <v>3277972.2300000004</v>
          </cell>
          <cell r="U168">
            <v>3105630.1400000006</v>
          </cell>
          <cell r="V168">
            <v>2653882.0900000008</v>
          </cell>
          <cell r="W168">
            <v>3776653.5200000005</v>
          </cell>
          <cell r="X168">
            <v>3134488.2200000007</v>
          </cell>
          <cell r="Y168">
            <v>2842379.8500000006</v>
          </cell>
          <cell r="Z168">
            <v>4489090.5200000005</v>
          </cell>
          <cell r="AA168">
            <v>3939752.9000000004</v>
          </cell>
          <cell r="AB168">
            <v>5497144.9900000002</v>
          </cell>
          <cell r="AC168">
            <v>5806151.3700000001</v>
          </cell>
        </row>
        <row r="169">
          <cell r="A169">
            <v>201030201001</v>
          </cell>
          <cell r="B169" t="str">
            <v xml:space="preserve">Proveedores de Bienes del Exterior                                    </v>
          </cell>
          <cell r="C169">
            <v>2892969</v>
          </cell>
          <cell r="D169">
            <v>-480303.82</v>
          </cell>
          <cell r="E169">
            <v>358330.54</v>
          </cell>
          <cell r="F169">
            <v>498976.51</v>
          </cell>
          <cell r="G169">
            <v>-172342.09</v>
          </cell>
          <cell r="H169">
            <v>-451748.05</v>
          </cell>
          <cell r="I169">
            <v>1122771.43</v>
          </cell>
          <cell r="J169">
            <v>-642165.30000000005</v>
          </cell>
          <cell r="K169">
            <v>-292108.37</v>
          </cell>
          <cell r="L169">
            <v>1646710.67</v>
          </cell>
          <cell r="M169">
            <v>-549987.62</v>
          </cell>
          <cell r="N169">
            <v>1558042.09</v>
          </cell>
          <cell r="O169">
            <v>309006.38</v>
          </cell>
          <cell r="P169">
            <v>5798151.3700000001</v>
          </cell>
          <cell r="R169">
            <v>2412665.1800000002</v>
          </cell>
          <cell r="S169">
            <v>2770995.72</v>
          </cell>
          <cell r="T169">
            <v>3269972.2300000004</v>
          </cell>
          <cell r="U169">
            <v>3097630.1400000006</v>
          </cell>
          <cell r="V169">
            <v>2645882.0900000008</v>
          </cell>
          <cell r="W169">
            <v>3768653.5200000005</v>
          </cell>
          <cell r="X169">
            <v>3126488.2200000007</v>
          </cell>
          <cell r="Y169">
            <v>2834379.8500000006</v>
          </cell>
          <cell r="Z169">
            <v>4481090.5200000005</v>
          </cell>
          <cell r="AA169">
            <v>3931102.9000000004</v>
          </cell>
          <cell r="AB169">
            <v>5489144.9900000002</v>
          </cell>
          <cell r="AC169">
            <v>5798151.3700000001</v>
          </cell>
        </row>
        <row r="170">
          <cell r="A170">
            <v>201030201002</v>
          </cell>
          <cell r="B170" t="str">
            <v xml:space="preserve">Proveedores de Servicios del Exterior                                 </v>
          </cell>
          <cell r="C170">
            <v>8000</v>
          </cell>
          <cell r="D170">
            <v>0</v>
          </cell>
          <cell r="E170">
            <v>0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650</v>
          </cell>
          <cell r="N170">
            <v>-650</v>
          </cell>
          <cell r="O170">
            <v>0</v>
          </cell>
          <cell r="P170">
            <v>8000</v>
          </cell>
          <cell r="R170">
            <v>8000</v>
          </cell>
          <cell r="S170">
            <v>8000</v>
          </cell>
          <cell r="T170">
            <v>8000</v>
          </cell>
          <cell r="U170">
            <v>8000</v>
          </cell>
          <cell r="V170">
            <v>8000</v>
          </cell>
          <cell r="W170">
            <v>8000</v>
          </cell>
          <cell r="X170">
            <v>8000</v>
          </cell>
          <cell r="Y170">
            <v>8000</v>
          </cell>
          <cell r="Z170">
            <v>8000</v>
          </cell>
          <cell r="AA170">
            <v>8650</v>
          </cell>
          <cell r="AB170">
            <v>8000</v>
          </cell>
          <cell r="AC170">
            <v>8000</v>
          </cell>
        </row>
        <row r="171">
          <cell r="A171">
            <v>2010304</v>
          </cell>
          <cell r="B171" t="str">
            <v xml:space="preserve">OTRAS CUENTAS POR PAGAR                                               </v>
          </cell>
          <cell r="C171">
            <v>3291265.21</v>
          </cell>
          <cell r="D171">
            <v>196940.25</v>
          </cell>
          <cell r="E171">
            <v>226312.9</v>
          </cell>
          <cell r="F171">
            <v>195518.4</v>
          </cell>
          <cell r="G171">
            <v>-96719.43</v>
          </cell>
          <cell r="H171">
            <v>93416.73</v>
          </cell>
          <cell r="I171">
            <v>-2774.29</v>
          </cell>
          <cell r="J171">
            <v>1836299.63</v>
          </cell>
          <cell r="K171">
            <v>-1153876.47</v>
          </cell>
          <cell r="L171">
            <v>269714.28999999998</v>
          </cell>
          <cell r="M171">
            <v>-942361.56</v>
          </cell>
          <cell r="N171">
            <v>-104067.7</v>
          </cell>
          <cell r="O171">
            <v>-1382833.55</v>
          </cell>
          <cell r="P171">
            <v>2426834.41</v>
          </cell>
          <cell r="R171">
            <v>3488205.46</v>
          </cell>
          <cell r="S171">
            <v>3714518.36</v>
          </cell>
          <cell r="T171">
            <v>3910036.76</v>
          </cell>
          <cell r="U171">
            <v>3813317.3299999996</v>
          </cell>
          <cell r="V171">
            <v>3906734.0599999996</v>
          </cell>
          <cell r="W171">
            <v>3903959.7699999996</v>
          </cell>
          <cell r="X171">
            <v>5740259.3999999994</v>
          </cell>
          <cell r="Y171">
            <v>4586382.93</v>
          </cell>
          <cell r="Z171">
            <v>4856097.22</v>
          </cell>
          <cell r="AA171">
            <v>3913735.6599999997</v>
          </cell>
          <cell r="AB171">
            <v>3809667.9599999995</v>
          </cell>
          <cell r="AC171">
            <v>2426834.4099999992</v>
          </cell>
        </row>
        <row r="172">
          <cell r="A172">
            <v>201030401</v>
          </cell>
          <cell r="B172" t="str">
            <v xml:space="preserve">OTRAS CUENTAS POR PAGAR                                               </v>
          </cell>
          <cell r="C172">
            <v>3291265.21</v>
          </cell>
          <cell r="D172">
            <v>196940.25</v>
          </cell>
          <cell r="E172">
            <v>226312.9</v>
          </cell>
          <cell r="F172">
            <v>195518.4</v>
          </cell>
          <cell r="G172">
            <v>-96719.43</v>
          </cell>
          <cell r="H172">
            <v>93416.73</v>
          </cell>
          <cell r="I172">
            <v>-2774.29</v>
          </cell>
          <cell r="J172">
            <v>1836299.63</v>
          </cell>
          <cell r="K172">
            <v>-1153876.47</v>
          </cell>
          <cell r="L172">
            <v>269714.28999999998</v>
          </cell>
          <cell r="M172">
            <v>-942361.56</v>
          </cell>
          <cell r="N172">
            <v>-104067.7</v>
          </cell>
          <cell r="O172">
            <v>-1382833.55</v>
          </cell>
          <cell r="P172">
            <v>2426834.41</v>
          </cell>
          <cell r="R172">
            <v>3488205.46</v>
          </cell>
          <cell r="S172">
            <v>3714518.36</v>
          </cell>
          <cell r="T172">
            <v>3910036.76</v>
          </cell>
          <cell r="U172">
            <v>3813317.3299999996</v>
          </cell>
          <cell r="V172">
            <v>3906734.0599999996</v>
          </cell>
          <cell r="W172">
            <v>3903959.7699999996</v>
          </cell>
          <cell r="X172">
            <v>5740259.3999999994</v>
          </cell>
          <cell r="Y172">
            <v>4586382.93</v>
          </cell>
          <cell r="Z172">
            <v>4856097.22</v>
          </cell>
          <cell r="AA172">
            <v>3913735.6599999997</v>
          </cell>
          <cell r="AB172">
            <v>3809667.9599999995</v>
          </cell>
          <cell r="AC172">
            <v>2426834.4099999992</v>
          </cell>
        </row>
        <row r="173">
          <cell r="A173">
            <v>201030401001</v>
          </cell>
          <cell r="B173" t="str">
            <v xml:space="preserve">Cuenta por Pagar American Express                                     </v>
          </cell>
          <cell r="C173">
            <v>21208.81</v>
          </cell>
          <cell r="D173">
            <v>-6867.72</v>
          </cell>
          <cell r="E173">
            <v>-1138.72</v>
          </cell>
          <cell r="F173">
            <v>-4313.26</v>
          </cell>
          <cell r="G173">
            <v>-3348.97</v>
          </cell>
          <cell r="H173">
            <v>-3183.69</v>
          </cell>
          <cell r="I173">
            <v>-1136.3499999999999</v>
          </cell>
          <cell r="J173">
            <v>11571.03</v>
          </cell>
          <cell r="K173">
            <v>17164.669999999998</v>
          </cell>
          <cell r="L173">
            <v>-6420.96</v>
          </cell>
          <cell r="M173">
            <v>-6813.54</v>
          </cell>
          <cell r="N173">
            <v>2178.11</v>
          </cell>
          <cell r="O173">
            <v>8491.19</v>
          </cell>
          <cell r="P173">
            <v>27390.6</v>
          </cell>
          <cell r="R173">
            <v>14341.09</v>
          </cell>
          <cell r="S173">
            <v>13202.37</v>
          </cell>
          <cell r="T173">
            <v>8889.11</v>
          </cell>
          <cell r="U173">
            <v>5540.1400000000012</v>
          </cell>
          <cell r="V173">
            <v>2356.4500000000012</v>
          </cell>
          <cell r="W173">
            <v>1220.1000000000013</v>
          </cell>
          <cell r="X173">
            <v>12791.130000000001</v>
          </cell>
          <cell r="Y173">
            <v>29955.8</v>
          </cell>
          <cell r="Z173">
            <v>23534.84</v>
          </cell>
          <cell r="AA173">
            <v>16721.3</v>
          </cell>
          <cell r="AB173">
            <v>18899.41</v>
          </cell>
          <cell r="AC173">
            <v>27390.6</v>
          </cell>
        </row>
        <row r="174">
          <cell r="A174">
            <v>201030401002</v>
          </cell>
          <cell r="B174" t="str">
            <v xml:space="preserve">Reembolsos por Pagar                                                  </v>
          </cell>
          <cell r="C174">
            <v>2365.91</v>
          </cell>
          <cell r="D174">
            <v>-1156.49</v>
          </cell>
          <cell r="E174">
            <v>1093.97</v>
          </cell>
          <cell r="F174">
            <v>1558.54</v>
          </cell>
          <cell r="G174">
            <v>-1399.33</v>
          </cell>
          <cell r="H174">
            <v>1203.02</v>
          </cell>
          <cell r="I174">
            <v>-2248.5100000000002</v>
          </cell>
          <cell r="J174">
            <v>980.52</v>
          </cell>
          <cell r="K174">
            <v>517.01</v>
          </cell>
          <cell r="L174">
            <v>-2634.14</v>
          </cell>
          <cell r="M174">
            <v>1274.32</v>
          </cell>
          <cell r="N174">
            <v>-1063.72</v>
          </cell>
          <cell r="O174">
            <v>349.21</v>
          </cell>
          <cell r="P174">
            <v>840.31</v>
          </cell>
          <cell r="R174">
            <v>1209.4199999999998</v>
          </cell>
          <cell r="S174">
            <v>2303.39</v>
          </cell>
          <cell r="T174">
            <v>3861.93</v>
          </cell>
          <cell r="U174">
            <v>2462.6</v>
          </cell>
          <cell r="V174">
            <v>3665.62</v>
          </cell>
          <cell r="W174">
            <v>1417.1099999999997</v>
          </cell>
          <cell r="X174">
            <v>2397.6299999999997</v>
          </cell>
          <cell r="Y174">
            <v>2914.6399999999994</v>
          </cell>
          <cell r="Z174">
            <v>280.49999999999955</v>
          </cell>
          <cell r="AA174">
            <v>1554.8199999999995</v>
          </cell>
          <cell r="AB174">
            <v>491.09999999999945</v>
          </cell>
          <cell r="AC174">
            <v>840.30999999999949</v>
          </cell>
        </row>
        <row r="175">
          <cell r="A175">
            <v>201030401003</v>
          </cell>
          <cell r="B175" t="str">
            <v xml:space="preserve">Otras cuentas por Pagar                                               </v>
          </cell>
          <cell r="C175">
            <v>3266925.54</v>
          </cell>
          <cell r="D175">
            <v>205136.45</v>
          </cell>
          <cell r="E175">
            <v>226185.14</v>
          </cell>
          <cell r="F175">
            <v>198138.96</v>
          </cell>
          <cell r="G175">
            <v>-91985.15</v>
          </cell>
          <cell r="H175">
            <v>95681.09</v>
          </cell>
          <cell r="I175">
            <v>271.76</v>
          </cell>
          <cell r="J175">
            <v>1823811.45</v>
          </cell>
          <cell r="K175">
            <v>-1171715.9099999999</v>
          </cell>
          <cell r="L175">
            <v>278992.53000000003</v>
          </cell>
          <cell r="M175">
            <v>-937079.45</v>
          </cell>
          <cell r="N175">
            <v>-105032.82</v>
          </cell>
          <cell r="O175">
            <v>-1391426.22</v>
          </cell>
          <cell r="P175">
            <v>2397903.37</v>
          </cell>
          <cell r="R175">
            <v>3472061.99</v>
          </cell>
          <cell r="S175">
            <v>3698247.1300000004</v>
          </cell>
          <cell r="T175">
            <v>3896386.0900000003</v>
          </cell>
          <cell r="U175">
            <v>3804400.9400000004</v>
          </cell>
          <cell r="V175">
            <v>3900082.0300000003</v>
          </cell>
          <cell r="W175">
            <v>3900353.79</v>
          </cell>
          <cell r="X175">
            <v>5724165.2400000002</v>
          </cell>
          <cell r="Y175">
            <v>4552449.33</v>
          </cell>
          <cell r="Z175">
            <v>4831441.8600000003</v>
          </cell>
          <cell r="AA175">
            <v>3894362.41</v>
          </cell>
          <cell r="AB175">
            <v>3789329.5900000003</v>
          </cell>
          <cell r="AC175">
            <v>2397903.37</v>
          </cell>
        </row>
        <row r="176">
          <cell r="A176">
            <v>201030401005</v>
          </cell>
          <cell r="B176" t="str">
            <v xml:space="preserve">Cuenta por Pagar Diners Club                                          </v>
          </cell>
          <cell r="C176">
            <v>764.95</v>
          </cell>
          <cell r="D176">
            <v>-171.99</v>
          </cell>
          <cell r="E176">
            <v>172.51</v>
          </cell>
          <cell r="F176">
            <v>134.16</v>
          </cell>
          <cell r="G176">
            <v>14.02</v>
          </cell>
          <cell r="H176">
            <v>-283.69</v>
          </cell>
          <cell r="I176">
            <v>338.81</v>
          </cell>
          <cell r="J176">
            <v>-63.37</v>
          </cell>
          <cell r="K176">
            <v>157.76</v>
          </cell>
          <cell r="L176">
            <v>-223.14</v>
          </cell>
          <cell r="M176">
            <v>257.11</v>
          </cell>
          <cell r="N176">
            <v>-149.27000000000001</v>
          </cell>
          <cell r="O176">
            <v>-247.73</v>
          </cell>
          <cell r="P176">
            <v>700.13</v>
          </cell>
          <cell r="R176">
            <v>592.96</v>
          </cell>
          <cell r="S176">
            <v>765.47</v>
          </cell>
          <cell r="T176">
            <v>899.63</v>
          </cell>
          <cell r="U176">
            <v>913.65</v>
          </cell>
          <cell r="V176">
            <v>629.96</v>
          </cell>
          <cell r="W176">
            <v>968.77</v>
          </cell>
          <cell r="X176">
            <v>905.4</v>
          </cell>
          <cell r="Y176">
            <v>1063.1599999999999</v>
          </cell>
          <cell r="Z176">
            <v>840.01999999999987</v>
          </cell>
          <cell r="AA176">
            <v>1097.1299999999999</v>
          </cell>
          <cell r="AB176">
            <v>947.8599999999999</v>
          </cell>
          <cell r="AC176">
            <v>700.12999999999988</v>
          </cell>
        </row>
        <row r="177">
          <cell r="A177">
            <v>201040101008</v>
          </cell>
          <cell r="B177" t="str">
            <v xml:space="preserve">Intereses por pagar Proveedores                                       </v>
          </cell>
          <cell r="C177">
            <v>0</v>
          </cell>
          <cell r="D177">
            <v>0</v>
          </cell>
          <cell r="E177">
            <v>0</v>
          </cell>
          <cell r="F177">
            <v>0</v>
          </cell>
          <cell r="G177">
            <v>-823.06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  <cell r="P177">
            <v>-823.06</v>
          </cell>
          <cell r="R177">
            <v>0</v>
          </cell>
          <cell r="S177">
            <v>0</v>
          </cell>
          <cell r="T177">
            <v>0</v>
          </cell>
          <cell r="U177">
            <v>-823.06</v>
          </cell>
          <cell r="V177">
            <v>-823.06</v>
          </cell>
          <cell r="W177">
            <v>-823.06</v>
          </cell>
          <cell r="X177">
            <v>-823.06</v>
          </cell>
          <cell r="Y177">
            <v>-823.06</v>
          </cell>
          <cell r="Z177">
            <v>-823.06</v>
          </cell>
          <cell r="AA177">
            <v>-823.06</v>
          </cell>
          <cell r="AB177">
            <v>-823.06</v>
          </cell>
          <cell r="AC177">
            <v>-823.06</v>
          </cell>
        </row>
        <row r="178">
          <cell r="A178">
            <v>20105</v>
          </cell>
          <cell r="B178" t="str">
            <v xml:space="preserve">OTRAS OBLIGACIONES CORRIENTES                                         </v>
          </cell>
          <cell r="C178">
            <v>385750.69</v>
          </cell>
          <cell r="D178">
            <v>204876.07</v>
          </cell>
          <cell r="E178">
            <v>-32629.33</v>
          </cell>
          <cell r="F178">
            <v>-96349.38</v>
          </cell>
          <cell r="G178">
            <v>-169423.01</v>
          </cell>
          <cell r="H178">
            <v>-10645.9</v>
          </cell>
          <cell r="I178">
            <v>35917.82</v>
          </cell>
          <cell r="J178">
            <v>60151.13</v>
          </cell>
          <cell r="K178">
            <v>-37115.269999999997</v>
          </cell>
          <cell r="L178">
            <v>12355.94</v>
          </cell>
          <cell r="M178">
            <v>97534.22</v>
          </cell>
          <cell r="N178">
            <v>155065.24</v>
          </cell>
          <cell r="O178">
            <v>16328.19</v>
          </cell>
          <cell r="P178">
            <v>621816.41</v>
          </cell>
          <cell r="R178">
            <v>590626.76</v>
          </cell>
          <cell r="S178">
            <v>557997.43000000005</v>
          </cell>
          <cell r="T178">
            <v>461648.05000000005</v>
          </cell>
          <cell r="U178">
            <v>292225.04000000004</v>
          </cell>
          <cell r="V178">
            <v>281579.14</v>
          </cell>
          <cell r="W178">
            <v>317496.96000000002</v>
          </cell>
          <cell r="X178">
            <v>377648.09</v>
          </cell>
          <cell r="Y178">
            <v>340532.82</v>
          </cell>
          <cell r="Z178">
            <v>352888.76</v>
          </cell>
          <cell r="AA178">
            <v>450422.98</v>
          </cell>
          <cell r="AB178">
            <v>605488.22</v>
          </cell>
          <cell r="AC178">
            <v>621816.40999999992</v>
          </cell>
        </row>
        <row r="179">
          <cell r="A179">
            <v>2010501</v>
          </cell>
          <cell r="B179" t="str">
            <v xml:space="preserve">CON LA ADMINISTRACIÓN TRIBUTARIA                                      </v>
          </cell>
          <cell r="C179">
            <v>75783.789999999994</v>
          </cell>
          <cell r="D179">
            <v>6441.26</v>
          </cell>
          <cell r="E179">
            <v>-53725.02</v>
          </cell>
          <cell r="F179">
            <v>-9478.32</v>
          </cell>
          <cell r="G179">
            <v>29988.6</v>
          </cell>
          <cell r="H179">
            <v>-29166.99</v>
          </cell>
          <cell r="I179">
            <v>19455.21</v>
          </cell>
          <cell r="J179">
            <v>-9549.08</v>
          </cell>
          <cell r="K179">
            <v>-9820.2800000000007</v>
          </cell>
          <cell r="L179">
            <v>5184.93</v>
          </cell>
          <cell r="M179">
            <v>74610.460000000006</v>
          </cell>
          <cell r="N179">
            <v>198314.03</v>
          </cell>
          <cell r="O179">
            <v>112378.52</v>
          </cell>
          <cell r="P179">
            <v>410417.11</v>
          </cell>
          <cell r="R179">
            <v>82225.049999999988</v>
          </cell>
          <cell r="S179">
            <v>28500.029999999992</v>
          </cell>
          <cell r="T179">
            <v>19021.709999999992</v>
          </cell>
          <cell r="U179">
            <v>49010.30999999999</v>
          </cell>
          <cell r="V179">
            <v>19843.319999999989</v>
          </cell>
          <cell r="W179">
            <v>39298.529999999984</v>
          </cell>
          <cell r="X179">
            <v>29749.449999999983</v>
          </cell>
          <cell r="Y179">
            <v>19929.169999999984</v>
          </cell>
          <cell r="Z179">
            <v>25114.099999999984</v>
          </cell>
          <cell r="AA179">
            <v>99724.56</v>
          </cell>
          <cell r="AB179">
            <v>298038.58999999997</v>
          </cell>
          <cell r="AC179">
            <v>410417.11</v>
          </cell>
        </row>
        <row r="180">
          <cell r="A180">
            <v>201050101</v>
          </cell>
          <cell r="B180" t="str">
            <v xml:space="preserve">RETENCIONES EN LA FUENTE DE IMPUESTO A LA RENTA                       </v>
          </cell>
          <cell r="C180">
            <v>0</v>
          </cell>
          <cell r="D180">
            <v>0</v>
          </cell>
          <cell r="E180">
            <v>0</v>
          </cell>
          <cell r="F180">
            <v>0</v>
          </cell>
          <cell r="G180">
            <v>0</v>
          </cell>
          <cell r="H180">
            <v>-0.01</v>
          </cell>
          <cell r="I180">
            <v>0</v>
          </cell>
          <cell r="J180">
            <v>0</v>
          </cell>
          <cell r="K180">
            <v>0</v>
          </cell>
          <cell r="L180">
            <v>0.01</v>
          </cell>
          <cell r="M180">
            <v>17943.189999999999</v>
          </cell>
          <cell r="N180">
            <v>55781.05</v>
          </cell>
          <cell r="O180">
            <v>74615.31</v>
          </cell>
          <cell r="P180">
            <v>148339.54999999999</v>
          </cell>
          <cell r="R180">
            <v>0</v>
          </cell>
          <cell r="S180">
            <v>0</v>
          </cell>
          <cell r="T180">
            <v>0</v>
          </cell>
          <cell r="U180">
            <v>0</v>
          </cell>
          <cell r="V180">
            <v>-0.01</v>
          </cell>
          <cell r="W180">
            <v>-0.01</v>
          </cell>
          <cell r="X180">
            <v>-0.01</v>
          </cell>
          <cell r="Y180">
            <v>-0.01</v>
          </cell>
          <cell r="Z180">
            <v>0</v>
          </cell>
          <cell r="AA180">
            <v>17943.189999999999</v>
          </cell>
          <cell r="AB180">
            <v>73724.240000000005</v>
          </cell>
          <cell r="AC180">
            <v>148339.54999999999</v>
          </cell>
        </row>
        <row r="181">
          <cell r="A181">
            <v>201050101001</v>
          </cell>
          <cell r="B181" t="str">
            <v xml:space="preserve">En relación de Dependencia                                            </v>
          </cell>
          <cell r="C181">
            <v>0</v>
          </cell>
          <cell r="D181">
            <v>0</v>
          </cell>
          <cell r="E181">
            <v>0</v>
          </cell>
          <cell r="F181">
            <v>0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758.73</v>
          </cell>
          <cell r="N181">
            <v>758.73</v>
          </cell>
          <cell r="O181">
            <v>758.73</v>
          </cell>
          <cell r="P181">
            <v>2276.19</v>
          </cell>
          <cell r="R181">
            <v>0</v>
          </cell>
          <cell r="S181">
            <v>0</v>
          </cell>
          <cell r="T181">
            <v>0</v>
          </cell>
          <cell r="U181">
            <v>0</v>
          </cell>
          <cell r="V181">
            <v>0</v>
          </cell>
          <cell r="W181">
            <v>0</v>
          </cell>
          <cell r="X181">
            <v>0</v>
          </cell>
          <cell r="Y181">
            <v>0</v>
          </cell>
          <cell r="Z181">
            <v>0</v>
          </cell>
          <cell r="AA181">
            <v>758.73</v>
          </cell>
          <cell r="AB181">
            <v>1517.46</v>
          </cell>
          <cell r="AC181">
            <v>2276.19</v>
          </cell>
        </row>
        <row r="182">
          <cell r="A182">
            <v>201050101002</v>
          </cell>
          <cell r="B182" t="str">
            <v xml:space="preserve">Retencion  Fuente 1%, pago transporte                                 </v>
          </cell>
          <cell r="C182">
            <v>0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251.01</v>
          </cell>
          <cell r="N182">
            <v>247.14</v>
          </cell>
          <cell r="O182">
            <v>279.41000000000003</v>
          </cell>
          <cell r="P182">
            <v>777.56</v>
          </cell>
          <cell r="R182">
            <v>0</v>
          </cell>
          <cell r="S182">
            <v>0</v>
          </cell>
          <cell r="T182">
            <v>0</v>
          </cell>
          <cell r="U182">
            <v>0</v>
          </cell>
          <cell r="V182">
            <v>0</v>
          </cell>
          <cell r="W182">
            <v>0</v>
          </cell>
          <cell r="X182">
            <v>0</v>
          </cell>
          <cell r="Y182">
            <v>0</v>
          </cell>
          <cell r="Z182">
            <v>0</v>
          </cell>
          <cell r="AA182">
            <v>251.01</v>
          </cell>
          <cell r="AB182">
            <v>498.15</v>
          </cell>
          <cell r="AC182">
            <v>777.56</v>
          </cell>
        </row>
        <row r="183">
          <cell r="A183">
            <v>201050101003</v>
          </cell>
          <cell r="B183" t="str">
            <v xml:space="preserve">Retencion  Fuente 2%, mano de obra                                    </v>
          </cell>
          <cell r="C183">
            <v>0</v>
          </cell>
          <cell r="D183">
            <v>0</v>
          </cell>
          <cell r="E183">
            <v>0</v>
          </cell>
          <cell r="F183">
            <v>0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  <cell r="L183">
            <v>0</v>
          </cell>
          <cell r="M183">
            <v>28</v>
          </cell>
          <cell r="N183">
            <v>1261.51</v>
          </cell>
          <cell r="O183">
            <v>392.18</v>
          </cell>
          <cell r="P183">
            <v>1681.69</v>
          </cell>
          <cell r="R183">
            <v>0</v>
          </cell>
          <cell r="S183">
            <v>0</v>
          </cell>
          <cell r="T183">
            <v>0</v>
          </cell>
          <cell r="U183">
            <v>0</v>
          </cell>
          <cell r="V183">
            <v>0</v>
          </cell>
          <cell r="W183">
            <v>0</v>
          </cell>
          <cell r="X183">
            <v>0</v>
          </cell>
          <cell r="Y183">
            <v>0</v>
          </cell>
          <cell r="Z183">
            <v>0</v>
          </cell>
          <cell r="AA183">
            <v>28</v>
          </cell>
          <cell r="AB183">
            <v>1289.51</v>
          </cell>
          <cell r="AC183">
            <v>1681.69</v>
          </cell>
        </row>
        <row r="184">
          <cell r="A184">
            <v>201050101004</v>
          </cell>
          <cell r="B184" t="str">
            <v xml:space="preserve">Retencion  Fuente 8%, servicios con predimonio de intelecto           </v>
          </cell>
          <cell r="C184">
            <v>0</v>
          </cell>
          <cell r="D184">
            <v>0</v>
          </cell>
          <cell r="E184">
            <v>0</v>
          </cell>
          <cell r="F184">
            <v>0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689.38</v>
          </cell>
          <cell r="N184">
            <v>8645.73</v>
          </cell>
          <cell r="O184">
            <v>22020.44</v>
          </cell>
          <cell r="P184">
            <v>31355.55</v>
          </cell>
          <cell r="R184">
            <v>0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689.38</v>
          </cell>
          <cell r="AB184">
            <v>9335.1099999999988</v>
          </cell>
          <cell r="AC184">
            <v>31355.549999999996</v>
          </cell>
        </row>
        <row r="185">
          <cell r="A185">
            <v>201050101005</v>
          </cell>
          <cell r="B185" t="str">
            <v xml:space="preserve">Retencion  Fuente 10%, honorarios personas naturales                  </v>
          </cell>
          <cell r="C185">
            <v>0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M185">
            <v>1665.93</v>
          </cell>
          <cell r="N185">
            <v>25604.94</v>
          </cell>
          <cell r="O185">
            <v>26783.8</v>
          </cell>
          <cell r="P185">
            <v>54054.67</v>
          </cell>
          <cell r="R185">
            <v>0</v>
          </cell>
          <cell r="S185">
            <v>0</v>
          </cell>
          <cell r="T185">
            <v>0</v>
          </cell>
          <cell r="U185">
            <v>0</v>
          </cell>
          <cell r="V185">
            <v>0</v>
          </cell>
          <cell r="W185">
            <v>0</v>
          </cell>
          <cell r="X185">
            <v>0</v>
          </cell>
          <cell r="Y185">
            <v>0</v>
          </cell>
          <cell r="Z185">
            <v>0</v>
          </cell>
          <cell r="AA185">
            <v>1665.93</v>
          </cell>
          <cell r="AB185">
            <v>27270.87</v>
          </cell>
          <cell r="AC185">
            <v>54054.67</v>
          </cell>
        </row>
        <row r="186">
          <cell r="A186">
            <v>201050101007</v>
          </cell>
          <cell r="B186" t="str">
            <v xml:space="preserve">Retencion Fuente 1%, compra bienes muebles                            </v>
          </cell>
          <cell r="C186">
            <v>0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  <cell r="I186">
            <v>0</v>
          </cell>
          <cell r="J186">
            <v>0</v>
          </cell>
          <cell r="K186">
            <v>0</v>
          </cell>
          <cell r="L186">
            <v>0</v>
          </cell>
          <cell r="M186">
            <v>6663.89</v>
          </cell>
          <cell r="N186">
            <v>8742.01</v>
          </cell>
          <cell r="O186">
            <v>11310.78</v>
          </cell>
          <cell r="P186">
            <v>26716.68</v>
          </cell>
          <cell r="R186">
            <v>0</v>
          </cell>
          <cell r="S186">
            <v>0</v>
          </cell>
          <cell r="T186">
            <v>0</v>
          </cell>
          <cell r="U186">
            <v>0</v>
          </cell>
          <cell r="V186">
            <v>0</v>
          </cell>
          <cell r="W186">
            <v>0</v>
          </cell>
          <cell r="X186">
            <v>0</v>
          </cell>
          <cell r="Y186">
            <v>0</v>
          </cell>
          <cell r="Z186">
            <v>0</v>
          </cell>
          <cell r="AA186">
            <v>6663.89</v>
          </cell>
          <cell r="AB186">
            <v>15405.900000000001</v>
          </cell>
          <cell r="AC186">
            <v>26716.68</v>
          </cell>
        </row>
        <row r="187">
          <cell r="A187">
            <v>201050101008</v>
          </cell>
          <cell r="B187" t="str">
            <v xml:space="preserve">Retencion Fuente, 8% arrendamiento inmuebles                          </v>
          </cell>
          <cell r="C187">
            <v>0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  <cell r="I187">
            <v>0</v>
          </cell>
          <cell r="J187">
            <v>0</v>
          </cell>
          <cell r="K187">
            <v>0</v>
          </cell>
          <cell r="L187">
            <v>0</v>
          </cell>
          <cell r="M187">
            <v>1253.9000000000001</v>
          </cell>
          <cell r="N187">
            <v>1253.9000000000001</v>
          </cell>
          <cell r="O187">
            <v>1253.9000000000001</v>
          </cell>
          <cell r="P187">
            <v>3761.7</v>
          </cell>
          <cell r="R187">
            <v>0</v>
          </cell>
          <cell r="S187">
            <v>0</v>
          </cell>
          <cell r="T187">
            <v>0</v>
          </cell>
          <cell r="U187">
            <v>0</v>
          </cell>
          <cell r="V187">
            <v>0</v>
          </cell>
          <cell r="W187">
            <v>0</v>
          </cell>
          <cell r="X187">
            <v>0</v>
          </cell>
          <cell r="Y187">
            <v>0</v>
          </cell>
          <cell r="Z187">
            <v>0</v>
          </cell>
          <cell r="AA187">
            <v>1253.9000000000001</v>
          </cell>
          <cell r="AB187">
            <v>2507.8000000000002</v>
          </cell>
          <cell r="AC187">
            <v>3761.7000000000003</v>
          </cell>
        </row>
        <row r="188">
          <cell r="A188">
            <v>201050101009</v>
          </cell>
          <cell r="B188" t="str">
            <v xml:space="preserve">Retencion Fuente 1%, seguros                                          </v>
          </cell>
          <cell r="C188">
            <v>0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  <cell r="I188">
            <v>0</v>
          </cell>
          <cell r="J188">
            <v>0</v>
          </cell>
          <cell r="K188">
            <v>0</v>
          </cell>
          <cell r="L188">
            <v>0</v>
          </cell>
          <cell r="M188">
            <v>6.37</v>
          </cell>
          <cell r="N188">
            <v>5.49</v>
          </cell>
          <cell r="O188">
            <v>3.39</v>
          </cell>
          <cell r="P188">
            <v>15.25</v>
          </cell>
          <cell r="R188">
            <v>0</v>
          </cell>
          <cell r="S188">
            <v>0</v>
          </cell>
          <cell r="T188">
            <v>0</v>
          </cell>
          <cell r="U188">
            <v>0</v>
          </cell>
          <cell r="V188">
            <v>0</v>
          </cell>
          <cell r="W188">
            <v>0</v>
          </cell>
          <cell r="X188">
            <v>0</v>
          </cell>
          <cell r="Y188">
            <v>0</v>
          </cell>
          <cell r="Z188">
            <v>0</v>
          </cell>
          <cell r="AA188">
            <v>6.37</v>
          </cell>
          <cell r="AB188">
            <v>11.86</v>
          </cell>
          <cell r="AC188">
            <v>15.25</v>
          </cell>
        </row>
        <row r="189">
          <cell r="A189">
            <v>201050101013</v>
          </cell>
          <cell r="B189" t="str">
            <v xml:space="preserve">Retencion Fuente 2%, otros conceptos                                  </v>
          </cell>
          <cell r="C189">
            <v>0</v>
          </cell>
          <cell r="D189">
            <v>0</v>
          </cell>
          <cell r="E189">
            <v>0</v>
          </cell>
          <cell r="F189">
            <v>0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K189">
            <v>0</v>
          </cell>
          <cell r="L189">
            <v>0</v>
          </cell>
          <cell r="M189">
            <v>5564.4</v>
          </cell>
          <cell r="N189">
            <v>3274.14</v>
          </cell>
          <cell r="O189">
            <v>2494.64</v>
          </cell>
          <cell r="P189">
            <v>11333.18</v>
          </cell>
          <cell r="R189">
            <v>0</v>
          </cell>
          <cell r="S189">
            <v>0</v>
          </cell>
          <cell r="T189">
            <v>0</v>
          </cell>
          <cell r="U189">
            <v>0</v>
          </cell>
          <cell r="V189">
            <v>0</v>
          </cell>
          <cell r="W189">
            <v>0</v>
          </cell>
          <cell r="X189">
            <v>0</v>
          </cell>
          <cell r="Y189">
            <v>0</v>
          </cell>
          <cell r="Z189">
            <v>0</v>
          </cell>
          <cell r="AA189">
            <v>5564.4</v>
          </cell>
          <cell r="AB189">
            <v>8838.5399999999991</v>
          </cell>
          <cell r="AC189">
            <v>11333.179999999998</v>
          </cell>
        </row>
        <row r="190">
          <cell r="A190">
            <v>201050101019</v>
          </cell>
          <cell r="B190" t="str">
            <v xml:space="preserve">Retencion Fuente 1.75% otros conceptos (microempresas)                </v>
          </cell>
          <cell r="C190">
            <v>0</v>
          </cell>
          <cell r="D190">
            <v>0</v>
          </cell>
          <cell r="E190">
            <v>0</v>
          </cell>
          <cell r="F190">
            <v>0</v>
          </cell>
          <cell r="G190">
            <v>0</v>
          </cell>
          <cell r="H190">
            <v>-0.01</v>
          </cell>
          <cell r="I190">
            <v>0</v>
          </cell>
          <cell r="J190">
            <v>0</v>
          </cell>
          <cell r="K190">
            <v>0</v>
          </cell>
          <cell r="L190">
            <v>0.01</v>
          </cell>
          <cell r="M190">
            <v>1061.58</v>
          </cell>
          <cell r="N190">
            <v>5987.46</v>
          </cell>
          <cell r="O190">
            <v>9318.0400000000009</v>
          </cell>
          <cell r="P190">
            <v>16367.08</v>
          </cell>
          <cell r="R190">
            <v>0</v>
          </cell>
          <cell r="S190">
            <v>0</v>
          </cell>
          <cell r="T190">
            <v>0</v>
          </cell>
          <cell r="U190">
            <v>0</v>
          </cell>
          <cell r="V190">
            <v>-0.01</v>
          </cell>
          <cell r="W190">
            <v>-0.01</v>
          </cell>
          <cell r="X190">
            <v>-0.01</v>
          </cell>
          <cell r="Y190">
            <v>-0.01</v>
          </cell>
          <cell r="Z190">
            <v>0</v>
          </cell>
          <cell r="AA190">
            <v>1061.58</v>
          </cell>
          <cell r="AB190">
            <v>7049.04</v>
          </cell>
          <cell r="AC190">
            <v>16367.080000000002</v>
          </cell>
        </row>
        <row r="191">
          <cell r="A191">
            <v>201050102</v>
          </cell>
          <cell r="B191" t="str">
            <v xml:space="preserve">RETENCIONES EN LA FUENTE DEL IMPUESTO AL VALOR AGREGADO I.V.A.        </v>
          </cell>
          <cell r="C191">
            <v>75783.789999999994</v>
          </cell>
          <cell r="D191">
            <v>6441.26</v>
          </cell>
          <cell r="E191">
            <v>-53725.02</v>
          </cell>
          <cell r="F191">
            <v>-9478.32</v>
          </cell>
          <cell r="G191">
            <v>29988.6</v>
          </cell>
          <cell r="H191">
            <v>-29166.98</v>
          </cell>
          <cell r="I191">
            <v>19455.21</v>
          </cell>
          <cell r="J191">
            <v>-9549.08</v>
          </cell>
          <cell r="K191">
            <v>-9820.2800000000007</v>
          </cell>
          <cell r="L191">
            <v>5184.92</v>
          </cell>
          <cell r="M191">
            <v>56667.27</v>
          </cell>
          <cell r="N191">
            <v>142532.98000000001</v>
          </cell>
          <cell r="O191">
            <v>37763.21</v>
          </cell>
          <cell r="P191">
            <v>262077.56</v>
          </cell>
          <cell r="R191">
            <v>82225.049999999988</v>
          </cell>
          <cell r="S191">
            <v>28500.029999999992</v>
          </cell>
          <cell r="T191">
            <v>19021.709999999992</v>
          </cell>
          <cell r="U191">
            <v>49010.30999999999</v>
          </cell>
          <cell r="V191">
            <v>19843.329999999991</v>
          </cell>
          <cell r="W191">
            <v>39298.539999999994</v>
          </cell>
          <cell r="X191">
            <v>29749.459999999992</v>
          </cell>
          <cell r="Y191">
            <v>19929.179999999993</v>
          </cell>
          <cell r="Z191">
            <v>25114.099999999991</v>
          </cell>
          <cell r="AA191">
            <v>81781.37</v>
          </cell>
          <cell r="AB191">
            <v>224314.35</v>
          </cell>
          <cell r="AC191">
            <v>262077.56</v>
          </cell>
        </row>
        <row r="192">
          <cell r="A192">
            <v>201050102001</v>
          </cell>
          <cell r="B192" t="str">
            <v xml:space="preserve">Retención  IVA 30%                                                    </v>
          </cell>
          <cell r="C192">
            <v>0</v>
          </cell>
          <cell r="D192">
            <v>0</v>
          </cell>
          <cell r="E192">
            <v>0</v>
          </cell>
          <cell r="F192">
            <v>0</v>
          </cell>
          <cell r="G192">
            <v>0</v>
          </cell>
          <cell r="H192">
            <v>0</v>
          </cell>
          <cell r="I192">
            <v>0</v>
          </cell>
          <cell r="J192">
            <v>0</v>
          </cell>
          <cell r="K192">
            <v>0</v>
          </cell>
          <cell r="L192">
            <v>0</v>
          </cell>
          <cell r="M192">
            <v>5833.51</v>
          </cell>
          <cell r="N192">
            <v>9474.41</v>
          </cell>
          <cell r="O192">
            <v>10731.53</v>
          </cell>
          <cell r="P192">
            <v>26039.45</v>
          </cell>
          <cell r="R192">
            <v>0</v>
          </cell>
          <cell r="S192">
            <v>0</v>
          </cell>
          <cell r="T192">
            <v>0</v>
          </cell>
          <cell r="U192">
            <v>0</v>
          </cell>
          <cell r="V192">
            <v>0</v>
          </cell>
          <cell r="W192">
            <v>0</v>
          </cell>
          <cell r="X192">
            <v>0</v>
          </cell>
          <cell r="Y192">
            <v>0</v>
          </cell>
          <cell r="Z192">
            <v>0</v>
          </cell>
          <cell r="AA192">
            <v>5833.51</v>
          </cell>
          <cell r="AB192">
            <v>15307.92</v>
          </cell>
          <cell r="AC192">
            <v>26039.45</v>
          </cell>
        </row>
        <row r="193">
          <cell r="A193">
            <v>201050102002</v>
          </cell>
          <cell r="B193" t="str">
            <v xml:space="preserve">Retención  IVA 70%                                                    </v>
          </cell>
          <cell r="C193">
            <v>0</v>
          </cell>
          <cell r="D193">
            <v>0</v>
          </cell>
          <cell r="E193">
            <v>0</v>
          </cell>
          <cell r="F193">
            <v>0</v>
          </cell>
          <cell r="G193">
            <v>0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  <cell r="M193">
            <v>5860.16</v>
          </cell>
          <cell r="N193">
            <v>27644.33</v>
          </cell>
          <cell r="O193">
            <v>63106.65</v>
          </cell>
          <cell r="P193">
            <v>96611.14</v>
          </cell>
          <cell r="R193">
            <v>0</v>
          </cell>
          <cell r="S193">
            <v>0</v>
          </cell>
          <cell r="T193">
            <v>0</v>
          </cell>
          <cell r="U193">
            <v>0</v>
          </cell>
          <cell r="V193">
            <v>0</v>
          </cell>
          <cell r="W193">
            <v>0</v>
          </cell>
          <cell r="X193">
            <v>0</v>
          </cell>
          <cell r="Y193">
            <v>0</v>
          </cell>
          <cell r="Z193">
            <v>0</v>
          </cell>
          <cell r="AA193">
            <v>5860.16</v>
          </cell>
          <cell r="AB193">
            <v>33504.490000000005</v>
          </cell>
          <cell r="AC193">
            <v>96611.140000000014</v>
          </cell>
        </row>
        <row r="194">
          <cell r="A194">
            <v>201050102003</v>
          </cell>
          <cell r="B194" t="str">
            <v xml:space="preserve">Retención  IVA 100%                                                   </v>
          </cell>
          <cell r="C194">
            <v>0</v>
          </cell>
          <cell r="D194">
            <v>0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3033.15</v>
          </cell>
          <cell r="N194">
            <v>44512.14</v>
          </cell>
          <cell r="O194">
            <v>43393.81</v>
          </cell>
          <cell r="P194">
            <v>90939.1</v>
          </cell>
          <cell r="R194">
            <v>0</v>
          </cell>
          <cell r="S194">
            <v>0</v>
          </cell>
          <cell r="T194">
            <v>0</v>
          </cell>
          <cell r="U194">
            <v>0</v>
          </cell>
          <cell r="V194">
            <v>0</v>
          </cell>
          <cell r="W194">
            <v>0</v>
          </cell>
          <cell r="X194">
            <v>0</v>
          </cell>
          <cell r="Y194">
            <v>0</v>
          </cell>
          <cell r="Z194">
            <v>0</v>
          </cell>
          <cell r="AA194">
            <v>3033.15</v>
          </cell>
          <cell r="AB194">
            <v>47545.29</v>
          </cell>
          <cell r="AC194">
            <v>90939.1</v>
          </cell>
        </row>
        <row r="195">
          <cell r="A195">
            <v>201050102005</v>
          </cell>
          <cell r="B195" t="str">
            <v xml:space="preserve">12% IVA  Ventas                                                       </v>
          </cell>
          <cell r="C195">
            <v>0</v>
          </cell>
          <cell r="D195">
            <v>0</v>
          </cell>
          <cell r="E195">
            <v>0</v>
          </cell>
          <cell r="F195">
            <v>0</v>
          </cell>
          <cell r="G195">
            <v>0</v>
          </cell>
          <cell r="H195">
            <v>0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  <cell r="M195">
            <v>60145.97</v>
          </cell>
          <cell r="N195">
            <v>94597.93</v>
          </cell>
          <cell r="O195">
            <v>58342.26</v>
          </cell>
          <cell r="P195">
            <v>213086.16</v>
          </cell>
          <cell r="R195">
            <v>0</v>
          </cell>
          <cell r="S195">
            <v>0</v>
          </cell>
          <cell r="T195">
            <v>0</v>
          </cell>
          <cell r="U195">
            <v>0</v>
          </cell>
          <cell r="V195">
            <v>0</v>
          </cell>
          <cell r="W195">
            <v>0</v>
          </cell>
          <cell r="X195">
            <v>0</v>
          </cell>
          <cell r="Y195">
            <v>0</v>
          </cell>
          <cell r="Z195">
            <v>0</v>
          </cell>
          <cell r="AA195">
            <v>60145.97</v>
          </cell>
          <cell r="AB195">
            <v>154743.9</v>
          </cell>
          <cell r="AC195">
            <v>213086.16</v>
          </cell>
        </row>
        <row r="196">
          <cell r="A196">
            <v>201050102006</v>
          </cell>
          <cell r="B196" t="str">
            <v xml:space="preserve">PAGO DE IMPUESTOS                                                     </v>
          </cell>
          <cell r="C196">
            <v>75783.789999999994</v>
          </cell>
          <cell r="D196">
            <v>6441.26</v>
          </cell>
          <cell r="E196">
            <v>-53725.02</v>
          </cell>
          <cell r="F196">
            <v>-9478.32</v>
          </cell>
          <cell r="G196">
            <v>29988.6</v>
          </cell>
          <cell r="H196">
            <v>-29166.98</v>
          </cell>
          <cell r="I196">
            <v>19455.21</v>
          </cell>
          <cell r="J196">
            <v>-9549.08</v>
          </cell>
          <cell r="K196">
            <v>-9820.2800000000007</v>
          </cell>
          <cell r="L196">
            <v>5184.92</v>
          </cell>
          <cell r="M196">
            <v>-25114.1</v>
          </cell>
          <cell r="N196">
            <v>-39578.44</v>
          </cell>
          <cell r="O196">
            <v>-143294.48000000001</v>
          </cell>
          <cell r="P196">
            <v>-182872.92</v>
          </cell>
          <cell r="R196">
            <v>82225.049999999988</v>
          </cell>
          <cell r="S196">
            <v>28500.029999999992</v>
          </cell>
          <cell r="T196">
            <v>19021.709999999992</v>
          </cell>
          <cell r="U196">
            <v>49010.30999999999</v>
          </cell>
          <cell r="V196">
            <v>19843.329999999991</v>
          </cell>
          <cell r="W196">
            <v>39298.539999999994</v>
          </cell>
          <cell r="X196">
            <v>29749.459999999992</v>
          </cell>
          <cell r="Y196">
            <v>19929.179999999993</v>
          </cell>
          <cell r="Z196">
            <v>25114.099999999991</v>
          </cell>
          <cell r="AA196">
            <v>0</v>
          </cell>
          <cell r="AB196">
            <v>-39578.44</v>
          </cell>
          <cell r="AC196">
            <v>-182872.92</v>
          </cell>
        </row>
        <row r="197">
          <cell r="A197">
            <v>201050102007</v>
          </cell>
          <cell r="B197" t="str">
            <v xml:space="preserve">Retención  IVA 10%                                                    </v>
          </cell>
          <cell r="C197">
            <v>0</v>
          </cell>
          <cell r="D197">
            <v>0</v>
          </cell>
          <cell r="E197">
            <v>0</v>
          </cell>
          <cell r="F197">
            <v>0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  <cell r="K197">
            <v>0</v>
          </cell>
          <cell r="L197">
            <v>0</v>
          </cell>
          <cell r="M197">
            <v>2692.75</v>
          </cell>
          <cell r="N197">
            <v>4259.4799999999996</v>
          </cell>
          <cell r="O197">
            <v>4894.26</v>
          </cell>
          <cell r="P197">
            <v>11846.49</v>
          </cell>
          <cell r="R197">
            <v>0</v>
          </cell>
          <cell r="S197">
            <v>0</v>
          </cell>
          <cell r="T197">
            <v>0</v>
          </cell>
          <cell r="U197">
            <v>0</v>
          </cell>
          <cell r="V197">
            <v>0</v>
          </cell>
          <cell r="W197">
            <v>0</v>
          </cell>
          <cell r="X197">
            <v>0</v>
          </cell>
          <cell r="Y197">
            <v>0</v>
          </cell>
          <cell r="Z197">
            <v>0</v>
          </cell>
          <cell r="AA197">
            <v>2692.75</v>
          </cell>
          <cell r="AB197">
            <v>6952.23</v>
          </cell>
          <cell r="AC197">
            <v>11846.49</v>
          </cell>
        </row>
        <row r="198">
          <cell r="A198">
            <v>201050102008</v>
          </cell>
          <cell r="B198" t="str">
            <v xml:space="preserve">Retencion IVA 20%                                                     </v>
          </cell>
          <cell r="C198">
            <v>0</v>
          </cell>
          <cell r="D198">
            <v>0</v>
          </cell>
          <cell r="E198">
            <v>0</v>
          </cell>
          <cell r="F198">
            <v>0</v>
          </cell>
          <cell r="G198">
            <v>0</v>
          </cell>
          <cell r="H198">
            <v>0</v>
          </cell>
          <cell r="I198">
            <v>0</v>
          </cell>
          <cell r="J198">
            <v>0</v>
          </cell>
          <cell r="K198">
            <v>0</v>
          </cell>
          <cell r="L198">
            <v>0</v>
          </cell>
          <cell r="M198">
            <v>4215.83</v>
          </cell>
          <cell r="N198">
            <v>1623.13</v>
          </cell>
          <cell r="O198">
            <v>589.17999999999995</v>
          </cell>
          <cell r="P198">
            <v>6428.14</v>
          </cell>
          <cell r="R198">
            <v>0</v>
          </cell>
          <cell r="S198">
            <v>0</v>
          </cell>
          <cell r="T198">
            <v>0</v>
          </cell>
          <cell r="U198">
            <v>0</v>
          </cell>
          <cell r="V198">
            <v>0</v>
          </cell>
          <cell r="W198">
            <v>0</v>
          </cell>
          <cell r="X198">
            <v>0</v>
          </cell>
          <cell r="Y198">
            <v>0</v>
          </cell>
          <cell r="Z198">
            <v>0</v>
          </cell>
          <cell r="AA198">
            <v>4215.83</v>
          </cell>
          <cell r="AB198">
            <v>5838.96</v>
          </cell>
          <cell r="AC198">
            <v>6428.14</v>
          </cell>
        </row>
        <row r="199">
          <cell r="A199">
            <v>2010503</v>
          </cell>
          <cell r="B199" t="str">
            <v xml:space="preserve">OBLIGACIONES CON EL IESS                                              </v>
          </cell>
          <cell r="C199">
            <v>39703.35</v>
          </cell>
          <cell r="D199">
            <v>-940.03</v>
          </cell>
          <cell r="E199">
            <v>1233.8399999999999</v>
          </cell>
          <cell r="F199">
            <v>-399.78</v>
          </cell>
          <cell r="G199">
            <v>1951.52</v>
          </cell>
          <cell r="H199">
            <v>248.18</v>
          </cell>
          <cell r="I199">
            <v>105.95</v>
          </cell>
          <cell r="J199">
            <v>-7005.83</v>
          </cell>
          <cell r="K199">
            <v>8285.25</v>
          </cell>
          <cell r="L199">
            <v>-840.56</v>
          </cell>
          <cell r="M199">
            <v>3525.24</v>
          </cell>
          <cell r="N199">
            <v>197.82</v>
          </cell>
          <cell r="O199">
            <v>-2584.7399999999998</v>
          </cell>
          <cell r="P199">
            <v>43480.21</v>
          </cell>
          <cell r="R199">
            <v>38763.32</v>
          </cell>
          <cell r="S199">
            <v>39997.159999999996</v>
          </cell>
          <cell r="T199">
            <v>39597.379999999997</v>
          </cell>
          <cell r="U199">
            <v>41548.899999999994</v>
          </cell>
          <cell r="V199">
            <v>41797.079999999994</v>
          </cell>
          <cell r="W199">
            <v>41903.029999999992</v>
          </cell>
          <cell r="X199">
            <v>34897.19999999999</v>
          </cell>
          <cell r="Y199">
            <v>43182.44999999999</v>
          </cell>
          <cell r="Z199">
            <v>42341.889999999992</v>
          </cell>
          <cell r="AA199">
            <v>45867.12999999999</v>
          </cell>
          <cell r="AB199">
            <v>46064.94999999999</v>
          </cell>
          <cell r="AC199">
            <v>43480.209999999992</v>
          </cell>
        </row>
        <row r="200">
          <cell r="A200">
            <v>201050301</v>
          </cell>
          <cell r="B200" t="str">
            <v xml:space="preserve">OBLIGACIONES CORRIENTES CON EL IESS                                   </v>
          </cell>
          <cell r="C200">
            <v>39703.35</v>
          </cell>
          <cell r="D200">
            <v>-940.03</v>
          </cell>
          <cell r="E200">
            <v>1233.8399999999999</v>
          </cell>
          <cell r="F200">
            <v>-399.78</v>
          </cell>
          <cell r="G200">
            <v>1951.52</v>
          </cell>
          <cell r="H200">
            <v>248.18</v>
          </cell>
          <cell r="I200">
            <v>105.95</v>
          </cell>
          <cell r="J200">
            <v>-7005.83</v>
          </cell>
          <cell r="K200">
            <v>8285.25</v>
          </cell>
          <cell r="L200">
            <v>-840.56</v>
          </cell>
          <cell r="M200">
            <v>3525.24</v>
          </cell>
          <cell r="N200">
            <v>197.82</v>
          </cell>
          <cell r="O200">
            <v>-2584.7399999999998</v>
          </cell>
          <cell r="P200">
            <v>43480.21</v>
          </cell>
          <cell r="R200">
            <v>38763.32</v>
          </cell>
          <cell r="S200">
            <v>39997.159999999996</v>
          </cell>
          <cell r="T200">
            <v>39597.379999999997</v>
          </cell>
          <cell r="U200">
            <v>41548.899999999994</v>
          </cell>
          <cell r="V200">
            <v>41797.079999999994</v>
          </cell>
          <cell r="W200">
            <v>41903.029999999992</v>
          </cell>
          <cell r="X200">
            <v>34897.19999999999</v>
          </cell>
          <cell r="Y200">
            <v>43182.44999999999</v>
          </cell>
          <cell r="Z200">
            <v>42341.889999999992</v>
          </cell>
          <cell r="AA200">
            <v>45867.12999999999</v>
          </cell>
          <cell r="AB200">
            <v>46064.94999999999</v>
          </cell>
          <cell r="AC200">
            <v>43480.209999999992</v>
          </cell>
        </row>
        <row r="201">
          <cell r="A201">
            <v>201050301001</v>
          </cell>
          <cell r="B201" t="str">
            <v xml:space="preserve">Aportes Individual por pagar                                          </v>
          </cell>
          <cell r="C201">
            <v>10221.870000000001</v>
          </cell>
          <cell r="D201">
            <v>-486.14</v>
          </cell>
          <cell r="E201">
            <v>767.61</v>
          </cell>
          <cell r="F201">
            <v>-54.03</v>
          </cell>
          <cell r="G201">
            <v>-2496.77</v>
          </cell>
          <cell r="H201">
            <v>3242.91</v>
          </cell>
          <cell r="I201">
            <v>238.66</v>
          </cell>
          <cell r="J201">
            <v>159.56</v>
          </cell>
          <cell r="K201">
            <v>339.91</v>
          </cell>
          <cell r="L201">
            <v>-321.02</v>
          </cell>
          <cell r="M201">
            <v>1340.86</v>
          </cell>
          <cell r="N201">
            <v>-56.35</v>
          </cell>
          <cell r="O201">
            <v>-1080.04</v>
          </cell>
          <cell r="P201">
            <v>11817.03</v>
          </cell>
          <cell r="R201">
            <v>9735.7300000000014</v>
          </cell>
          <cell r="S201">
            <v>10503.340000000002</v>
          </cell>
          <cell r="T201">
            <v>10449.310000000001</v>
          </cell>
          <cell r="U201">
            <v>7952.5400000000009</v>
          </cell>
          <cell r="V201">
            <v>11195.45</v>
          </cell>
          <cell r="W201">
            <v>11434.11</v>
          </cell>
          <cell r="X201">
            <v>11593.67</v>
          </cell>
          <cell r="Y201">
            <v>11933.58</v>
          </cell>
          <cell r="Z201">
            <v>11612.56</v>
          </cell>
          <cell r="AA201">
            <v>12953.42</v>
          </cell>
          <cell r="AB201">
            <v>12897.07</v>
          </cell>
          <cell r="AC201">
            <v>11817.029999999999</v>
          </cell>
        </row>
        <row r="202">
          <cell r="A202">
            <v>201050301002</v>
          </cell>
          <cell r="B202" t="str">
            <v xml:space="preserve">Aporte Patronal por Pagar                                             </v>
          </cell>
          <cell r="C202">
            <v>13405.3</v>
          </cell>
          <cell r="D202">
            <v>-676.7</v>
          </cell>
          <cell r="E202">
            <v>926</v>
          </cell>
          <cell r="F202">
            <v>-121.23</v>
          </cell>
          <cell r="G202">
            <v>3708.57</v>
          </cell>
          <cell r="H202">
            <v>-2794.43</v>
          </cell>
          <cell r="I202">
            <v>394.37</v>
          </cell>
          <cell r="J202">
            <v>208.38</v>
          </cell>
          <cell r="K202">
            <v>399.17</v>
          </cell>
          <cell r="L202">
            <v>-127.08</v>
          </cell>
          <cell r="M202">
            <v>1583.68</v>
          </cell>
          <cell r="N202">
            <v>-18.559999999999999</v>
          </cell>
          <cell r="O202">
            <v>-1623.88</v>
          </cell>
          <cell r="P202">
            <v>15263.59</v>
          </cell>
          <cell r="R202">
            <v>12728.599999999999</v>
          </cell>
          <cell r="S202">
            <v>13654.599999999999</v>
          </cell>
          <cell r="T202">
            <v>13533.369999999999</v>
          </cell>
          <cell r="U202">
            <v>17241.939999999999</v>
          </cell>
          <cell r="V202">
            <v>14447.509999999998</v>
          </cell>
          <cell r="W202">
            <v>14841.88</v>
          </cell>
          <cell r="X202">
            <v>15050.259999999998</v>
          </cell>
          <cell r="Y202">
            <v>15449.429999999998</v>
          </cell>
          <cell r="Z202">
            <v>15322.349999999999</v>
          </cell>
          <cell r="AA202">
            <v>16906.03</v>
          </cell>
          <cell r="AB202">
            <v>16887.469999999998</v>
          </cell>
          <cell r="AC202">
            <v>15263.589999999997</v>
          </cell>
        </row>
        <row r="203">
          <cell r="A203">
            <v>201050301003</v>
          </cell>
          <cell r="B203" t="str">
            <v xml:space="preserve">Fondos de Reserva IESS                                                </v>
          </cell>
          <cell r="C203">
            <v>3270.57</v>
          </cell>
          <cell r="D203">
            <v>-79.150000000000006</v>
          </cell>
          <cell r="E203">
            <v>437.85</v>
          </cell>
          <cell r="F203">
            <v>-62.68</v>
          </cell>
          <cell r="G203">
            <v>-72.19</v>
          </cell>
          <cell r="H203">
            <v>80.510000000000005</v>
          </cell>
          <cell r="I203">
            <v>125.84</v>
          </cell>
          <cell r="J203">
            <v>39.61</v>
          </cell>
          <cell r="K203">
            <v>-32.96</v>
          </cell>
          <cell r="L203">
            <v>-167.78</v>
          </cell>
          <cell r="M203">
            <v>560.57000000000005</v>
          </cell>
          <cell r="N203">
            <v>-314.36</v>
          </cell>
          <cell r="O203">
            <v>-393.26</v>
          </cell>
          <cell r="P203">
            <v>3392.57</v>
          </cell>
          <cell r="R203">
            <v>3191.42</v>
          </cell>
          <cell r="S203">
            <v>3629.27</v>
          </cell>
          <cell r="T203">
            <v>3566.59</v>
          </cell>
          <cell r="U203">
            <v>3494.4</v>
          </cell>
          <cell r="V203">
            <v>3574.9100000000003</v>
          </cell>
          <cell r="W203">
            <v>3700.7500000000005</v>
          </cell>
          <cell r="X203">
            <v>3740.3600000000006</v>
          </cell>
          <cell r="Y203">
            <v>3707.4000000000005</v>
          </cell>
          <cell r="Z203">
            <v>3539.6200000000003</v>
          </cell>
          <cell r="AA203">
            <v>4100.1900000000005</v>
          </cell>
          <cell r="AB203">
            <v>3785.8300000000004</v>
          </cell>
          <cell r="AC203">
            <v>3392.5700000000006</v>
          </cell>
        </row>
        <row r="204">
          <cell r="A204">
            <v>201050301004</v>
          </cell>
          <cell r="B204" t="str">
            <v xml:space="preserve">Prestamos Quirografarios                                              </v>
          </cell>
          <cell r="C204">
            <v>7555.17</v>
          </cell>
          <cell r="D204">
            <v>565.55999999999995</v>
          </cell>
          <cell r="E204">
            <v>-535.70000000000005</v>
          </cell>
          <cell r="F204">
            <v>-233.88</v>
          </cell>
          <cell r="G204">
            <v>350.06</v>
          </cell>
          <cell r="H204">
            <v>-436.73</v>
          </cell>
          <cell r="I204">
            <v>-56.41</v>
          </cell>
          <cell r="J204">
            <v>-7208.07</v>
          </cell>
          <cell r="K204">
            <v>7945.92</v>
          </cell>
          <cell r="L204">
            <v>-292.89999999999998</v>
          </cell>
          <cell r="M204">
            <v>-40.65</v>
          </cell>
          <cell r="N204">
            <v>384.71</v>
          </cell>
          <cell r="O204">
            <v>460.38</v>
          </cell>
          <cell r="P204">
            <v>8457.4599999999991</v>
          </cell>
          <cell r="R204">
            <v>8120.73</v>
          </cell>
          <cell r="S204">
            <v>7585.03</v>
          </cell>
          <cell r="T204">
            <v>7351.15</v>
          </cell>
          <cell r="U204">
            <v>7701.21</v>
          </cell>
          <cell r="V204">
            <v>7264.48</v>
          </cell>
          <cell r="W204">
            <v>7208.07</v>
          </cell>
          <cell r="X204">
            <v>0</v>
          </cell>
          <cell r="Y204">
            <v>7945.92</v>
          </cell>
          <cell r="Z204">
            <v>7653.02</v>
          </cell>
          <cell r="AA204">
            <v>7612.3700000000008</v>
          </cell>
          <cell r="AB204">
            <v>7997.0800000000008</v>
          </cell>
          <cell r="AC204">
            <v>8457.4600000000009</v>
          </cell>
        </row>
        <row r="205">
          <cell r="A205">
            <v>201050301005</v>
          </cell>
          <cell r="B205" t="str">
            <v xml:space="preserve">Prestamos Hipotecarios                                                </v>
          </cell>
          <cell r="C205">
            <v>3993.78</v>
          </cell>
          <cell r="D205">
            <v>-301.13</v>
          </cell>
          <cell r="E205">
            <v>-390.38</v>
          </cell>
          <cell r="F205">
            <v>61.86</v>
          </cell>
          <cell r="G205">
            <v>573.47</v>
          </cell>
          <cell r="H205">
            <v>-110.57</v>
          </cell>
          <cell r="I205">
            <v>-351.71</v>
          </cell>
          <cell r="J205">
            <v>-244.01</v>
          </cell>
          <cell r="K205">
            <v>44.3</v>
          </cell>
          <cell r="L205">
            <v>-5.7</v>
          </cell>
          <cell r="M205">
            <v>-136.44999999999999</v>
          </cell>
          <cell r="N205">
            <v>137.69999999999999</v>
          </cell>
          <cell r="O205">
            <v>1.28</v>
          </cell>
          <cell r="P205">
            <v>3272.44</v>
          </cell>
          <cell r="R205">
            <v>3692.65</v>
          </cell>
          <cell r="S205">
            <v>3302.27</v>
          </cell>
          <cell r="T205">
            <v>3364.13</v>
          </cell>
          <cell r="U205">
            <v>3937.6000000000004</v>
          </cell>
          <cell r="V205">
            <v>3827.03</v>
          </cell>
          <cell r="W205">
            <v>3475.32</v>
          </cell>
          <cell r="X205">
            <v>3231.3100000000004</v>
          </cell>
          <cell r="Y205">
            <v>3275.6100000000006</v>
          </cell>
          <cell r="Z205">
            <v>3269.9100000000008</v>
          </cell>
          <cell r="AA205">
            <v>3133.4600000000009</v>
          </cell>
          <cell r="AB205">
            <v>3271.1600000000008</v>
          </cell>
          <cell r="AC205">
            <v>3272.440000000001</v>
          </cell>
        </row>
        <row r="206">
          <cell r="A206">
            <v>201050301009</v>
          </cell>
          <cell r="B206" t="str">
            <v xml:space="preserve">Retencion pension alimenticia                                         </v>
          </cell>
          <cell r="C206">
            <v>1050.74</v>
          </cell>
          <cell r="D206">
            <v>0</v>
          </cell>
          <cell r="E206">
            <v>0</v>
          </cell>
          <cell r="F206">
            <v>13.68</v>
          </cell>
          <cell r="G206">
            <v>156.79</v>
          </cell>
          <cell r="H206">
            <v>0</v>
          </cell>
          <cell r="I206">
            <v>-320.02999999999997</v>
          </cell>
          <cell r="J206">
            <v>0</v>
          </cell>
          <cell r="K206">
            <v>-402</v>
          </cell>
          <cell r="L206">
            <v>102</v>
          </cell>
          <cell r="M206">
            <v>100</v>
          </cell>
          <cell r="N206">
            <v>100.59</v>
          </cell>
          <cell r="O206">
            <v>84.41</v>
          </cell>
          <cell r="P206">
            <v>886.18</v>
          </cell>
          <cell r="R206">
            <v>1050.74</v>
          </cell>
          <cell r="S206">
            <v>1050.74</v>
          </cell>
          <cell r="T206">
            <v>1064.42</v>
          </cell>
          <cell r="U206">
            <v>1221.21</v>
          </cell>
          <cell r="V206">
            <v>1221.21</v>
          </cell>
          <cell r="W206">
            <v>901.18000000000006</v>
          </cell>
          <cell r="X206">
            <v>901.18000000000006</v>
          </cell>
          <cell r="Y206">
            <v>499.18000000000006</v>
          </cell>
          <cell r="Z206">
            <v>601.18000000000006</v>
          </cell>
          <cell r="AA206">
            <v>701.18000000000006</v>
          </cell>
          <cell r="AB206">
            <v>801.7700000000001</v>
          </cell>
          <cell r="AC206">
            <v>886.18000000000006</v>
          </cell>
        </row>
        <row r="207">
          <cell r="A207">
            <v>201050301010</v>
          </cell>
          <cell r="B207" t="str">
            <v xml:space="preserve">Aporte Extension de Salud                                             </v>
          </cell>
          <cell r="C207">
            <v>205.92</v>
          </cell>
          <cell r="D207">
            <v>37.53</v>
          </cell>
          <cell r="E207">
            <v>28.46</v>
          </cell>
          <cell r="F207">
            <v>-3.5</v>
          </cell>
          <cell r="G207">
            <v>-268.41000000000003</v>
          </cell>
          <cell r="H207">
            <v>266.49</v>
          </cell>
          <cell r="I207">
            <v>75.23</v>
          </cell>
          <cell r="J207">
            <v>38.700000000000003</v>
          </cell>
          <cell r="K207">
            <v>-9.09</v>
          </cell>
          <cell r="L207">
            <v>-28.08</v>
          </cell>
          <cell r="M207">
            <v>117.23</v>
          </cell>
          <cell r="N207">
            <v>-35.909999999999997</v>
          </cell>
          <cell r="O207">
            <v>-33.630000000000003</v>
          </cell>
          <cell r="P207">
            <v>390.94</v>
          </cell>
          <cell r="R207">
            <v>243.45</v>
          </cell>
          <cell r="S207">
            <v>271.90999999999997</v>
          </cell>
          <cell r="T207">
            <v>268.40999999999997</v>
          </cell>
          <cell r="U207">
            <v>0</v>
          </cell>
          <cell r="V207">
            <v>266.49</v>
          </cell>
          <cell r="W207">
            <v>341.72</v>
          </cell>
          <cell r="X207">
            <v>380.42</v>
          </cell>
          <cell r="Y207">
            <v>371.33000000000004</v>
          </cell>
          <cell r="Z207">
            <v>343.25000000000006</v>
          </cell>
          <cell r="AA207">
            <v>460.48000000000008</v>
          </cell>
          <cell r="AB207">
            <v>424.57000000000005</v>
          </cell>
          <cell r="AC207">
            <v>390.94000000000005</v>
          </cell>
        </row>
        <row r="208">
          <cell r="A208">
            <v>2010504</v>
          </cell>
          <cell r="B208" t="str">
            <v xml:space="preserve">POR BENEFICIOS DE LEY A EMPLEADOS                                     </v>
          </cell>
          <cell r="C208">
            <v>270263.55</v>
          </cell>
          <cell r="D208">
            <v>-22762.71</v>
          </cell>
          <cell r="E208">
            <v>19861.849999999999</v>
          </cell>
          <cell r="F208">
            <v>-86471.28</v>
          </cell>
          <cell r="G208">
            <v>21049.47</v>
          </cell>
          <cell r="H208">
            <v>18272.91</v>
          </cell>
          <cell r="I208">
            <v>16356.66</v>
          </cell>
          <cell r="J208">
            <v>76706.039999999994</v>
          </cell>
          <cell r="K208">
            <v>-35580.239999999998</v>
          </cell>
          <cell r="L208">
            <v>8011.57</v>
          </cell>
          <cell r="M208">
            <v>19398.52</v>
          </cell>
          <cell r="N208">
            <v>-43446.61</v>
          </cell>
          <cell r="O208">
            <v>-93465.59</v>
          </cell>
          <cell r="P208">
            <v>168194.14</v>
          </cell>
          <cell r="R208">
            <v>247500.84</v>
          </cell>
          <cell r="S208">
            <v>267362.69</v>
          </cell>
          <cell r="T208">
            <v>180891.41</v>
          </cell>
          <cell r="U208">
            <v>201940.88</v>
          </cell>
          <cell r="V208">
            <v>220213.79</v>
          </cell>
          <cell r="W208">
            <v>236570.45</v>
          </cell>
          <cell r="X208">
            <v>313276.49</v>
          </cell>
          <cell r="Y208">
            <v>277696.25</v>
          </cell>
          <cell r="Z208">
            <v>285707.82</v>
          </cell>
          <cell r="AA208">
            <v>305106.34000000003</v>
          </cell>
          <cell r="AB208">
            <v>261659.73000000004</v>
          </cell>
          <cell r="AC208">
            <v>168194.14000000004</v>
          </cell>
        </row>
        <row r="209">
          <cell r="A209">
            <v>201050401</v>
          </cell>
          <cell r="B209" t="str">
            <v xml:space="preserve">POR BENEFICIOS DE LEY A EMPLEADOS                                     </v>
          </cell>
          <cell r="C209">
            <v>270263.55</v>
          </cell>
          <cell r="D209">
            <v>-22762.71</v>
          </cell>
          <cell r="E209">
            <v>19861.849999999999</v>
          </cell>
          <cell r="F209">
            <v>-86471.28</v>
          </cell>
          <cell r="G209">
            <v>21049.47</v>
          </cell>
          <cell r="H209">
            <v>18272.91</v>
          </cell>
          <cell r="I209">
            <v>16356.66</v>
          </cell>
          <cell r="J209">
            <v>76706.039999999994</v>
          </cell>
          <cell r="K209">
            <v>-35580.239999999998</v>
          </cell>
          <cell r="L209">
            <v>8011.57</v>
          </cell>
          <cell r="M209">
            <v>19398.52</v>
          </cell>
          <cell r="N209">
            <v>-43446.61</v>
          </cell>
          <cell r="O209">
            <v>-93465.59</v>
          </cell>
          <cell r="P209">
            <v>168194.14</v>
          </cell>
          <cell r="R209">
            <v>247500.84</v>
          </cell>
          <cell r="S209">
            <v>267362.69</v>
          </cell>
          <cell r="T209">
            <v>180891.41</v>
          </cell>
          <cell r="U209">
            <v>201940.88</v>
          </cell>
          <cell r="V209">
            <v>220213.79</v>
          </cell>
          <cell r="W209">
            <v>236570.45</v>
          </cell>
          <cell r="X209">
            <v>313276.49</v>
          </cell>
          <cell r="Y209">
            <v>277696.25</v>
          </cell>
          <cell r="Z209">
            <v>285707.82</v>
          </cell>
          <cell r="AA209">
            <v>305106.34000000003</v>
          </cell>
          <cell r="AB209">
            <v>261659.73000000004</v>
          </cell>
          <cell r="AC209">
            <v>168194.14000000004</v>
          </cell>
        </row>
        <row r="210">
          <cell r="A210">
            <v>201050401001</v>
          </cell>
          <cell r="B210" t="str">
            <v xml:space="preserve">Decimo tercer Sueldo                                                  </v>
          </cell>
          <cell r="C210">
            <v>8881.77</v>
          </cell>
          <cell r="D210">
            <v>8229.41</v>
          </cell>
          <cell r="E210">
            <v>8484.7900000000009</v>
          </cell>
          <cell r="F210">
            <v>8906.49</v>
          </cell>
          <cell r="G210">
            <v>9455.25</v>
          </cell>
          <cell r="H210">
            <v>8908.49</v>
          </cell>
          <cell r="I210">
            <v>9853.94</v>
          </cell>
          <cell r="J210">
            <v>9006.39</v>
          </cell>
          <cell r="K210">
            <v>7931.98</v>
          </cell>
          <cell r="L210">
            <v>9518.49</v>
          </cell>
          <cell r="M210">
            <v>11075.33</v>
          </cell>
          <cell r="N210">
            <v>9795.77</v>
          </cell>
          <cell r="O210">
            <v>-99716.42</v>
          </cell>
          <cell r="P210">
            <v>10331.68</v>
          </cell>
          <cell r="R210">
            <v>17111.18</v>
          </cell>
          <cell r="S210">
            <v>25595.97</v>
          </cell>
          <cell r="T210">
            <v>34502.46</v>
          </cell>
          <cell r="U210">
            <v>43957.71</v>
          </cell>
          <cell r="V210">
            <v>52866.2</v>
          </cell>
          <cell r="W210">
            <v>62720.14</v>
          </cell>
          <cell r="X210">
            <v>71726.53</v>
          </cell>
          <cell r="Y210">
            <v>79658.509999999995</v>
          </cell>
          <cell r="Z210">
            <v>89177</v>
          </cell>
          <cell r="AA210">
            <v>100252.33</v>
          </cell>
          <cell r="AB210">
            <v>110048.1</v>
          </cell>
          <cell r="AC210">
            <v>10331.680000000008</v>
          </cell>
        </row>
        <row r="211">
          <cell r="A211">
            <v>201050401002</v>
          </cell>
          <cell r="B211" t="str">
            <v xml:space="preserve">Decimo Cuarto Sueldo                                                  </v>
          </cell>
          <cell r="C211">
            <v>45137.33</v>
          </cell>
          <cell r="D211">
            <v>3360.62</v>
          </cell>
          <cell r="E211">
            <v>3511.77</v>
          </cell>
          <cell r="F211">
            <v>-47425.74</v>
          </cell>
          <cell r="G211">
            <v>4616.2</v>
          </cell>
          <cell r="H211">
            <v>4551.76</v>
          </cell>
          <cell r="I211">
            <v>4711.74</v>
          </cell>
          <cell r="J211">
            <v>4246.1899999999996</v>
          </cell>
          <cell r="K211">
            <v>3655.1</v>
          </cell>
          <cell r="L211">
            <v>4332.8599999999997</v>
          </cell>
          <cell r="M211">
            <v>4796.16</v>
          </cell>
          <cell r="N211">
            <v>4422.83</v>
          </cell>
          <cell r="O211">
            <v>4450.6000000000004</v>
          </cell>
          <cell r="P211">
            <v>44367.42</v>
          </cell>
          <cell r="R211">
            <v>48497.950000000004</v>
          </cell>
          <cell r="S211">
            <v>52009.72</v>
          </cell>
          <cell r="T211">
            <v>4583.9800000000032</v>
          </cell>
          <cell r="U211">
            <v>9200.1800000000039</v>
          </cell>
          <cell r="V211">
            <v>13751.940000000004</v>
          </cell>
          <cell r="W211">
            <v>18463.680000000004</v>
          </cell>
          <cell r="X211">
            <v>22709.870000000003</v>
          </cell>
          <cell r="Y211">
            <v>26364.97</v>
          </cell>
          <cell r="Z211">
            <v>30697.83</v>
          </cell>
          <cell r="AA211">
            <v>35493.990000000005</v>
          </cell>
          <cell r="AB211">
            <v>39916.820000000007</v>
          </cell>
          <cell r="AC211">
            <v>44367.420000000006</v>
          </cell>
        </row>
        <row r="212">
          <cell r="A212">
            <v>201050401003</v>
          </cell>
          <cell r="B212" t="str">
            <v xml:space="preserve">Vacaciones                                                            </v>
          </cell>
          <cell r="C212">
            <v>206481.63</v>
          </cell>
          <cell r="D212">
            <v>-80487.070000000007</v>
          </cell>
          <cell r="E212">
            <v>2970.4</v>
          </cell>
          <cell r="F212">
            <v>4113.51</v>
          </cell>
          <cell r="G212">
            <v>6610.12</v>
          </cell>
          <cell r="H212">
            <v>2912.97</v>
          </cell>
          <cell r="I212">
            <v>3379.18</v>
          </cell>
          <cell r="J212">
            <v>3056.49</v>
          </cell>
          <cell r="K212">
            <v>2143.4699999999998</v>
          </cell>
          <cell r="L212">
            <v>2808.4</v>
          </cell>
          <cell r="M212">
            <v>3522.14</v>
          </cell>
          <cell r="N212">
            <v>-55842.75</v>
          </cell>
          <cell r="O212">
            <v>3426.27</v>
          </cell>
          <cell r="P212">
            <v>105094.76</v>
          </cell>
          <cell r="R212">
            <v>125994.56</v>
          </cell>
          <cell r="S212">
            <v>128964.95999999999</v>
          </cell>
          <cell r="T212">
            <v>133078.47</v>
          </cell>
          <cell r="U212">
            <v>139688.59</v>
          </cell>
          <cell r="V212">
            <v>142601.56</v>
          </cell>
          <cell r="W212">
            <v>145980.74</v>
          </cell>
          <cell r="X212">
            <v>149037.22999999998</v>
          </cell>
          <cell r="Y212">
            <v>151180.69999999998</v>
          </cell>
          <cell r="Z212">
            <v>153989.09999999998</v>
          </cell>
          <cell r="AA212">
            <v>157511.24</v>
          </cell>
          <cell r="AB212">
            <v>101668.48999999999</v>
          </cell>
          <cell r="AC212">
            <v>105094.76</v>
          </cell>
        </row>
        <row r="213">
          <cell r="A213">
            <v>201050401004</v>
          </cell>
          <cell r="B213" t="str">
            <v xml:space="preserve">Nomina por pagar                                                      </v>
          </cell>
          <cell r="C213">
            <v>0</v>
          </cell>
          <cell r="D213">
            <v>38943.97</v>
          </cell>
          <cell r="E213">
            <v>7879.25</v>
          </cell>
          <cell r="F213">
            <v>-46823.22</v>
          </cell>
          <cell r="G213">
            <v>0</v>
          </cell>
          <cell r="H213">
            <v>691.07</v>
          </cell>
          <cell r="I213">
            <v>-691.07</v>
          </cell>
          <cell r="J213">
            <v>57746.02</v>
          </cell>
          <cell r="K213">
            <v>-57746.02</v>
          </cell>
          <cell r="L213">
            <v>600.5</v>
          </cell>
          <cell r="M213">
            <v>-600.5</v>
          </cell>
          <cell r="N213">
            <v>0</v>
          </cell>
          <cell r="O213">
            <v>0</v>
          </cell>
          <cell r="P213">
            <v>0</v>
          </cell>
          <cell r="R213">
            <v>38943.97</v>
          </cell>
          <cell r="S213">
            <v>46823.22</v>
          </cell>
          <cell r="T213">
            <v>0</v>
          </cell>
          <cell r="U213">
            <v>0</v>
          </cell>
          <cell r="V213">
            <v>691.07</v>
          </cell>
          <cell r="W213">
            <v>0</v>
          </cell>
          <cell r="X213">
            <v>57746.02</v>
          </cell>
          <cell r="Y213">
            <v>0</v>
          </cell>
          <cell r="Z213">
            <v>600.5</v>
          </cell>
          <cell r="AA213">
            <v>0</v>
          </cell>
          <cell r="AB213">
            <v>0</v>
          </cell>
          <cell r="AC213">
            <v>0</v>
          </cell>
        </row>
        <row r="214">
          <cell r="A214">
            <v>201050401006</v>
          </cell>
          <cell r="B214" t="str">
            <v xml:space="preserve">Liquidaciones de Haberes                                              </v>
          </cell>
          <cell r="C214">
            <v>1739.99</v>
          </cell>
          <cell r="D214">
            <v>7190.36</v>
          </cell>
          <cell r="E214">
            <v>-2984.36</v>
          </cell>
          <cell r="F214">
            <v>-5242.32</v>
          </cell>
          <cell r="G214">
            <v>367.9</v>
          </cell>
          <cell r="H214">
            <v>1208.6199999999999</v>
          </cell>
          <cell r="I214">
            <v>-897.13</v>
          </cell>
          <cell r="J214">
            <v>2650.95</v>
          </cell>
          <cell r="K214">
            <v>8435.23</v>
          </cell>
          <cell r="L214">
            <v>-9248.68</v>
          </cell>
          <cell r="M214">
            <v>605.39</v>
          </cell>
          <cell r="N214">
            <v>-1822.46</v>
          </cell>
          <cell r="O214">
            <v>-1626.04</v>
          </cell>
          <cell r="P214">
            <v>377.45</v>
          </cell>
          <cell r="R214">
            <v>8930.35</v>
          </cell>
          <cell r="S214">
            <v>5945.99</v>
          </cell>
          <cell r="T214">
            <v>703.67000000000007</v>
          </cell>
          <cell r="U214">
            <v>1071.5700000000002</v>
          </cell>
          <cell r="V214">
            <v>2280.19</v>
          </cell>
          <cell r="W214">
            <v>1383.06</v>
          </cell>
          <cell r="X214">
            <v>4034.0099999999998</v>
          </cell>
          <cell r="Y214">
            <v>12469.24</v>
          </cell>
          <cell r="Z214">
            <v>3220.5599999999995</v>
          </cell>
          <cell r="AA214">
            <v>3825.9499999999994</v>
          </cell>
          <cell r="AB214">
            <v>2003.4899999999993</v>
          </cell>
          <cell r="AC214">
            <v>377.44999999999936</v>
          </cell>
        </row>
        <row r="215">
          <cell r="A215">
            <v>201050401007</v>
          </cell>
          <cell r="B215" t="str">
            <v xml:space="preserve">Reduccion Jornada emergente Art. 47-1                                 </v>
          </cell>
          <cell r="C215">
            <v>8022.83</v>
          </cell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8022.83</v>
          </cell>
          <cell r="R215">
            <v>8022.83</v>
          </cell>
          <cell r="S215">
            <v>8022.83</v>
          </cell>
          <cell r="T215">
            <v>8022.83</v>
          </cell>
          <cell r="U215">
            <v>8022.83</v>
          </cell>
          <cell r="V215">
            <v>8022.83</v>
          </cell>
          <cell r="W215">
            <v>8022.83</v>
          </cell>
          <cell r="X215">
            <v>8022.83</v>
          </cell>
          <cell r="Y215">
            <v>8022.83</v>
          </cell>
          <cell r="Z215">
            <v>8022.83</v>
          </cell>
          <cell r="AA215">
            <v>8022.83</v>
          </cell>
          <cell r="AB215">
            <v>8022.83</v>
          </cell>
          <cell r="AC215">
            <v>8022.83</v>
          </cell>
        </row>
        <row r="216">
          <cell r="A216">
            <v>2010505</v>
          </cell>
          <cell r="B216" t="str">
            <v xml:space="preserve">PARTICIPACIÓN TRABAJADORES POR PAGAR DEL EJERCICIO                    </v>
          </cell>
          <cell r="C216">
            <v>0</v>
          </cell>
          <cell r="D216">
            <v>222137.55</v>
          </cell>
          <cell r="E216">
            <v>0</v>
          </cell>
          <cell r="F216">
            <v>0</v>
          </cell>
          <cell r="G216">
            <v>-222412.6</v>
          </cell>
          <cell r="H216">
            <v>0</v>
          </cell>
          <cell r="I216">
            <v>0</v>
          </cell>
          <cell r="J216">
            <v>0</v>
          </cell>
          <cell r="K216">
            <v>0</v>
          </cell>
          <cell r="L216">
            <v>0</v>
          </cell>
          <cell r="M216">
            <v>0</v>
          </cell>
          <cell r="N216">
            <v>0</v>
          </cell>
          <cell r="O216">
            <v>0</v>
          </cell>
          <cell r="P216">
            <v>-275.05</v>
          </cell>
          <cell r="R216">
            <v>222137.55</v>
          </cell>
          <cell r="S216">
            <v>222137.55</v>
          </cell>
          <cell r="T216">
            <v>222137.55</v>
          </cell>
          <cell r="U216">
            <v>-275.05000000001746</v>
          </cell>
          <cell r="V216">
            <v>-275.05000000001746</v>
          </cell>
          <cell r="W216">
            <v>-275.05000000001746</v>
          </cell>
          <cell r="X216">
            <v>-275.05000000001746</v>
          </cell>
          <cell r="Y216">
            <v>-275.05000000001746</v>
          </cell>
          <cell r="Z216">
            <v>-275.05000000001746</v>
          </cell>
          <cell r="AA216">
            <v>-275.05000000001746</v>
          </cell>
          <cell r="AB216">
            <v>-275.05000000001746</v>
          </cell>
          <cell r="AC216">
            <v>-275.05000000001746</v>
          </cell>
        </row>
        <row r="217">
          <cell r="A217">
            <v>201050501</v>
          </cell>
          <cell r="B217" t="str">
            <v xml:space="preserve">PARTICIPACIÓN TRABAJADORES POR PAGAR DEL EJERCICIO                    </v>
          </cell>
          <cell r="C217">
            <v>0</v>
          </cell>
          <cell r="D217">
            <v>222137.55</v>
          </cell>
          <cell r="E217">
            <v>0</v>
          </cell>
          <cell r="F217">
            <v>0</v>
          </cell>
          <cell r="G217">
            <v>-222412.6</v>
          </cell>
          <cell r="H217">
            <v>0</v>
          </cell>
          <cell r="I217">
            <v>0</v>
          </cell>
          <cell r="J217">
            <v>0</v>
          </cell>
          <cell r="K217">
            <v>0</v>
          </cell>
          <cell r="L217">
            <v>0</v>
          </cell>
          <cell r="M217">
            <v>0</v>
          </cell>
          <cell r="N217">
            <v>0</v>
          </cell>
          <cell r="O217">
            <v>0</v>
          </cell>
          <cell r="P217">
            <v>-275.05</v>
          </cell>
          <cell r="R217">
            <v>222137.55</v>
          </cell>
          <cell r="S217">
            <v>222137.55</v>
          </cell>
          <cell r="T217">
            <v>222137.55</v>
          </cell>
          <cell r="U217">
            <v>-275.05000000001746</v>
          </cell>
          <cell r="V217">
            <v>-275.05000000001746</v>
          </cell>
          <cell r="W217">
            <v>-275.05000000001746</v>
          </cell>
          <cell r="X217">
            <v>-275.05000000001746</v>
          </cell>
          <cell r="Y217">
            <v>-275.05000000001746</v>
          </cell>
          <cell r="Z217">
            <v>-275.05000000001746</v>
          </cell>
          <cell r="AA217">
            <v>-275.05000000001746</v>
          </cell>
          <cell r="AB217">
            <v>-275.05000000001746</v>
          </cell>
          <cell r="AC217">
            <v>-275.05000000001746</v>
          </cell>
        </row>
        <row r="218">
          <cell r="A218">
            <v>201050501001</v>
          </cell>
          <cell r="B218" t="str">
            <v xml:space="preserve">Participaciones de utilidades a empleados                             </v>
          </cell>
          <cell r="C218">
            <v>0</v>
          </cell>
          <cell r="D218">
            <v>222137.55</v>
          </cell>
          <cell r="E218">
            <v>0</v>
          </cell>
          <cell r="F218">
            <v>0</v>
          </cell>
          <cell r="G218">
            <v>-222412.6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-275.05</v>
          </cell>
          <cell r="R218">
            <v>222137.55</v>
          </cell>
          <cell r="S218">
            <v>222137.55</v>
          </cell>
          <cell r="T218">
            <v>222137.55</v>
          </cell>
          <cell r="U218">
            <v>-275.05000000001746</v>
          </cell>
          <cell r="V218">
            <v>-275.05000000001746</v>
          </cell>
          <cell r="W218">
            <v>-275.05000000001746</v>
          </cell>
          <cell r="X218">
            <v>-275.05000000001746</v>
          </cell>
          <cell r="Y218">
            <v>-275.05000000001746</v>
          </cell>
          <cell r="Z218">
            <v>-275.05000000001746</v>
          </cell>
          <cell r="AA218">
            <v>-275.05000000001746</v>
          </cell>
          <cell r="AB218">
            <v>-275.05000000001746</v>
          </cell>
          <cell r="AC218">
            <v>-275.05000000001746</v>
          </cell>
        </row>
        <row r="219">
          <cell r="A219">
            <v>20107</v>
          </cell>
          <cell r="B219" t="str">
            <v xml:space="preserve">ANTICIPO CLIENTES                                                     </v>
          </cell>
          <cell r="C219">
            <v>98116.76</v>
          </cell>
          <cell r="D219">
            <v>-5083.79</v>
          </cell>
          <cell r="E219">
            <v>1288.06</v>
          </cell>
          <cell r="F219">
            <v>120347.88</v>
          </cell>
          <cell r="G219">
            <v>-98762.21</v>
          </cell>
          <cell r="H219">
            <v>-5342.63</v>
          </cell>
          <cell r="I219">
            <v>150707.32</v>
          </cell>
          <cell r="J219">
            <v>-173581.81</v>
          </cell>
          <cell r="K219">
            <v>20309.240000000002</v>
          </cell>
          <cell r="L219">
            <v>21570.97</v>
          </cell>
          <cell r="M219">
            <v>-11705.74</v>
          </cell>
          <cell r="N219">
            <v>86681.86</v>
          </cell>
          <cell r="O219">
            <v>-43076.6</v>
          </cell>
          <cell r="P219">
            <v>161469.31</v>
          </cell>
          <cell r="R219">
            <v>93032.97</v>
          </cell>
          <cell r="S219">
            <v>94321.03</v>
          </cell>
          <cell r="T219">
            <v>214668.91</v>
          </cell>
          <cell r="U219">
            <v>115906.7</v>
          </cell>
          <cell r="V219">
            <v>110564.06999999999</v>
          </cell>
          <cell r="W219">
            <v>261271.39</v>
          </cell>
          <cell r="X219">
            <v>87689.580000000016</v>
          </cell>
          <cell r="Y219">
            <v>107998.82000000002</v>
          </cell>
          <cell r="Z219">
            <v>129569.79000000002</v>
          </cell>
          <cell r="AA219">
            <v>117864.05000000002</v>
          </cell>
          <cell r="AB219">
            <v>204545.91000000003</v>
          </cell>
          <cell r="AC219">
            <v>161469.31000000003</v>
          </cell>
        </row>
        <row r="220">
          <cell r="A220">
            <v>2010701</v>
          </cell>
          <cell r="B220" t="str">
            <v xml:space="preserve">ANTICIPOS DE CLIENTES                                                 </v>
          </cell>
          <cell r="C220">
            <v>98116.76</v>
          </cell>
          <cell r="D220">
            <v>-5083.79</v>
          </cell>
          <cell r="E220">
            <v>1288.06</v>
          </cell>
          <cell r="F220">
            <v>120347.88</v>
          </cell>
          <cell r="G220">
            <v>-98762.21</v>
          </cell>
          <cell r="H220">
            <v>-5342.63</v>
          </cell>
          <cell r="I220">
            <v>150707.32</v>
          </cell>
          <cell r="J220">
            <v>-173581.81</v>
          </cell>
          <cell r="K220">
            <v>20309.240000000002</v>
          </cell>
          <cell r="L220">
            <v>21570.97</v>
          </cell>
          <cell r="M220">
            <v>-11705.74</v>
          </cell>
          <cell r="N220">
            <v>86681.86</v>
          </cell>
          <cell r="O220">
            <v>-43076.6</v>
          </cell>
          <cell r="P220">
            <v>161469.31</v>
          </cell>
          <cell r="R220">
            <v>93032.97</v>
          </cell>
          <cell r="S220">
            <v>94321.03</v>
          </cell>
          <cell r="T220">
            <v>214668.91</v>
          </cell>
          <cell r="U220">
            <v>115906.7</v>
          </cell>
          <cell r="V220">
            <v>110564.06999999999</v>
          </cell>
          <cell r="W220">
            <v>261271.39</v>
          </cell>
          <cell r="X220">
            <v>87689.580000000016</v>
          </cell>
          <cell r="Y220">
            <v>107998.82000000002</v>
          </cell>
          <cell r="Z220">
            <v>129569.79000000002</v>
          </cell>
          <cell r="AA220">
            <v>117864.05000000002</v>
          </cell>
          <cell r="AB220">
            <v>204545.91000000003</v>
          </cell>
          <cell r="AC220">
            <v>161469.31000000003</v>
          </cell>
        </row>
        <row r="221">
          <cell r="A221">
            <v>201070101</v>
          </cell>
          <cell r="B221" t="str">
            <v xml:space="preserve">ANTICIPOS DE CLIENTES                                                 </v>
          </cell>
          <cell r="C221">
            <v>98116.76</v>
          </cell>
          <cell r="D221">
            <v>-5083.79</v>
          </cell>
          <cell r="E221">
            <v>1288.06</v>
          </cell>
          <cell r="F221">
            <v>120347.88</v>
          </cell>
          <cell r="G221">
            <v>-98762.21</v>
          </cell>
          <cell r="H221">
            <v>-5342.63</v>
          </cell>
          <cell r="I221">
            <v>150707.32</v>
          </cell>
          <cell r="J221">
            <v>-173581.81</v>
          </cell>
          <cell r="K221">
            <v>20309.240000000002</v>
          </cell>
          <cell r="L221">
            <v>21570.97</v>
          </cell>
          <cell r="M221">
            <v>-11705.74</v>
          </cell>
          <cell r="N221">
            <v>86681.86</v>
          </cell>
          <cell r="O221">
            <v>-43076.6</v>
          </cell>
          <cell r="P221">
            <v>161469.31</v>
          </cell>
          <cell r="R221">
            <v>93032.97</v>
          </cell>
          <cell r="S221">
            <v>94321.03</v>
          </cell>
          <cell r="T221">
            <v>214668.91</v>
          </cell>
          <cell r="U221">
            <v>115906.7</v>
          </cell>
          <cell r="V221">
            <v>110564.06999999999</v>
          </cell>
          <cell r="W221">
            <v>261271.39</v>
          </cell>
          <cell r="X221">
            <v>87689.580000000016</v>
          </cell>
          <cell r="Y221">
            <v>107998.82000000002</v>
          </cell>
          <cell r="Z221">
            <v>129569.79000000002</v>
          </cell>
          <cell r="AA221">
            <v>117864.05000000002</v>
          </cell>
          <cell r="AB221">
            <v>204545.91000000003</v>
          </cell>
          <cell r="AC221">
            <v>161469.31000000003</v>
          </cell>
        </row>
        <row r="222">
          <cell r="A222">
            <v>201070101001</v>
          </cell>
          <cell r="B222" t="str">
            <v xml:space="preserve">Anticipos de clientes                                                 </v>
          </cell>
          <cell r="C222">
            <v>44893.14</v>
          </cell>
          <cell r="D222">
            <v>-5083.79</v>
          </cell>
          <cell r="E222">
            <v>1288.06</v>
          </cell>
          <cell r="F222">
            <v>120347.88</v>
          </cell>
          <cell r="G222">
            <v>-98681.03</v>
          </cell>
          <cell r="H222">
            <v>-5342.63</v>
          </cell>
          <cell r="I222">
            <v>151695.64000000001</v>
          </cell>
          <cell r="J222">
            <v>-173581.81</v>
          </cell>
          <cell r="K222">
            <v>19040.439999999999</v>
          </cell>
          <cell r="L222">
            <v>21570.97</v>
          </cell>
          <cell r="M222">
            <v>-11705.74</v>
          </cell>
          <cell r="N222">
            <v>86681.86</v>
          </cell>
          <cell r="O222">
            <v>-43076.6</v>
          </cell>
          <cell r="P222">
            <v>108046.39</v>
          </cell>
          <cell r="R222">
            <v>39809.35</v>
          </cell>
          <cell r="S222">
            <v>41097.409999999996</v>
          </cell>
          <cell r="T222">
            <v>161445.29</v>
          </cell>
          <cell r="U222">
            <v>62764.260000000009</v>
          </cell>
          <cell r="V222">
            <v>57421.630000000012</v>
          </cell>
          <cell r="W222">
            <v>209117.27000000002</v>
          </cell>
          <cell r="X222">
            <v>35535.460000000021</v>
          </cell>
          <cell r="Y222">
            <v>54575.900000000023</v>
          </cell>
          <cell r="Z222">
            <v>76146.870000000024</v>
          </cell>
          <cell r="AA222">
            <v>64441.130000000026</v>
          </cell>
          <cell r="AB222">
            <v>151122.99000000002</v>
          </cell>
          <cell r="AC222">
            <v>108046.39000000001</v>
          </cell>
        </row>
        <row r="223">
          <cell r="A223">
            <v>201070101003</v>
          </cell>
          <cell r="B223" t="str">
            <v xml:space="preserve">Deposito en garantia clientes                                         </v>
          </cell>
          <cell r="C223">
            <v>53223.62</v>
          </cell>
          <cell r="D223">
            <v>0</v>
          </cell>
          <cell r="E223">
            <v>0</v>
          </cell>
          <cell r="F223">
            <v>0</v>
          </cell>
          <cell r="G223">
            <v>-81.180000000000007</v>
          </cell>
          <cell r="H223">
            <v>0</v>
          </cell>
          <cell r="I223">
            <v>-988.32</v>
          </cell>
          <cell r="J223">
            <v>0</v>
          </cell>
          <cell r="K223">
            <v>1268.8</v>
          </cell>
          <cell r="L223">
            <v>0</v>
          </cell>
          <cell r="M223">
            <v>0</v>
          </cell>
          <cell r="N223">
            <v>0</v>
          </cell>
          <cell r="O223">
            <v>0</v>
          </cell>
          <cell r="P223">
            <v>53422.92</v>
          </cell>
          <cell r="R223">
            <v>53223.62</v>
          </cell>
          <cell r="S223">
            <v>53223.62</v>
          </cell>
          <cell r="T223">
            <v>53223.62</v>
          </cell>
          <cell r="U223">
            <v>53142.44</v>
          </cell>
          <cell r="V223">
            <v>53142.44</v>
          </cell>
          <cell r="W223">
            <v>52154.12</v>
          </cell>
          <cell r="X223">
            <v>52154.12</v>
          </cell>
          <cell r="Y223">
            <v>53422.920000000006</v>
          </cell>
          <cell r="Z223">
            <v>53422.920000000006</v>
          </cell>
          <cell r="AA223">
            <v>53422.920000000006</v>
          </cell>
          <cell r="AB223">
            <v>53422.920000000006</v>
          </cell>
          <cell r="AC223">
            <v>53422.920000000006</v>
          </cell>
        </row>
        <row r="224">
          <cell r="A224">
            <v>202</v>
          </cell>
          <cell r="B224" t="str">
            <v xml:space="preserve">PASIVO NO CORRIENTE                                                   </v>
          </cell>
          <cell r="C224">
            <v>752050.46</v>
          </cell>
          <cell r="D224">
            <v>5211.79</v>
          </cell>
          <cell r="E224">
            <v>5966.77</v>
          </cell>
          <cell r="F224">
            <v>7007.43</v>
          </cell>
          <cell r="G224">
            <v>7288.42</v>
          </cell>
          <cell r="H224">
            <v>5150.34</v>
          </cell>
          <cell r="I224">
            <v>5955.34</v>
          </cell>
          <cell r="J224">
            <v>-8822.94</v>
          </cell>
          <cell r="K224">
            <v>3320.72</v>
          </cell>
          <cell r="L224">
            <v>5750.35</v>
          </cell>
          <cell r="M224">
            <v>6550.34</v>
          </cell>
          <cell r="N224">
            <v>6550.35</v>
          </cell>
          <cell r="O224">
            <v>5599.35</v>
          </cell>
          <cell r="P224">
            <v>807578.72</v>
          </cell>
          <cell r="R224">
            <v>757262.25</v>
          </cell>
          <cell r="S224">
            <v>763229.02</v>
          </cell>
          <cell r="T224">
            <v>770236.45000000007</v>
          </cell>
          <cell r="U224">
            <v>777524.87000000011</v>
          </cell>
          <cell r="V224">
            <v>782675.21000000008</v>
          </cell>
          <cell r="W224">
            <v>788630.55</v>
          </cell>
          <cell r="X224">
            <v>779807.6100000001</v>
          </cell>
          <cell r="Y224">
            <v>783128.33000000007</v>
          </cell>
          <cell r="Z224">
            <v>788878.68</v>
          </cell>
          <cell r="AA224">
            <v>795429.02</v>
          </cell>
          <cell r="AB224">
            <v>801979.37</v>
          </cell>
          <cell r="AC224">
            <v>807578.72</v>
          </cell>
        </row>
        <row r="225">
          <cell r="A225">
            <v>20204</v>
          </cell>
          <cell r="B225" t="str">
            <v xml:space="preserve">CUENTAS POR PAGAR DIVERSAS/RELACIONADAS                               </v>
          </cell>
          <cell r="C225">
            <v>306510.12</v>
          </cell>
          <cell r="D225">
            <v>0</v>
          </cell>
          <cell r="E225">
            <v>0</v>
          </cell>
          <cell r="F225">
            <v>0</v>
          </cell>
          <cell r="G225">
            <v>0</v>
          </cell>
          <cell r="H225">
            <v>0</v>
          </cell>
          <cell r="I225">
            <v>1614.36</v>
          </cell>
          <cell r="J225">
            <v>-14000</v>
          </cell>
          <cell r="K225">
            <v>0</v>
          </cell>
          <cell r="L225">
            <v>0</v>
          </cell>
          <cell r="M225">
            <v>0</v>
          </cell>
          <cell r="N225">
            <v>0</v>
          </cell>
          <cell r="O225">
            <v>0</v>
          </cell>
          <cell r="P225">
            <v>294124.48</v>
          </cell>
          <cell r="R225">
            <v>306510.12</v>
          </cell>
          <cell r="S225">
            <v>306510.12</v>
          </cell>
          <cell r="T225">
            <v>306510.12</v>
          </cell>
          <cell r="U225">
            <v>306510.12</v>
          </cell>
          <cell r="V225">
            <v>306510.12</v>
          </cell>
          <cell r="W225">
            <v>308124.48</v>
          </cell>
          <cell r="X225">
            <v>294124.48</v>
          </cell>
          <cell r="Y225">
            <v>294124.48</v>
          </cell>
          <cell r="Z225">
            <v>294124.48</v>
          </cell>
          <cell r="AA225">
            <v>294124.48</v>
          </cell>
          <cell r="AB225">
            <v>294124.48</v>
          </cell>
          <cell r="AC225">
            <v>294124.48</v>
          </cell>
        </row>
        <row r="226">
          <cell r="A226">
            <v>2020401</v>
          </cell>
          <cell r="B226" t="str">
            <v xml:space="preserve">CUENTAS POR PAGAR DIVERSAS/RELACIONADAS LOCALES                       </v>
          </cell>
          <cell r="C226">
            <v>306510.12</v>
          </cell>
          <cell r="D226">
            <v>0</v>
          </cell>
          <cell r="E226">
            <v>0</v>
          </cell>
          <cell r="F226">
            <v>0</v>
          </cell>
          <cell r="G226">
            <v>0</v>
          </cell>
          <cell r="H226">
            <v>0</v>
          </cell>
          <cell r="I226">
            <v>1614.36</v>
          </cell>
          <cell r="J226">
            <v>-14000</v>
          </cell>
          <cell r="K226">
            <v>0</v>
          </cell>
          <cell r="L226">
            <v>0</v>
          </cell>
          <cell r="M226">
            <v>0</v>
          </cell>
          <cell r="N226">
            <v>0</v>
          </cell>
          <cell r="O226">
            <v>0</v>
          </cell>
          <cell r="P226">
            <v>294124.48</v>
          </cell>
          <cell r="R226">
            <v>306510.12</v>
          </cell>
          <cell r="S226">
            <v>306510.12</v>
          </cell>
          <cell r="T226">
            <v>306510.12</v>
          </cell>
          <cell r="U226">
            <v>306510.12</v>
          </cell>
          <cell r="V226">
            <v>306510.12</v>
          </cell>
          <cell r="W226">
            <v>308124.48</v>
          </cell>
          <cell r="X226">
            <v>294124.48</v>
          </cell>
          <cell r="Y226">
            <v>294124.48</v>
          </cell>
          <cell r="Z226">
            <v>294124.48</v>
          </cell>
          <cell r="AA226">
            <v>294124.48</v>
          </cell>
          <cell r="AB226">
            <v>294124.48</v>
          </cell>
          <cell r="AC226">
            <v>294124.48</v>
          </cell>
        </row>
        <row r="227">
          <cell r="A227">
            <v>202040101</v>
          </cell>
          <cell r="B227" t="str">
            <v xml:space="preserve">CUENTAS POR PAGAR DIVERSAS/RELACIONADAS LOCALES                       </v>
          </cell>
          <cell r="C227">
            <v>306510.12</v>
          </cell>
          <cell r="D227">
            <v>0</v>
          </cell>
          <cell r="E227">
            <v>0</v>
          </cell>
          <cell r="F227">
            <v>0</v>
          </cell>
          <cell r="G227">
            <v>0</v>
          </cell>
          <cell r="H227">
            <v>0</v>
          </cell>
          <cell r="I227">
            <v>1614.36</v>
          </cell>
          <cell r="J227">
            <v>-14000</v>
          </cell>
          <cell r="K227">
            <v>0</v>
          </cell>
          <cell r="L227">
            <v>0</v>
          </cell>
          <cell r="M227">
            <v>0</v>
          </cell>
          <cell r="N227">
            <v>0</v>
          </cell>
          <cell r="O227">
            <v>0</v>
          </cell>
          <cell r="P227">
            <v>294124.48</v>
          </cell>
          <cell r="R227">
            <v>306510.12</v>
          </cell>
          <cell r="S227">
            <v>306510.12</v>
          </cell>
          <cell r="T227">
            <v>306510.12</v>
          </cell>
          <cell r="U227">
            <v>306510.12</v>
          </cell>
          <cell r="V227">
            <v>306510.12</v>
          </cell>
          <cell r="W227">
            <v>308124.48</v>
          </cell>
          <cell r="X227">
            <v>294124.48</v>
          </cell>
          <cell r="Y227">
            <v>294124.48</v>
          </cell>
          <cell r="Z227">
            <v>294124.48</v>
          </cell>
          <cell r="AA227">
            <v>294124.48</v>
          </cell>
          <cell r="AB227">
            <v>294124.48</v>
          </cell>
          <cell r="AC227">
            <v>294124.48</v>
          </cell>
        </row>
        <row r="228">
          <cell r="A228">
            <v>202040101001</v>
          </cell>
          <cell r="B228" t="str">
            <v xml:space="preserve">Cuentas por Pagar accionistas                                         </v>
          </cell>
          <cell r="C228">
            <v>306510.12</v>
          </cell>
          <cell r="D228">
            <v>0</v>
          </cell>
          <cell r="E228">
            <v>0</v>
          </cell>
          <cell r="F228">
            <v>0</v>
          </cell>
          <cell r="G228">
            <v>0</v>
          </cell>
          <cell r="H228">
            <v>0</v>
          </cell>
          <cell r="I228">
            <v>1614.36</v>
          </cell>
          <cell r="J228">
            <v>-14000</v>
          </cell>
          <cell r="K228">
            <v>0</v>
          </cell>
          <cell r="L228">
            <v>0</v>
          </cell>
          <cell r="M228">
            <v>0</v>
          </cell>
          <cell r="N228">
            <v>0</v>
          </cell>
          <cell r="O228">
            <v>0</v>
          </cell>
          <cell r="P228">
            <v>294124.48</v>
          </cell>
          <cell r="R228">
            <v>306510.12</v>
          </cell>
          <cell r="S228">
            <v>306510.12</v>
          </cell>
          <cell r="T228">
            <v>306510.12</v>
          </cell>
          <cell r="U228">
            <v>306510.12</v>
          </cell>
          <cell r="V228">
            <v>306510.12</v>
          </cell>
          <cell r="W228">
            <v>308124.48</v>
          </cell>
          <cell r="X228">
            <v>294124.48</v>
          </cell>
          <cell r="Y228">
            <v>294124.48</v>
          </cell>
          <cell r="Z228">
            <v>294124.48</v>
          </cell>
          <cell r="AA228">
            <v>294124.48</v>
          </cell>
          <cell r="AB228">
            <v>294124.48</v>
          </cell>
          <cell r="AC228">
            <v>294124.48</v>
          </cell>
        </row>
        <row r="229">
          <cell r="A229">
            <v>20205</v>
          </cell>
          <cell r="B229" t="str">
            <v xml:space="preserve">PROVISION POR BENEFICIOS A EMPLEADOS                                  </v>
          </cell>
          <cell r="C229">
            <v>445540.34</v>
          </cell>
          <cell r="D229">
            <v>5211.79</v>
          </cell>
          <cell r="E229">
            <v>5966.77</v>
          </cell>
          <cell r="F229">
            <v>7007.43</v>
          </cell>
          <cell r="G229">
            <v>7288.42</v>
          </cell>
          <cell r="H229">
            <v>5150.34</v>
          </cell>
          <cell r="I229">
            <v>4340.9799999999996</v>
          </cell>
          <cell r="J229">
            <v>5177.0600000000004</v>
          </cell>
          <cell r="K229">
            <v>3320.72</v>
          </cell>
          <cell r="L229">
            <v>5750.35</v>
          </cell>
          <cell r="M229">
            <v>6550.34</v>
          </cell>
          <cell r="N229">
            <v>6550.35</v>
          </cell>
          <cell r="O229">
            <v>5599.35</v>
          </cell>
          <cell r="P229">
            <v>513454.24</v>
          </cell>
          <cell r="R229">
            <v>450752.13</v>
          </cell>
          <cell r="S229">
            <v>456718.9</v>
          </cell>
          <cell r="T229">
            <v>463726.33</v>
          </cell>
          <cell r="U229">
            <v>471014.75</v>
          </cell>
          <cell r="V229">
            <v>476165.09</v>
          </cell>
          <cell r="W229">
            <v>480506.07</v>
          </cell>
          <cell r="X229">
            <v>485683.13</v>
          </cell>
          <cell r="Y229">
            <v>489003.85</v>
          </cell>
          <cell r="Z229">
            <v>494754.19999999995</v>
          </cell>
          <cell r="AA229">
            <v>501304.54</v>
          </cell>
          <cell r="AB229">
            <v>507854.88999999996</v>
          </cell>
          <cell r="AC229">
            <v>513454.23999999993</v>
          </cell>
        </row>
        <row r="230">
          <cell r="A230">
            <v>2020501</v>
          </cell>
          <cell r="B230" t="str">
            <v xml:space="preserve">JUBILACIÓN PATRONAL                                                   </v>
          </cell>
          <cell r="C230">
            <v>445540.34</v>
          </cell>
          <cell r="D230">
            <v>5211.79</v>
          </cell>
          <cell r="E230">
            <v>5966.77</v>
          </cell>
          <cell r="F230">
            <v>7007.43</v>
          </cell>
          <cell r="G230">
            <v>7288.42</v>
          </cell>
          <cell r="H230">
            <v>5150.34</v>
          </cell>
          <cell r="I230">
            <v>4340.9799999999996</v>
          </cell>
          <cell r="J230">
            <v>5177.0600000000004</v>
          </cell>
          <cell r="K230">
            <v>3320.72</v>
          </cell>
          <cell r="L230">
            <v>5750.35</v>
          </cell>
          <cell r="M230">
            <v>6550.34</v>
          </cell>
          <cell r="N230">
            <v>6550.35</v>
          </cell>
          <cell r="O230">
            <v>5599.35</v>
          </cell>
          <cell r="P230">
            <v>513454.24</v>
          </cell>
          <cell r="R230">
            <v>450752.13</v>
          </cell>
          <cell r="S230">
            <v>456718.9</v>
          </cell>
          <cell r="T230">
            <v>463726.33</v>
          </cell>
          <cell r="U230">
            <v>471014.75</v>
          </cell>
          <cell r="V230">
            <v>476165.09</v>
          </cell>
          <cell r="W230">
            <v>480506.07</v>
          </cell>
          <cell r="X230">
            <v>485683.13</v>
          </cell>
          <cell r="Y230">
            <v>489003.85</v>
          </cell>
          <cell r="Z230">
            <v>494754.19999999995</v>
          </cell>
          <cell r="AA230">
            <v>501304.54</v>
          </cell>
          <cell r="AB230">
            <v>507854.88999999996</v>
          </cell>
          <cell r="AC230">
            <v>513454.23999999993</v>
          </cell>
        </row>
        <row r="231">
          <cell r="A231">
            <v>202050101</v>
          </cell>
          <cell r="B231" t="str">
            <v xml:space="preserve">JUBILACIÓN PATRONAL                                                   </v>
          </cell>
          <cell r="C231">
            <v>445540.34</v>
          </cell>
          <cell r="D231">
            <v>5211.79</v>
          </cell>
          <cell r="E231">
            <v>5966.77</v>
          </cell>
          <cell r="F231">
            <v>7007.43</v>
          </cell>
          <cell r="G231">
            <v>7288.42</v>
          </cell>
          <cell r="H231">
            <v>5150.34</v>
          </cell>
          <cell r="I231">
            <v>4340.9799999999996</v>
          </cell>
          <cell r="J231">
            <v>5177.0600000000004</v>
          </cell>
          <cell r="K231">
            <v>3320.72</v>
          </cell>
          <cell r="L231">
            <v>5750.35</v>
          </cell>
          <cell r="M231">
            <v>6550.34</v>
          </cell>
          <cell r="N231">
            <v>6550.35</v>
          </cell>
          <cell r="O231">
            <v>5599.35</v>
          </cell>
          <cell r="P231">
            <v>513454.24</v>
          </cell>
          <cell r="R231">
            <v>450752.13</v>
          </cell>
          <cell r="S231">
            <v>456718.9</v>
          </cell>
          <cell r="T231">
            <v>463726.33</v>
          </cell>
          <cell r="U231">
            <v>471014.75</v>
          </cell>
          <cell r="V231">
            <v>476165.09</v>
          </cell>
          <cell r="W231">
            <v>480506.07</v>
          </cell>
          <cell r="X231">
            <v>485683.13</v>
          </cell>
          <cell r="Y231">
            <v>489003.85</v>
          </cell>
          <cell r="Z231">
            <v>494754.19999999995</v>
          </cell>
          <cell r="AA231">
            <v>501304.54</v>
          </cell>
          <cell r="AB231">
            <v>507854.88999999996</v>
          </cell>
          <cell r="AC231">
            <v>513454.23999999993</v>
          </cell>
        </row>
        <row r="232">
          <cell r="A232">
            <v>202050101001</v>
          </cell>
          <cell r="B232" t="str">
            <v xml:space="preserve">Jubiliación Patronal                                                  </v>
          </cell>
          <cell r="C232">
            <v>335648.34</v>
          </cell>
          <cell r="D232">
            <v>5522.08</v>
          </cell>
          <cell r="E232">
            <v>5522.08</v>
          </cell>
          <cell r="F232">
            <v>5522.08</v>
          </cell>
          <cell r="G232">
            <v>5522.08</v>
          </cell>
          <cell r="H232">
            <v>4935.9799999999996</v>
          </cell>
          <cell r="I232">
            <v>4935.9799999999996</v>
          </cell>
          <cell r="J232">
            <v>4935.9799999999996</v>
          </cell>
          <cell r="K232">
            <v>4935.9799999999996</v>
          </cell>
          <cell r="L232">
            <v>4935.99</v>
          </cell>
          <cell r="M232">
            <v>4935.99</v>
          </cell>
          <cell r="N232">
            <v>4935.99</v>
          </cell>
          <cell r="O232">
            <v>4935.99</v>
          </cell>
          <cell r="P232">
            <v>397224.54</v>
          </cell>
          <cell r="R232">
            <v>341170.42000000004</v>
          </cell>
          <cell r="S232">
            <v>346692.50000000006</v>
          </cell>
          <cell r="T232">
            <v>352214.58000000007</v>
          </cell>
          <cell r="U232">
            <v>357736.66000000009</v>
          </cell>
          <cell r="V232">
            <v>362672.64000000007</v>
          </cell>
          <cell r="W232">
            <v>367608.62000000005</v>
          </cell>
          <cell r="X232">
            <v>372544.60000000003</v>
          </cell>
          <cell r="Y232">
            <v>377480.58</v>
          </cell>
          <cell r="Z232">
            <v>382416.57</v>
          </cell>
          <cell r="AA232">
            <v>387352.56</v>
          </cell>
          <cell r="AB232">
            <v>392288.55</v>
          </cell>
          <cell r="AC232">
            <v>397224.54</v>
          </cell>
        </row>
        <row r="233">
          <cell r="A233">
            <v>202050101002</v>
          </cell>
          <cell r="B233" t="str">
            <v xml:space="preserve">Desahucio                                                             </v>
          </cell>
          <cell r="C233">
            <v>109892</v>
          </cell>
          <cell r="D233">
            <v>-310.29000000000002</v>
          </cell>
          <cell r="E233">
            <v>444.69</v>
          </cell>
          <cell r="F233">
            <v>1485.35</v>
          </cell>
          <cell r="G233">
            <v>1766.34</v>
          </cell>
          <cell r="H233">
            <v>214.36</v>
          </cell>
          <cell r="I233">
            <v>-595</v>
          </cell>
          <cell r="J233">
            <v>241.08</v>
          </cell>
          <cell r="K233">
            <v>-1615.26</v>
          </cell>
          <cell r="L233">
            <v>814.36</v>
          </cell>
          <cell r="M233">
            <v>1614.35</v>
          </cell>
          <cell r="N233">
            <v>1614.36</v>
          </cell>
          <cell r="O233">
            <v>663.36</v>
          </cell>
          <cell r="P233">
            <v>116229.7</v>
          </cell>
          <cell r="R233">
            <v>109581.71</v>
          </cell>
          <cell r="S233">
            <v>110026.40000000001</v>
          </cell>
          <cell r="T233">
            <v>111511.75000000001</v>
          </cell>
          <cell r="U233">
            <v>113278.09000000001</v>
          </cell>
          <cell r="V233">
            <v>113492.45000000001</v>
          </cell>
          <cell r="W233">
            <v>112897.45000000001</v>
          </cell>
          <cell r="X233">
            <v>113138.53000000001</v>
          </cell>
          <cell r="Y233">
            <v>111523.27000000002</v>
          </cell>
          <cell r="Z233">
            <v>112337.63000000002</v>
          </cell>
          <cell r="AA233">
            <v>113951.98000000003</v>
          </cell>
          <cell r="AB233">
            <v>115566.34000000003</v>
          </cell>
          <cell r="AC233">
            <v>116229.70000000003</v>
          </cell>
        </row>
        <row r="234">
          <cell r="A234">
            <v>3</v>
          </cell>
          <cell r="B234" t="str">
            <v xml:space="preserve">PATRIMONIO NETO                                                       </v>
          </cell>
          <cell r="C234">
            <v>10623341.859999999</v>
          </cell>
          <cell r="D234">
            <v>-536930.74</v>
          </cell>
          <cell r="E234">
            <v>0</v>
          </cell>
          <cell r="F234">
            <v>0</v>
          </cell>
          <cell r="G234">
            <v>0</v>
          </cell>
          <cell r="H234">
            <v>0</v>
          </cell>
          <cell r="I234">
            <v>0</v>
          </cell>
          <cell r="J234">
            <v>0</v>
          </cell>
          <cell r="K234">
            <v>0</v>
          </cell>
          <cell r="L234">
            <v>0</v>
          </cell>
          <cell r="M234">
            <v>1154868.42</v>
          </cell>
          <cell r="N234">
            <v>0</v>
          </cell>
          <cell r="O234">
            <v>950000</v>
          </cell>
          <cell r="P234">
            <v>12191279.539999999</v>
          </cell>
          <cell r="R234">
            <v>10086411.119999999</v>
          </cell>
          <cell r="S234">
            <v>10086411.119999999</v>
          </cell>
          <cell r="T234">
            <v>10086411.119999999</v>
          </cell>
          <cell r="U234">
            <v>10086411.119999999</v>
          </cell>
          <cell r="V234">
            <v>10086411.119999999</v>
          </cell>
          <cell r="W234">
            <v>10086411.119999999</v>
          </cell>
          <cell r="X234">
            <v>10086411.119999999</v>
          </cell>
          <cell r="Y234">
            <v>10086411.119999999</v>
          </cell>
          <cell r="Z234">
            <v>10086411.119999999</v>
          </cell>
          <cell r="AA234">
            <v>11241279.539999999</v>
          </cell>
          <cell r="AB234">
            <v>11241279.539999999</v>
          </cell>
          <cell r="AC234">
            <v>12191279.539999999</v>
          </cell>
        </row>
        <row r="235">
          <cell r="A235">
            <v>301</v>
          </cell>
          <cell r="B235" t="str">
            <v xml:space="preserve">CAPITAL                                                               </v>
          </cell>
          <cell r="C235">
            <v>1608300</v>
          </cell>
          <cell r="D235">
            <v>0</v>
          </cell>
          <cell r="E235">
            <v>0</v>
          </cell>
          <cell r="F235">
            <v>0</v>
          </cell>
          <cell r="G235">
            <v>0</v>
          </cell>
          <cell r="H235">
            <v>0</v>
          </cell>
          <cell r="I235">
            <v>0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  <cell r="N235">
            <v>0</v>
          </cell>
          <cell r="O235">
            <v>0</v>
          </cell>
          <cell r="P235">
            <v>1608300</v>
          </cell>
          <cell r="R235">
            <v>1608300</v>
          </cell>
          <cell r="S235">
            <v>1608300</v>
          </cell>
          <cell r="T235">
            <v>1608300</v>
          </cell>
          <cell r="U235">
            <v>1608300</v>
          </cell>
          <cell r="V235">
            <v>1608300</v>
          </cell>
          <cell r="W235">
            <v>1608300</v>
          </cell>
          <cell r="X235">
            <v>1608300</v>
          </cell>
          <cell r="Y235">
            <v>1608300</v>
          </cell>
          <cell r="Z235">
            <v>1608300</v>
          </cell>
          <cell r="AA235">
            <v>1608300</v>
          </cell>
          <cell r="AB235">
            <v>1608300</v>
          </cell>
          <cell r="AC235">
            <v>1608300</v>
          </cell>
        </row>
        <row r="236">
          <cell r="A236">
            <v>30101</v>
          </cell>
          <cell r="B236" t="str">
            <v xml:space="preserve">CAPITAL SOCIAL                                                        </v>
          </cell>
          <cell r="C236">
            <v>1608300</v>
          </cell>
          <cell r="D236">
            <v>0</v>
          </cell>
          <cell r="E236">
            <v>0</v>
          </cell>
          <cell r="F236">
            <v>0</v>
          </cell>
          <cell r="G236">
            <v>0</v>
          </cell>
          <cell r="H236">
            <v>0</v>
          </cell>
          <cell r="I236">
            <v>0</v>
          </cell>
          <cell r="J236">
            <v>0</v>
          </cell>
          <cell r="K236">
            <v>0</v>
          </cell>
          <cell r="L236">
            <v>0</v>
          </cell>
          <cell r="M236">
            <v>0</v>
          </cell>
          <cell r="N236">
            <v>0</v>
          </cell>
          <cell r="O236">
            <v>0</v>
          </cell>
          <cell r="P236">
            <v>1608300</v>
          </cell>
          <cell r="R236">
            <v>1608300</v>
          </cell>
          <cell r="S236">
            <v>1608300</v>
          </cell>
          <cell r="T236">
            <v>1608300</v>
          </cell>
          <cell r="U236">
            <v>1608300</v>
          </cell>
          <cell r="V236">
            <v>1608300</v>
          </cell>
          <cell r="W236">
            <v>1608300</v>
          </cell>
          <cell r="X236">
            <v>1608300</v>
          </cell>
          <cell r="Y236">
            <v>1608300</v>
          </cell>
          <cell r="Z236">
            <v>1608300</v>
          </cell>
          <cell r="AA236">
            <v>1608300</v>
          </cell>
          <cell r="AB236">
            <v>1608300</v>
          </cell>
          <cell r="AC236">
            <v>1608300</v>
          </cell>
        </row>
        <row r="237">
          <cell r="A237">
            <v>3010101</v>
          </cell>
          <cell r="B237" t="str">
            <v xml:space="preserve">CAPITAL SOCIAL                                                        </v>
          </cell>
          <cell r="C237">
            <v>1608300</v>
          </cell>
          <cell r="D237">
            <v>0</v>
          </cell>
          <cell r="E237">
            <v>0</v>
          </cell>
          <cell r="F237">
            <v>0</v>
          </cell>
          <cell r="G237">
            <v>0</v>
          </cell>
          <cell r="H237">
            <v>0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  <cell r="M237">
            <v>0</v>
          </cell>
          <cell r="N237">
            <v>0</v>
          </cell>
          <cell r="O237">
            <v>0</v>
          </cell>
          <cell r="P237">
            <v>1608300</v>
          </cell>
          <cell r="R237">
            <v>1608300</v>
          </cell>
          <cell r="S237">
            <v>1608300</v>
          </cell>
          <cell r="T237">
            <v>1608300</v>
          </cell>
          <cell r="U237">
            <v>1608300</v>
          </cell>
          <cell r="V237">
            <v>1608300</v>
          </cell>
          <cell r="W237">
            <v>1608300</v>
          </cell>
          <cell r="X237">
            <v>1608300</v>
          </cell>
          <cell r="Y237">
            <v>1608300</v>
          </cell>
          <cell r="Z237">
            <v>1608300</v>
          </cell>
          <cell r="AA237">
            <v>1608300</v>
          </cell>
          <cell r="AB237">
            <v>1608300</v>
          </cell>
          <cell r="AC237">
            <v>1608300</v>
          </cell>
        </row>
        <row r="238">
          <cell r="A238">
            <v>301010101</v>
          </cell>
          <cell r="B238" t="str">
            <v xml:space="preserve">CAPITAL SOCIAL                                                        </v>
          </cell>
          <cell r="C238">
            <v>1608300</v>
          </cell>
          <cell r="D238">
            <v>0</v>
          </cell>
          <cell r="E238">
            <v>0</v>
          </cell>
          <cell r="F238">
            <v>0</v>
          </cell>
          <cell r="G238">
            <v>0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  <cell r="N238">
            <v>0</v>
          </cell>
          <cell r="O238">
            <v>0</v>
          </cell>
          <cell r="P238">
            <v>1608300</v>
          </cell>
          <cell r="R238">
            <v>1608300</v>
          </cell>
          <cell r="S238">
            <v>1608300</v>
          </cell>
          <cell r="T238">
            <v>1608300</v>
          </cell>
          <cell r="U238">
            <v>1608300</v>
          </cell>
          <cell r="V238">
            <v>1608300</v>
          </cell>
          <cell r="W238">
            <v>1608300</v>
          </cell>
          <cell r="X238">
            <v>1608300</v>
          </cell>
          <cell r="Y238">
            <v>1608300</v>
          </cell>
          <cell r="Z238">
            <v>1608300</v>
          </cell>
          <cell r="AA238">
            <v>1608300</v>
          </cell>
          <cell r="AB238">
            <v>1608300</v>
          </cell>
          <cell r="AC238">
            <v>1608300</v>
          </cell>
        </row>
        <row r="239">
          <cell r="A239">
            <v>301010101001</v>
          </cell>
          <cell r="B239" t="str">
            <v xml:space="preserve">Captial Social                                                        </v>
          </cell>
          <cell r="C239">
            <v>1608300</v>
          </cell>
          <cell r="D239">
            <v>0</v>
          </cell>
          <cell r="E239">
            <v>0</v>
          </cell>
          <cell r="F239">
            <v>0</v>
          </cell>
          <cell r="G239">
            <v>0</v>
          </cell>
          <cell r="H239">
            <v>0</v>
          </cell>
          <cell r="I239">
            <v>0</v>
          </cell>
          <cell r="J239">
            <v>0</v>
          </cell>
          <cell r="K239">
            <v>0</v>
          </cell>
          <cell r="L239">
            <v>0</v>
          </cell>
          <cell r="M239">
            <v>0</v>
          </cell>
          <cell r="N239">
            <v>0</v>
          </cell>
          <cell r="O239">
            <v>0</v>
          </cell>
          <cell r="P239">
            <v>1608300</v>
          </cell>
          <cell r="R239">
            <v>1608300</v>
          </cell>
          <cell r="S239">
            <v>1608300</v>
          </cell>
          <cell r="T239">
            <v>1608300</v>
          </cell>
          <cell r="U239">
            <v>1608300</v>
          </cell>
          <cell r="V239">
            <v>1608300</v>
          </cell>
          <cell r="W239">
            <v>1608300</v>
          </cell>
          <cell r="X239">
            <v>1608300</v>
          </cell>
          <cell r="Y239">
            <v>1608300</v>
          </cell>
          <cell r="Z239">
            <v>1608300</v>
          </cell>
          <cell r="AA239">
            <v>1608300</v>
          </cell>
          <cell r="AB239">
            <v>1608300</v>
          </cell>
          <cell r="AC239">
            <v>1608300</v>
          </cell>
        </row>
        <row r="240">
          <cell r="A240">
            <v>304</v>
          </cell>
          <cell r="B240" t="str">
            <v xml:space="preserve">RESERVAS:                                                             </v>
          </cell>
          <cell r="C240">
            <v>626400.03</v>
          </cell>
          <cell r="D240">
            <v>94398.63</v>
          </cell>
          <cell r="E240">
            <v>0</v>
          </cell>
          <cell r="F240">
            <v>0</v>
          </cell>
          <cell r="G240">
            <v>0</v>
          </cell>
          <cell r="H240">
            <v>0</v>
          </cell>
          <cell r="I240">
            <v>0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  <cell r="N240">
            <v>0</v>
          </cell>
          <cell r="O240">
            <v>0</v>
          </cell>
          <cell r="P240">
            <v>720798.66</v>
          </cell>
          <cell r="R240">
            <v>720798.66</v>
          </cell>
          <cell r="S240">
            <v>720798.66</v>
          </cell>
          <cell r="T240">
            <v>720798.66</v>
          </cell>
          <cell r="U240">
            <v>720798.66</v>
          </cell>
          <cell r="V240">
            <v>720798.66</v>
          </cell>
          <cell r="W240">
            <v>720798.66</v>
          </cell>
          <cell r="X240">
            <v>720798.66</v>
          </cell>
          <cell r="Y240">
            <v>720798.66</v>
          </cell>
          <cell r="Z240">
            <v>720798.66</v>
          </cell>
          <cell r="AA240">
            <v>720798.66</v>
          </cell>
          <cell r="AB240">
            <v>720798.66</v>
          </cell>
          <cell r="AC240">
            <v>720798.66</v>
          </cell>
        </row>
        <row r="241">
          <cell r="A241">
            <v>30401</v>
          </cell>
          <cell r="B241" t="str">
            <v xml:space="preserve">RESERVA LEGAL                                                         </v>
          </cell>
          <cell r="C241">
            <v>619400.47</v>
          </cell>
          <cell r="D241">
            <v>94398.63</v>
          </cell>
          <cell r="E241">
            <v>0</v>
          </cell>
          <cell r="F241">
            <v>0</v>
          </cell>
          <cell r="G241">
            <v>0</v>
          </cell>
          <cell r="H241">
            <v>0</v>
          </cell>
          <cell r="I241">
            <v>0</v>
          </cell>
          <cell r="J241">
            <v>0</v>
          </cell>
          <cell r="K241">
            <v>0</v>
          </cell>
          <cell r="L241">
            <v>0</v>
          </cell>
          <cell r="M241">
            <v>0</v>
          </cell>
          <cell r="N241">
            <v>0</v>
          </cell>
          <cell r="O241">
            <v>0</v>
          </cell>
          <cell r="P241">
            <v>713799.1</v>
          </cell>
          <cell r="R241">
            <v>713799.1</v>
          </cell>
          <cell r="S241">
            <v>713799.1</v>
          </cell>
          <cell r="T241">
            <v>713799.1</v>
          </cell>
          <cell r="U241">
            <v>713799.1</v>
          </cell>
          <cell r="V241">
            <v>713799.1</v>
          </cell>
          <cell r="W241">
            <v>713799.1</v>
          </cell>
          <cell r="X241">
            <v>713799.1</v>
          </cell>
          <cell r="Y241">
            <v>713799.1</v>
          </cell>
          <cell r="Z241">
            <v>713799.1</v>
          </cell>
          <cell r="AA241">
            <v>713799.1</v>
          </cell>
          <cell r="AB241">
            <v>713799.1</v>
          </cell>
          <cell r="AC241">
            <v>713799.1</v>
          </cell>
        </row>
        <row r="242">
          <cell r="A242">
            <v>3040101</v>
          </cell>
          <cell r="B242" t="str">
            <v xml:space="preserve">RESERVA LEGAL                                                         </v>
          </cell>
          <cell r="C242">
            <v>619400.47</v>
          </cell>
          <cell r="D242">
            <v>94398.63</v>
          </cell>
          <cell r="E242">
            <v>0</v>
          </cell>
          <cell r="F242">
            <v>0</v>
          </cell>
          <cell r="G242">
            <v>0</v>
          </cell>
          <cell r="H242">
            <v>0</v>
          </cell>
          <cell r="I242">
            <v>0</v>
          </cell>
          <cell r="J242">
            <v>0</v>
          </cell>
          <cell r="K242">
            <v>0</v>
          </cell>
          <cell r="L242">
            <v>0</v>
          </cell>
          <cell r="M242">
            <v>0</v>
          </cell>
          <cell r="N242">
            <v>0</v>
          </cell>
          <cell r="O242">
            <v>0</v>
          </cell>
          <cell r="P242">
            <v>713799.1</v>
          </cell>
          <cell r="R242">
            <v>713799.1</v>
          </cell>
          <cell r="S242">
            <v>713799.1</v>
          </cell>
          <cell r="T242">
            <v>713799.1</v>
          </cell>
          <cell r="U242">
            <v>713799.1</v>
          </cell>
          <cell r="V242">
            <v>713799.1</v>
          </cell>
          <cell r="W242">
            <v>713799.1</v>
          </cell>
          <cell r="X242">
            <v>713799.1</v>
          </cell>
          <cell r="Y242">
            <v>713799.1</v>
          </cell>
          <cell r="Z242">
            <v>713799.1</v>
          </cell>
          <cell r="AA242">
            <v>713799.1</v>
          </cell>
          <cell r="AB242">
            <v>713799.1</v>
          </cell>
          <cell r="AC242">
            <v>713799.1</v>
          </cell>
        </row>
        <row r="243">
          <cell r="A243">
            <v>304010101</v>
          </cell>
          <cell r="B243" t="str">
            <v xml:space="preserve">RESERVA LEGAL                                                         </v>
          </cell>
          <cell r="C243">
            <v>619400.47</v>
          </cell>
          <cell r="D243">
            <v>94398.63</v>
          </cell>
          <cell r="E243">
            <v>0</v>
          </cell>
          <cell r="F243">
            <v>0</v>
          </cell>
          <cell r="G243">
            <v>0</v>
          </cell>
          <cell r="H243">
            <v>0</v>
          </cell>
          <cell r="I243">
            <v>0</v>
          </cell>
          <cell r="J243">
            <v>0</v>
          </cell>
          <cell r="K243">
            <v>0</v>
          </cell>
          <cell r="L243">
            <v>0</v>
          </cell>
          <cell r="M243">
            <v>0</v>
          </cell>
          <cell r="N243">
            <v>0</v>
          </cell>
          <cell r="O243">
            <v>0</v>
          </cell>
          <cell r="P243">
            <v>713799.1</v>
          </cell>
          <cell r="R243">
            <v>713799.1</v>
          </cell>
          <cell r="S243">
            <v>713799.1</v>
          </cell>
          <cell r="T243">
            <v>713799.1</v>
          </cell>
          <cell r="U243">
            <v>713799.1</v>
          </cell>
          <cell r="V243">
            <v>713799.1</v>
          </cell>
          <cell r="W243">
            <v>713799.1</v>
          </cell>
          <cell r="X243">
            <v>713799.1</v>
          </cell>
          <cell r="Y243">
            <v>713799.1</v>
          </cell>
          <cell r="Z243">
            <v>713799.1</v>
          </cell>
          <cell r="AA243">
            <v>713799.1</v>
          </cell>
          <cell r="AB243">
            <v>713799.1</v>
          </cell>
          <cell r="AC243">
            <v>713799.1</v>
          </cell>
        </row>
        <row r="244">
          <cell r="A244">
            <v>304010101001</v>
          </cell>
          <cell r="B244" t="str">
            <v xml:space="preserve">Reserva Legal                                                         </v>
          </cell>
          <cell r="C244">
            <v>619400.47</v>
          </cell>
          <cell r="D244">
            <v>94398.63</v>
          </cell>
          <cell r="E244">
            <v>0</v>
          </cell>
          <cell r="F244">
            <v>0</v>
          </cell>
          <cell r="G244">
            <v>0</v>
          </cell>
          <cell r="H244">
            <v>0</v>
          </cell>
          <cell r="I244">
            <v>0</v>
          </cell>
          <cell r="J244">
            <v>0</v>
          </cell>
          <cell r="K244">
            <v>0</v>
          </cell>
          <cell r="L244">
            <v>0</v>
          </cell>
          <cell r="M244">
            <v>0</v>
          </cell>
          <cell r="N244">
            <v>0</v>
          </cell>
          <cell r="O244">
            <v>0</v>
          </cell>
          <cell r="P244">
            <v>713799.1</v>
          </cell>
          <cell r="R244">
            <v>713799.1</v>
          </cell>
          <cell r="S244">
            <v>713799.1</v>
          </cell>
          <cell r="T244">
            <v>713799.1</v>
          </cell>
          <cell r="U244">
            <v>713799.1</v>
          </cell>
          <cell r="V244">
            <v>713799.1</v>
          </cell>
          <cell r="W244">
            <v>713799.1</v>
          </cell>
          <cell r="X244">
            <v>713799.1</v>
          </cell>
          <cell r="Y244">
            <v>713799.1</v>
          </cell>
          <cell r="Z244">
            <v>713799.1</v>
          </cell>
          <cell r="AA244">
            <v>713799.1</v>
          </cell>
          <cell r="AB244">
            <v>713799.1</v>
          </cell>
          <cell r="AC244">
            <v>713799.1</v>
          </cell>
        </row>
        <row r="245">
          <cell r="A245">
            <v>30402</v>
          </cell>
          <cell r="B245" t="str">
            <v xml:space="preserve">RESERVAS FACULTATIVA Y ESTATUTARIA                                    </v>
          </cell>
          <cell r="C245">
            <v>6999.56</v>
          </cell>
          <cell r="D245">
            <v>0</v>
          </cell>
          <cell r="E245">
            <v>0</v>
          </cell>
          <cell r="F245">
            <v>0</v>
          </cell>
          <cell r="G245">
            <v>0</v>
          </cell>
          <cell r="H245">
            <v>0</v>
          </cell>
          <cell r="I245">
            <v>0</v>
          </cell>
          <cell r="J245">
            <v>0</v>
          </cell>
          <cell r="K245">
            <v>0</v>
          </cell>
          <cell r="L245">
            <v>0</v>
          </cell>
          <cell r="M245">
            <v>0</v>
          </cell>
          <cell r="N245">
            <v>0</v>
          </cell>
          <cell r="O245">
            <v>0</v>
          </cell>
          <cell r="P245">
            <v>6999.56</v>
          </cell>
          <cell r="R245">
            <v>6999.56</v>
          </cell>
          <cell r="S245">
            <v>6999.56</v>
          </cell>
          <cell r="T245">
            <v>6999.56</v>
          </cell>
          <cell r="U245">
            <v>6999.56</v>
          </cell>
          <cell r="V245">
            <v>6999.56</v>
          </cell>
          <cell r="W245">
            <v>6999.56</v>
          </cell>
          <cell r="X245">
            <v>6999.56</v>
          </cell>
          <cell r="Y245">
            <v>6999.56</v>
          </cell>
          <cell r="Z245">
            <v>6999.56</v>
          </cell>
          <cell r="AA245">
            <v>6999.56</v>
          </cell>
          <cell r="AB245">
            <v>6999.56</v>
          </cell>
          <cell r="AC245">
            <v>6999.56</v>
          </cell>
        </row>
        <row r="246">
          <cell r="A246">
            <v>3040201</v>
          </cell>
          <cell r="B246" t="str">
            <v xml:space="preserve">RESERVA FACULTATIVA Y ESTATUTARIA                                     </v>
          </cell>
          <cell r="C246">
            <v>6999.56</v>
          </cell>
          <cell r="D246">
            <v>0</v>
          </cell>
          <cell r="E246">
            <v>0</v>
          </cell>
          <cell r="F246">
            <v>0</v>
          </cell>
          <cell r="G246">
            <v>0</v>
          </cell>
          <cell r="H246">
            <v>0</v>
          </cell>
          <cell r="I246">
            <v>0</v>
          </cell>
          <cell r="J246">
            <v>0</v>
          </cell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O246">
            <v>0</v>
          </cell>
          <cell r="P246">
            <v>6999.56</v>
          </cell>
          <cell r="R246">
            <v>6999.56</v>
          </cell>
          <cell r="S246">
            <v>6999.56</v>
          </cell>
          <cell r="T246">
            <v>6999.56</v>
          </cell>
          <cell r="U246">
            <v>6999.56</v>
          </cell>
          <cell r="V246">
            <v>6999.56</v>
          </cell>
          <cell r="W246">
            <v>6999.56</v>
          </cell>
          <cell r="X246">
            <v>6999.56</v>
          </cell>
          <cell r="Y246">
            <v>6999.56</v>
          </cell>
          <cell r="Z246">
            <v>6999.56</v>
          </cell>
          <cell r="AA246">
            <v>6999.56</v>
          </cell>
          <cell r="AB246">
            <v>6999.56</v>
          </cell>
          <cell r="AC246">
            <v>6999.56</v>
          </cell>
        </row>
        <row r="247">
          <cell r="A247">
            <v>304020101</v>
          </cell>
          <cell r="B247" t="str">
            <v xml:space="preserve">RESEVA FACULTATIVA Y ESTATUTARIA                                      </v>
          </cell>
          <cell r="C247">
            <v>6999.56</v>
          </cell>
          <cell r="D247">
            <v>0</v>
          </cell>
          <cell r="E247">
            <v>0</v>
          </cell>
          <cell r="F247">
            <v>0</v>
          </cell>
          <cell r="G247">
            <v>0</v>
          </cell>
          <cell r="H247">
            <v>0</v>
          </cell>
          <cell r="I247">
            <v>0</v>
          </cell>
          <cell r="J247">
            <v>0</v>
          </cell>
          <cell r="K247">
            <v>0</v>
          </cell>
          <cell r="L247">
            <v>0</v>
          </cell>
          <cell r="M247">
            <v>0</v>
          </cell>
          <cell r="N247">
            <v>0</v>
          </cell>
          <cell r="O247">
            <v>0</v>
          </cell>
          <cell r="P247">
            <v>6999.56</v>
          </cell>
          <cell r="R247">
            <v>6999.56</v>
          </cell>
          <cell r="S247">
            <v>6999.56</v>
          </cell>
          <cell r="T247">
            <v>6999.56</v>
          </cell>
          <cell r="U247">
            <v>6999.56</v>
          </cell>
          <cell r="V247">
            <v>6999.56</v>
          </cell>
          <cell r="W247">
            <v>6999.56</v>
          </cell>
          <cell r="X247">
            <v>6999.56</v>
          </cell>
          <cell r="Y247">
            <v>6999.56</v>
          </cell>
          <cell r="Z247">
            <v>6999.56</v>
          </cell>
          <cell r="AA247">
            <v>6999.56</v>
          </cell>
          <cell r="AB247">
            <v>6999.56</v>
          </cell>
          <cell r="AC247">
            <v>6999.56</v>
          </cell>
        </row>
        <row r="248">
          <cell r="A248">
            <v>304020101001</v>
          </cell>
          <cell r="B248" t="str">
            <v xml:space="preserve">Reserva Facultativa y Estatutaria                                     </v>
          </cell>
          <cell r="C248">
            <v>6999.56</v>
          </cell>
          <cell r="D248">
            <v>0</v>
          </cell>
          <cell r="E248">
            <v>0</v>
          </cell>
          <cell r="F248">
            <v>0</v>
          </cell>
          <cell r="G248">
            <v>0</v>
          </cell>
          <cell r="H248">
            <v>0</v>
          </cell>
          <cell r="I248">
            <v>0</v>
          </cell>
          <cell r="J248">
            <v>0</v>
          </cell>
          <cell r="K248">
            <v>0</v>
          </cell>
          <cell r="L248">
            <v>0</v>
          </cell>
          <cell r="M248">
            <v>0</v>
          </cell>
          <cell r="N248">
            <v>0</v>
          </cell>
          <cell r="O248">
            <v>0</v>
          </cell>
          <cell r="P248">
            <v>6999.56</v>
          </cell>
          <cell r="R248">
            <v>6999.56</v>
          </cell>
          <cell r="S248">
            <v>6999.56</v>
          </cell>
          <cell r="T248">
            <v>6999.56</v>
          </cell>
          <cell r="U248">
            <v>6999.56</v>
          </cell>
          <cell r="V248">
            <v>6999.56</v>
          </cell>
          <cell r="W248">
            <v>6999.56</v>
          </cell>
          <cell r="X248">
            <v>6999.56</v>
          </cell>
          <cell r="Y248">
            <v>6999.56</v>
          </cell>
          <cell r="Z248">
            <v>6999.56</v>
          </cell>
          <cell r="AA248">
            <v>6999.56</v>
          </cell>
          <cell r="AB248">
            <v>6999.56</v>
          </cell>
          <cell r="AC248">
            <v>6999.56</v>
          </cell>
        </row>
        <row r="249">
          <cell r="A249">
            <v>305</v>
          </cell>
          <cell r="B249" t="str">
            <v xml:space="preserve">OTROS RESULTADOS INTEGRALES                                           </v>
          </cell>
          <cell r="C249">
            <v>110726.89</v>
          </cell>
          <cell r="D249">
            <v>0</v>
          </cell>
          <cell r="E249">
            <v>0</v>
          </cell>
          <cell r="F249">
            <v>0</v>
          </cell>
          <cell r="G249">
            <v>0</v>
          </cell>
          <cell r="H249">
            <v>0</v>
          </cell>
          <cell r="I249">
            <v>0</v>
          </cell>
          <cell r="J249">
            <v>0</v>
          </cell>
          <cell r="K249">
            <v>0</v>
          </cell>
          <cell r="L249">
            <v>0</v>
          </cell>
          <cell r="M249">
            <v>0</v>
          </cell>
          <cell r="N249">
            <v>0</v>
          </cell>
          <cell r="O249">
            <v>0</v>
          </cell>
          <cell r="P249">
            <v>110726.89</v>
          </cell>
          <cell r="R249">
            <v>110726.89</v>
          </cell>
          <cell r="S249">
            <v>110726.89</v>
          </cell>
          <cell r="T249">
            <v>110726.89</v>
          </cell>
          <cell r="U249">
            <v>110726.89</v>
          </cell>
          <cell r="V249">
            <v>110726.89</v>
          </cell>
          <cell r="W249">
            <v>110726.89</v>
          </cell>
          <cell r="X249">
            <v>110726.89</v>
          </cell>
          <cell r="Y249">
            <v>110726.89</v>
          </cell>
          <cell r="Z249">
            <v>110726.89</v>
          </cell>
          <cell r="AA249">
            <v>110726.89</v>
          </cell>
          <cell r="AB249">
            <v>110726.89</v>
          </cell>
          <cell r="AC249">
            <v>110726.89</v>
          </cell>
        </row>
        <row r="250">
          <cell r="A250">
            <v>30502</v>
          </cell>
          <cell r="B250" t="str">
            <v xml:space="preserve">SUPERAVIT POR REVALUACIÓN DE PROPIEDADES, PLANTA Y EQUIPO             </v>
          </cell>
          <cell r="C250">
            <v>27785.96</v>
          </cell>
          <cell r="D250">
            <v>0</v>
          </cell>
          <cell r="E250">
            <v>0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27785.96</v>
          </cell>
          <cell r="R250">
            <v>27785.96</v>
          </cell>
          <cell r="S250">
            <v>27785.96</v>
          </cell>
          <cell r="T250">
            <v>27785.96</v>
          </cell>
          <cell r="U250">
            <v>27785.96</v>
          </cell>
          <cell r="V250">
            <v>27785.96</v>
          </cell>
          <cell r="W250">
            <v>27785.96</v>
          </cell>
          <cell r="X250">
            <v>27785.96</v>
          </cell>
          <cell r="Y250">
            <v>27785.96</v>
          </cell>
          <cell r="Z250">
            <v>27785.96</v>
          </cell>
          <cell r="AA250">
            <v>27785.96</v>
          </cell>
          <cell r="AB250">
            <v>27785.96</v>
          </cell>
          <cell r="AC250">
            <v>27785.96</v>
          </cell>
        </row>
        <row r="251">
          <cell r="A251">
            <v>3050201</v>
          </cell>
          <cell r="B251" t="str">
            <v xml:space="preserve">SUPERAVIT POR REVALUACIÓN DE PROPIEDADES, PLANTA Y EQUIPO             </v>
          </cell>
          <cell r="C251">
            <v>27785.96</v>
          </cell>
          <cell r="D251">
            <v>0</v>
          </cell>
          <cell r="E251">
            <v>0</v>
          </cell>
          <cell r="F251">
            <v>0</v>
          </cell>
          <cell r="G251">
            <v>0</v>
          </cell>
          <cell r="H251">
            <v>0</v>
          </cell>
          <cell r="I251">
            <v>0</v>
          </cell>
          <cell r="J251">
            <v>0</v>
          </cell>
          <cell r="K251">
            <v>0</v>
          </cell>
          <cell r="L251">
            <v>0</v>
          </cell>
          <cell r="M251">
            <v>0</v>
          </cell>
          <cell r="N251">
            <v>0</v>
          </cell>
          <cell r="O251">
            <v>0</v>
          </cell>
          <cell r="P251">
            <v>27785.96</v>
          </cell>
          <cell r="R251">
            <v>27785.96</v>
          </cell>
          <cell r="S251">
            <v>27785.96</v>
          </cell>
          <cell r="T251">
            <v>27785.96</v>
          </cell>
          <cell r="U251">
            <v>27785.96</v>
          </cell>
          <cell r="V251">
            <v>27785.96</v>
          </cell>
          <cell r="W251">
            <v>27785.96</v>
          </cell>
          <cell r="X251">
            <v>27785.96</v>
          </cell>
          <cell r="Y251">
            <v>27785.96</v>
          </cell>
          <cell r="Z251">
            <v>27785.96</v>
          </cell>
          <cell r="AA251">
            <v>27785.96</v>
          </cell>
          <cell r="AB251">
            <v>27785.96</v>
          </cell>
          <cell r="AC251">
            <v>27785.96</v>
          </cell>
        </row>
        <row r="252">
          <cell r="A252">
            <v>305020101</v>
          </cell>
          <cell r="B252" t="str">
            <v xml:space="preserve">SUPERAVIT POR REVALUACIÓN DE PROPIEDADES, PLANTA Y EQUIPO             </v>
          </cell>
          <cell r="C252">
            <v>27785.96</v>
          </cell>
          <cell r="D252">
            <v>0</v>
          </cell>
          <cell r="E252">
            <v>0</v>
          </cell>
          <cell r="F252">
            <v>0</v>
          </cell>
          <cell r="G252">
            <v>0</v>
          </cell>
          <cell r="H252">
            <v>0</v>
          </cell>
          <cell r="I252">
            <v>0</v>
          </cell>
          <cell r="J252">
            <v>0</v>
          </cell>
          <cell r="K252">
            <v>0</v>
          </cell>
          <cell r="L252">
            <v>0</v>
          </cell>
          <cell r="M252">
            <v>0</v>
          </cell>
          <cell r="N252">
            <v>0</v>
          </cell>
          <cell r="O252">
            <v>0</v>
          </cell>
          <cell r="P252">
            <v>27785.96</v>
          </cell>
          <cell r="R252">
            <v>27785.96</v>
          </cell>
          <cell r="S252">
            <v>27785.96</v>
          </cell>
          <cell r="T252">
            <v>27785.96</v>
          </cell>
          <cell r="U252">
            <v>27785.96</v>
          </cell>
          <cell r="V252">
            <v>27785.96</v>
          </cell>
          <cell r="W252">
            <v>27785.96</v>
          </cell>
          <cell r="X252">
            <v>27785.96</v>
          </cell>
          <cell r="Y252">
            <v>27785.96</v>
          </cell>
          <cell r="Z252">
            <v>27785.96</v>
          </cell>
          <cell r="AA252">
            <v>27785.96</v>
          </cell>
          <cell r="AB252">
            <v>27785.96</v>
          </cell>
          <cell r="AC252">
            <v>27785.96</v>
          </cell>
        </row>
        <row r="253">
          <cell r="A253">
            <v>305020101001</v>
          </cell>
          <cell r="B253" t="str">
            <v xml:space="preserve">superavit por revaluacion de propiedades, planta y equipos            </v>
          </cell>
          <cell r="C253">
            <v>27785.96</v>
          </cell>
          <cell r="D253">
            <v>0</v>
          </cell>
          <cell r="E253">
            <v>0</v>
          </cell>
          <cell r="F253">
            <v>0</v>
          </cell>
          <cell r="G253">
            <v>0</v>
          </cell>
          <cell r="H253">
            <v>0</v>
          </cell>
          <cell r="I253">
            <v>0</v>
          </cell>
          <cell r="J253">
            <v>0</v>
          </cell>
          <cell r="K253">
            <v>0</v>
          </cell>
          <cell r="L253">
            <v>0</v>
          </cell>
          <cell r="M253">
            <v>0</v>
          </cell>
          <cell r="N253">
            <v>0</v>
          </cell>
          <cell r="O253">
            <v>0</v>
          </cell>
          <cell r="P253">
            <v>27785.96</v>
          </cell>
          <cell r="R253">
            <v>27785.96</v>
          </cell>
          <cell r="S253">
            <v>27785.96</v>
          </cell>
          <cell r="T253">
            <v>27785.96</v>
          </cell>
          <cell r="U253">
            <v>27785.96</v>
          </cell>
          <cell r="V253">
            <v>27785.96</v>
          </cell>
          <cell r="W253">
            <v>27785.96</v>
          </cell>
          <cell r="X253">
            <v>27785.96</v>
          </cell>
          <cell r="Y253">
            <v>27785.96</v>
          </cell>
          <cell r="Z253">
            <v>27785.96</v>
          </cell>
          <cell r="AA253">
            <v>27785.96</v>
          </cell>
          <cell r="AB253">
            <v>27785.96</v>
          </cell>
          <cell r="AC253">
            <v>27785.96</v>
          </cell>
        </row>
        <row r="254">
          <cell r="A254">
            <v>30504</v>
          </cell>
          <cell r="B254" t="str">
            <v xml:space="preserve">GANANCIAS Y PÉRDIDAS ACTUARIALES ACUMULADAS                           </v>
          </cell>
          <cell r="C254">
            <v>82940.929999999993</v>
          </cell>
          <cell r="D254">
            <v>0</v>
          </cell>
          <cell r="E254">
            <v>0</v>
          </cell>
          <cell r="F254">
            <v>0</v>
          </cell>
          <cell r="G254">
            <v>0</v>
          </cell>
          <cell r="H254">
            <v>0</v>
          </cell>
          <cell r="I254">
            <v>0</v>
          </cell>
          <cell r="J254">
            <v>0</v>
          </cell>
          <cell r="K254">
            <v>0</v>
          </cell>
          <cell r="L254">
            <v>0</v>
          </cell>
          <cell r="M254">
            <v>0</v>
          </cell>
          <cell r="N254">
            <v>0</v>
          </cell>
          <cell r="O254">
            <v>0</v>
          </cell>
          <cell r="P254">
            <v>82940.929999999993</v>
          </cell>
          <cell r="R254">
            <v>82940.929999999993</v>
          </cell>
          <cell r="S254">
            <v>82940.929999999993</v>
          </cell>
          <cell r="T254">
            <v>82940.929999999993</v>
          </cell>
          <cell r="U254">
            <v>82940.929999999993</v>
          </cell>
          <cell r="V254">
            <v>82940.929999999993</v>
          </cell>
          <cell r="W254">
            <v>82940.929999999993</v>
          </cell>
          <cell r="X254">
            <v>82940.929999999993</v>
          </cell>
          <cell r="Y254">
            <v>82940.929999999993</v>
          </cell>
          <cell r="Z254">
            <v>82940.929999999993</v>
          </cell>
          <cell r="AA254">
            <v>82940.929999999993</v>
          </cell>
          <cell r="AB254">
            <v>82940.929999999993</v>
          </cell>
          <cell r="AC254">
            <v>82940.929999999993</v>
          </cell>
        </row>
        <row r="255">
          <cell r="A255">
            <v>3050401</v>
          </cell>
          <cell r="B255" t="str">
            <v xml:space="preserve">GANANCIAS Y PÉRDIDAS ACTUARIALES ACUMULADAS                           </v>
          </cell>
          <cell r="C255">
            <v>82940.929999999993</v>
          </cell>
          <cell r="D255">
            <v>0</v>
          </cell>
          <cell r="E255">
            <v>0</v>
          </cell>
          <cell r="F255">
            <v>0</v>
          </cell>
          <cell r="G255">
            <v>0</v>
          </cell>
          <cell r="H255">
            <v>0</v>
          </cell>
          <cell r="I255">
            <v>0</v>
          </cell>
          <cell r="J255">
            <v>0</v>
          </cell>
          <cell r="K255">
            <v>0</v>
          </cell>
          <cell r="L255">
            <v>0</v>
          </cell>
          <cell r="M255">
            <v>0</v>
          </cell>
          <cell r="N255">
            <v>0</v>
          </cell>
          <cell r="O255">
            <v>0</v>
          </cell>
          <cell r="P255">
            <v>82940.929999999993</v>
          </cell>
          <cell r="R255">
            <v>82940.929999999993</v>
          </cell>
          <cell r="S255">
            <v>82940.929999999993</v>
          </cell>
          <cell r="T255">
            <v>82940.929999999993</v>
          </cell>
          <cell r="U255">
            <v>82940.929999999993</v>
          </cell>
          <cell r="V255">
            <v>82940.929999999993</v>
          </cell>
          <cell r="W255">
            <v>82940.929999999993</v>
          </cell>
          <cell r="X255">
            <v>82940.929999999993</v>
          </cell>
          <cell r="Y255">
            <v>82940.929999999993</v>
          </cell>
          <cell r="Z255">
            <v>82940.929999999993</v>
          </cell>
          <cell r="AA255">
            <v>82940.929999999993</v>
          </cell>
          <cell r="AB255">
            <v>82940.929999999993</v>
          </cell>
          <cell r="AC255">
            <v>82940.929999999993</v>
          </cell>
        </row>
        <row r="256">
          <cell r="A256">
            <v>305040101</v>
          </cell>
          <cell r="B256" t="str">
            <v xml:space="preserve">GANANCIAS Y PÉRDIDAS ACTUARIALES ACUMULADAS                           </v>
          </cell>
          <cell r="C256">
            <v>82940.929999999993</v>
          </cell>
          <cell r="D256">
            <v>0</v>
          </cell>
          <cell r="E256">
            <v>0</v>
          </cell>
          <cell r="F256">
            <v>0</v>
          </cell>
          <cell r="G256">
            <v>0</v>
          </cell>
          <cell r="H256">
            <v>0</v>
          </cell>
          <cell r="I256">
            <v>0</v>
          </cell>
          <cell r="J256">
            <v>0</v>
          </cell>
          <cell r="K256">
            <v>0</v>
          </cell>
          <cell r="L256">
            <v>0</v>
          </cell>
          <cell r="M256">
            <v>0</v>
          </cell>
          <cell r="N256">
            <v>0</v>
          </cell>
          <cell r="O256">
            <v>0</v>
          </cell>
          <cell r="P256">
            <v>82940.929999999993</v>
          </cell>
          <cell r="R256">
            <v>82940.929999999993</v>
          </cell>
          <cell r="S256">
            <v>82940.929999999993</v>
          </cell>
          <cell r="T256">
            <v>82940.929999999993</v>
          </cell>
          <cell r="U256">
            <v>82940.929999999993</v>
          </cell>
          <cell r="V256">
            <v>82940.929999999993</v>
          </cell>
          <cell r="W256">
            <v>82940.929999999993</v>
          </cell>
          <cell r="X256">
            <v>82940.929999999993</v>
          </cell>
          <cell r="Y256">
            <v>82940.929999999993</v>
          </cell>
          <cell r="Z256">
            <v>82940.929999999993</v>
          </cell>
          <cell r="AA256">
            <v>82940.929999999993</v>
          </cell>
          <cell r="AB256">
            <v>82940.929999999993</v>
          </cell>
          <cell r="AC256">
            <v>82940.929999999993</v>
          </cell>
        </row>
        <row r="257">
          <cell r="A257">
            <v>305040101001</v>
          </cell>
          <cell r="B257" t="str">
            <v xml:space="preserve">Perdidas y ganacias Actuariales reconocidas ORI                       </v>
          </cell>
          <cell r="C257">
            <v>64643.040000000001</v>
          </cell>
          <cell r="D257">
            <v>0</v>
          </cell>
          <cell r="E257">
            <v>0</v>
          </cell>
          <cell r="F257">
            <v>0</v>
          </cell>
          <cell r="G257">
            <v>0</v>
          </cell>
          <cell r="H257">
            <v>0</v>
          </cell>
          <cell r="I257">
            <v>0</v>
          </cell>
          <cell r="J257">
            <v>0</v>
          </cell>
          <cell r="K257">
            <v>0</v>
          </cell>
          <cell r="L257">
            <v>0</v>
          </cell>
          <cell r="M257">
            <v>0</v>
          </cell>
          <cell r="N257">
            <v>0</v>
          </cell>
          <cell r="O257">
            <v>0</v>
          </cell>
          <cell r="P257">
            <v>64643.040000000001</v>
          </cell>
          <cell r="R257">
            <v>64643.040000000001</v>
          </cell>
          <cell r="S257">
            <v>64643.040000000001</v>
          </cell>
          <cell r="T257">
            <v>64643.040000000001</v>
          </cell>
          <cell r="U257">
            <v>64643.040000000001</v>
          </cell>
          <cell r="V257">
            <v>64643.040000000001</v>
          </cell>
          <cell r="W257">
            <v>64643.040000000001</v>
          </cell>
          <cell r="X257">
            <v>64643.040000000001</v>
          </cell>
          <cell r="Y257">
            <v>64643.040000000001</v>
          </cell>
          <cell r="Z257">
            <v>64643.040000000001</v>
          </cell>
          <cell r="AA257">
            <v>64643.040000000001</v>
          </cell>
          <cell r="AB257">
            <v>64643.040000000001</v>
          </cell>
          <cell r="AC257">
            <v>64643.040000000001</v>
          </cell>
        </row>
        <row r="258">
          <cell r="A258">
            <v>305040101002</v>
          </cell>
          <cell r="B258" t="str">
            <v xml:space="preserve">Gasto por Impuesto a la Ganancia Diferido                             </v>
          </cell>
          <cell r="C258">
            <v>18297.89</v>
          </cell>
          <cell r="D258">
            <v>0</v>
          </cell>
          <cell r="E258">
            <v>0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18297.89</v>
          </cell>
          <cell r="R258">
            <v>18297.89</v>
          </cell>
          <cell r="S258">
            <v>18297.89</v>
          </cell>
          <cell r="T258">
            <v>18297.89</v>
          </cell>
          <cell r="U258">
            <v>18297.89</v>
          </cell>
          <cell r="V258">
            <v>18297.89</v>
          </cell>
          <cell r="W258">
            <v>18297.89</v>
          </cell>
          <cell r="X258">
            <v>18297.89</v>
          </cell>
          <cell r="Y258">
            <v>18297.89</v>
          </cell>
          <cell r="Z258">
            <v>18297.89</v>
          </cell>
          <cell r="AA258">
            <v>18297.89</v>
          </cell>
          <cell r="AB258">
            <v>18297.89</v>
          </cell>
          <cell r="AC258">
            <v>18297.89</v>
          </cell>
        </row>
        <row r="259">
          <cell r="A259">
            <v>306</v>
          </cell>
          <cell r="B259" t="str">
            <v xml:space="preserve">RESULTADOS ACUMULADOS                                                 </v>
          </cell>
          <cell r="C259">
            <v>6796997.9500000002</v>
          </cell>
          <cell r="D259">
            <v>849587.62</v>
          </cell>
          <cell r="E259">
            <v>0</v>
          </cell>
          <cell r="F259">
            <v>0</v>
          </cell>
          <cell r="G259">
            <v>0</v>
          </cell>
          <cell r="H259">
            <v>0</v>
          </cell>
          <cell r="I259">
            <v>0</v>
          </cell>
          <cell r="J259">
            <v>0</v>
          </cell>
          <cell r="K259">
            <v>0</v>
          </cell>
          <cell r="L259">
            <v>0</v>
          </cell>
          <cell r="M259">
            <v>1154868.42</v>
          </cell>
          <cell r="N259">
            <v>0</v>
          </cell>
          <cell r="O259">
            <v>950000</v>
          </cell>
          <cell r="P259">
            <v>9751453.9900000002</v>
          </cell>
          <cell r="R259">
            <v>7646585.5700000003</v>
          </cell>
          <cell r="S259">
            <v>7646585.5700000003</v>
          </cell>
          <cell r="T259">
            <v>7646585.5700000003</v>
          </cell>
          <cell r="U259">
            <v>7646585.5700000003</v>
          </cell>
          <cell r="V259">
            <v>7646585.5700000003</v>
          </cell>
          <cell r="W259">
            <v>7646585.5700000003</v>
          </cell>
          <cell r="X259">
            <v>7646585.5700000003</v>
          </cell>
          <cell r="Y259">
            <v>7646585.5700000003</v>
          </cell>
          <cell r="Z259">
            <v>7646585.5700000003</v>
          </cell>
          <cell r="AA259">
            <v>8801453.9900000002</v>
          </cell>
          <cell r="AB259">
            <v>8801453.9900000002</v>
          </cell>
          <cell r="AC259">
            <v>9751453.9900000002</v>
          </cell>
        </row>
        <row r="260">
          <cell r="A260">
            <v>30601</v>
          </cell>
          <cell r="B260" t="str">
            <v xml:space="preserve">RESULTADOS ACUMULADOS                                                 </v>
          </cell>
          <cell r="C260">
            <v>5825659.0800000001</v>
          </cell>
          <cell r="D260">
            <v>849587.62</v>
          </cell>
          <cell r="E260">
            <v>0</v>
          </cell>
          <cell r="F260">
            <v>0</v>
          </cell>
          <cell r="G260">
            <v>0</v>
          </cell>
          <cell r="H260">
            <v>0</v>
          </cell>
          <cell r="I260">
            <v>0</v>
          </cell>
          <cell r="J260">
            <v>0</v>
          </cell>
          <cell r="K260">
            <v>0</v>
          </cell>
          <cell r="L260">
            <v>0</v>
          </cell>
          <cell r="M260">
            <v>1154868.42</v>
          </cell>
          <cell r="N260">
            <v>0</v>
          </cell>
          <cell r="O260">
            <v>950000</v>
          </cell>
          <cell r="P260">
            <v>8780115.1199999992</v>
          </cell>
          <cell r="R260">
            <v>6675246.7000000002</v>
          </cell>
          <cell r="S260">
            <v>6675246.7000000002</v>
          </cell>
          <cell r="T260">
            <v>6675246.7000000002</v>
          </cell>
          <cell r="U260">
            <v>6675246.7000000002</v>
          </cell>
          <cell r="V260">
            <v>6675246.7000000002</v>
          </cell>
          <cell r="W260">
            <v>6675246.7000000002</v>
          </cell>
          <cell r="X260">
            <v>6675246.7000000002</v>
          </cell>
          <cell r="Y260">
            <v>6675246.7000000002</v>
          </cell>
          <cell r="Z260">
            <v>6675246.7000000002</v>
          </cell>
          <cell r="AA260">
            <v>7830115.1200000001</v>
          </cell>
          <cell r="AB260">
            <v>7830115.1200000001</v>
          </cell>
          <cell r="AC260">
            <v>8780115.120000001</v>
          </cell>
        </row>
        <row r="261">
          <cell r="A261">
            <v>3060101</v>
          </cell>
          <cell r="B261" t="str">
            <v xml:space="preserve">RESULTADOS ACUMULADOS                                                 </v>
          </cell>
          <cell r="C261">
            <v>5825659.0800000001</v>
          </cell>
          <cell r="D261">
            <v>849587.62</v>
          </cell>
          <cell r="E261">
            <v>0</v>
          </cell>
          <cell r="F261">
            <v>0</v>
          </cell>
          <cell r="G261">
            <v>0</v>
          </cell>
          <cell r="H261">
            <v>0</v>
          </cell>
          <cell r="I261">
            <v>0</v>
          </cell>
          <cell r="J261">
            <v>0</v>
          </cell>
          <cell r="K261">
            <v>0</v>
          </cell>
          <cell r="L261">
            <v>0</v>
          </cell>
          <cell r="M261">
            <v>1154868.42</v>
          </cell>
          <cell r="N261">
            <v>0</v>
          </cell>
          <cell r="O261">
            <v>950000</v>
          </cell>
          <cell r="P261">
            <v>8780115.1199999992</v>
          </cell>
          <cell r="R261">
            <v>6675246.7000000002</v>
          </cell>
          <cell r="S261">
            <v>6675246.7000000002</v>
          </cell>
          <cell r="T261">
            <v>6675246.7000000002</v>
          </cell>
          <cell r="U261">
            <v>6675246.7000000002</v>
          </cell>
          <cell r="V261">
            <v>6675246.7000000002</v>
          </cell>
          <cell r="W261">
            <v>6675246.7000000002</v>
          </cell>
          <cell r="X261">
            <v>6675246.7000000002</v>
          </cell>
          <cell r="Y261">
            <v>6675246.7000000002</v>
          </cell>
          <cell r="Z261">
            <v>6675246.7000000002</v>
          </cell>
          <cell r="AA261">
            <v>7830115.1200000001</v>
          </cell>
          <cell r="AB261">
            <v>7830115.1200000001</v>
          </cell>
          <cell r="AC261">
            <v>8780115.120000001</v>
          </cell>
        </row>
        <row r="262">
          <cell r="A262">
            <v>306010101</v>
          </cell>
          <cell r="B262" t="str">
            <v xml:space="preserve">UTILIDADES Y/O PERDIDAS DE EJERCICIOS ANTERIORES                      </v>
          </cell>
          <cell r="C262">
            <v>5825659.0800000001</v>
          </cell>
          <cell r="D262">
            <v>849587.62</v>
          </cell>
          <cell r="E262">
            <v>0</v>
          </cell>
          <cell r="F262">
            <v>0</v>
          </cell>
          <cell r="G262">
            <v>0</v>
          </cell>
          <cell r="H262">
            <v>0</v>
          </cell>
          <cell r="I262">
            <v>0</v>
          </cell>
          <cell r="J262">
            <v>0</v>
          </cell>
          <cell r="K262">
            <v>0</v>
          </cell>
          <cell r="L262">
            <v>0</v>
          </cell>
          <cell r="M262">
            <v>1154868.42</v>
          </cell>
          <cell r="N262">
            <v>0</v>
          </cell>
          <cell r="O262">
            <v>950000</v>
          </cell>
          <cell r="P262">
            <v>8780115.1199999992</v>
          </cell>
          <cell r="R262">
            <v>6675246.7000000002</v>
          </cell>
          <cell r="S262">
            <v>6675246.7000000002</v>
          </cell>
          <cell r="T262">
            <v>6675246.7000000002</v>
          </cell>
          <cell r="U262">
            <v>6675246.7000000002</v>
          </cell>
          <cell r="V262">
            <v>6675246.7000000002</v>
          </cell>
          <cell r="W262">
            <v>6675246.7000000002</v>
          </cell>
          <cell r="X262">
            <v>6675246.7000000002</v>
          </cell>
          <cell r="Y262">
            <v>6675246.7000000002</v>
          </cell>
          <cell r="Z262">
            <v>6675246.7000000002</v>
          </cell>
          <cell r="AA262">
            <v>7830115.1200000001</v>
          </cell>
          <cell r="AB262">
            <v>7830115.1200000001</v>
          </cell>
          <cell r="AC262">
            <v>8780115.120000001</v>
          </cell>
        </row>
        <row r="263">
          <cell r="A263">
            <v>306010101001</v>
          </cell>
          <cell r="B263" t="str">
            <v xml:space="preserve">Ganancia Acumulada de Periodo anteriores                              </v>
          </cell>
          <cell r="C263">
            <v>6110564.0700000003</v>
          </cell>
          <cell r="D263">
            <v>849587.62</v>
          </cell>
          <cell r="E263">
            <v>0</v>
          </cell>
          <cell r="F263">
            <v>0</v>
          </cell>
          <cell r="G263">
            <v>0</v>
          </cell>
          <cell r="H263">
            <v>0</v>
          </cell>
          <cell r="I263">
            <v>0</v>
          </cell>
          <cell r="J263">
            <v>0</v>
          </cell>
          <cell r="K263">
            <v>0</v>
          </cell>
          <cell r="L263">
            <v>0</v>
          </cell>
          <cell r="M263">
            <v>0</v>
          </cell>
          <cell r="N263">
            <v>0</v>
          </cell>
          <cell r="O263">
            <v>0</v>
          </cell>
          <cell r="P263">
            <v>6960151.6900000004</v>
          </cell>
          <cell r="R263">
            <v>6960151.6900000004</v>
          </cell>
          <cell r="S263">
            <v>6960151.6900000004</v>
          </cell>
          <cell r="T263">
            <v>6960151.6900000004</v>
          </cell>
          <cell r="U263">
            <v>6960151.6900000004</v>
          </cell>
          <cell r="V263">
            <v>6960151.6900000004</v>
          </cell>
          <cell r="W263">
            <v>6960151.6900000004</v>
          </cell>
          <cell r="X263">
            <v>6960151.6900000004</v>
          </cell>
          <cell r="Y263">
            <v>6960151.6900000004</v>
          </cell>
          <cell r="Z263">
            <v>6960151.6900000004</v>
          </cell>
          <cell r="AA263">
            <v>6960151.6900000004</v>
          </cell>
          <cell r="AB263">
            <v>6960151.6900000004</v>
          </cell>
          <cell r="AC263">
            <v>6960151.6900000004</v>
          </cell>
        </row>
        <row r="264">
          <cell r="A264">
            <v>306010101003</v>
          </cell>
          <cell r="B264" t="str">
            <v xml:space="preserve">Correccion de Resultados años anteriores                              </v>
          </cell>
          <cell r="C264">
            <v>-284904.99</v>
          </cell>
          <cell r="D264">
            <v>0</v>
          </cell>
          <cell r="E264">
            <v>0</v>
          </cell>
          <cell r="F264">
            <v>0</v>
          </cell>
          <cell r="G264">
            <v>0</v>
          </cell>
          <cell r="H264">
            <v>0</v>
          </cell>
          <cell r="I264">
            <v>0</v>
          </cell>
          <cell r="J264">
            <v>0</v>
          </cell>
          <cell r="K264">
            <v>0</v>
          </cell>
          <cell r="L264">
            <v>0</v>
          </cell>
          <cell r="M264">
            <v>1154868.42</v>
          </cell>
          <cell r="N264">
            <v>0</v>
          </cell>
          <cell r="O264">
            <v>950000</v>
          </cell>
          <cell r="P264">
            <v>1819963.43</v>
          </cell>
          <cell r="R264">
            <v>-284904.99</v>
          </cell>
          <cell r="S264">
            <v>-284904.99</v>
          </cell>
          <cell r="T264">
            <v>-284904.99</v>
          </cell>
          <cell r="U264">
            <v>-284904.99</v>
          </cell>
          <cell r="V264">
            <v>-284904.99</v>
          </cell>
          <cell r="W264">
            <v>-284904.99</v>
          </cell>
          <cell r="X264">
            <v>-284904.99</v>
          </cell>
          <cell r="Y264">
            <v>-284904.99</v>
          </cell>
          <cell r="Z264">
            <v>-284904.99</v>
          </cell>
          <cell r="AA264">
            <v>869963.42999999993</v>
          </cell>
          <cell r="AB264">
            <v>869963.42999999993</v>
          </cell>
          <cell r="AC264">
            <v>1819963.43</v>
          </cell>
        </row>
        <row r="265">
          <cell r="A265">
            <v>30602</v>
          </cell>
          <cell r="B265" t="str">
            <v>RESULTADOS ACUMULADOS PROVENIENTES DE LA ADOPCIÓN POR PRIMERA VEZ DE L</v>
          </cell>
          <cell r="C265">
            <v>971338.87</v>
          </cell>
          <cell r="D265">
            <v>0</v>
          </cell>
          <cell r="E265">
            <v>0</v>
          </cell>
          <cell r="F265">
            <v>0</v>
          </cell>
          <cell r="G265">
            <v>0</v>
          </cell>
          <cell r="H265">
            <v>0</v>
          </cell>
          <cell r="I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  <cell r="N265">
            <v>0</v>
          </cell>
          <cell r="O265">
            <v>0</v>
          </cell>
          <cell r="P265">
            <v>971338.87</v>
          </cell>
          <cell r="R265">
            <v>971338.87</v>
          </cell>
          <cell r="S265">
            <v>971338.87</v>
          </cell>
          <cell r="T265">
            <v>971338.87</v>
          </cell>
          <cell r="U265">
            <v>971338.87</v>
          </cell>
          <cell r="V265">
            <v>971338.87</v>
          </cell>
          <cell r="W265">
            <v>971338.87</v>
          </cell>
          <cell r="X265">
            <v>971338.87</v>
          </cell>
          <cell r="Y265">
            <v>971338.87</v>
          </cell>
          <cell r="Z265">
            <v>971338.87</v>
          </cell>
          <cell r="AA265">
            <v>971338.87</v>
          </cell>
          <cell r="AB265">
            <v>971338.87</v>
          </cell>
          <cell r="AC265">
            <v>971338.87</v>
          </cell>
        </row>
        <row r="266">
          <cell r="A266">
            <v>3060201</v>
          </cell>
          <cell r="B266" t="str">
            <v>RESULTADOS ACUMULADOS PROVENIENTES DE LA ADOPCIÓN POR PRIMERA VEZ DE L</v>
          </cell>
          <cell r="C266">
            <v>971338.87</v>
          </cell>
          <cell r="D266">
            <v>0</v>
          </cell>
          <cell r="E266">
            <v>0</v>
          </cell>
          <cell r="F266">
            <v>0</v>
          </cell>
          <cell r="G266">
            <v>0</v>
          </cell>
          <cell r="H266">
            <v>0</v>
          </cell>
          <cell r="I266">
            <v>0</v>
          </cell>
          <cell r="J266">
            <v>0</v>
          </cell>
          <cell r="K266">
            <v>0</v>
          </cell>
          <cell r="L266">
            <v>0</v>
          </cell>
          <cell r="M266">
            <v>0</v>
          </cell>
          <cell r="N266">
            <v>0</v>
          </cell>
          <cell r="O266">
            <v>0</v>
          </cell>
          <cell r="P266">
            <v>971338.87</v>
          </cell>
          <cell r="R266">
            <v>971338.87</v>
          </cell>
          <cell r="S266">
            <v>971338.87</v>
          </cell>
          <cell r="T266">
            <v>971338.87</v>
          </cell>
          <cell r="U266">
            <v>971338.87</v>
          </cell>
          <cell r="V266">
            <v>971338.87</v>
          </cell>
          <cell r="W266">
            <v>971338.87</v>
          </cell>
          <cell r="X266">
            <v>971338.87</v>
          </cell>
          <cell r="Y266">
            <v>971338.87</v>
          </cell>
          <cell r="Z266">
            <v>971338.87</v>
          </cell>
          <cell r="AA266">
            <v>971338.87</v>
          </cell>
          <cell r="AB266">
            <v>971338.87</v>
          </cell>
          <cell r="AC266">
            <v>971338.87</v>
          </cell>
        </row>
        <row r="267">
          <cell r="A267">
            <v>306020101</v>
          </cell>
          <cell r="B267" t="str">
            <v>RESULTADOS ACUMULADOS PROVENIENTES DE LA ADOPCIÓN POR PRIMERA VEZ DE L</v>
          </cell>
          <cell r="C267">
            <v>971338.87</v>
          </cell>
          <cell r="D267">
            <v>0</v>
          </cell>
          <cell r="E267">
            <v>0</v>
          </cell>
          <cell r="F267">
            <v>0</v>
          </cell>
          <cell r="G267">
            <v>0</v>
          </cell>
          <cell r="H267">
            <v>0</v>
          </cell>
          <cell r="I267">
            <v>0</v>
          </cell>
          <cell r="J267">
            <v>0</v>
          </cell>
          <cell r="K267">
            <v>0</v>
          </cell>
          <cell r="L267">
            <v>0</v>
          </cell>
          <cell r="M267">
            <v>0</v>
          </cell>
          <cell r="N267">
            <v>0</v>
          </cell>
          <cell r="O267">
            <v>0</v>
          </cell>
          <cell r="P267">
            <v>971338.87</v>
          </cell>
          <cell r="R267">
            <v>971338.87</v>
          </cell>
          <cell r="S267">
            <v>971338.87</v>
          </cell>
          <cell r="T267">
            <v>971338.87</v>
          </cell>
          <cell r="U267">
            <v>971338.87</v>
          </cell>
          <cell r="V267">
            <v>971338.87</v>
          </cell>
          <cell r="W267">
            <v>971338.87</v>
          </cell>
          <cell r="X267">
            <v>971338.87</v>
          </cell>
          <cell r="Y267">
            <v>971338.87</v>
          </cell>
          <cell r="Z267">
            <v>971338.87</v>
          </cell>
          <cell r="AA267">
            <v>971338.87</v>
          </cell>
          <cell r="AB267">
            <v>971338.87</v>
          </cell>
          <cell r="AC267">
            <v>971338.87</v>
          </cell>
        </row>
        <row r="268">
          <cell r="A268">
            <v>306020101001</v>
          </cell>
          <cell r="B268" t="str">
            <v>Resultados Acumulados Provenientes de la Adopción por Primera Vez de l</v>
          </cell>
          <cell r="C268">
            <v>971338.87</v>
          </cell>
          <cell r="D268">
            <v>0</v>
          </cell>
          <cell r="E268">
            <v>0</v>
          </cell>
          <cell r="F268">
            <v>0</v>
          </cell>
          <cell r="G268">
            <v>0</v>
          </cell>
          <cell r="H268">
            <v>0</v>
          </cell>
          <cell r="I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  <cell r="N268">
            <v>0</v>
          </cell>
          <cell r="O268">
            <v>0</v>
          </cell>
          <cell r="P268">
            <v>971338.87</v>
          </cell>
          <cell r="R268">
            <v>971338.87</v>
          </cell>
          <cell r="S268">
            <v>971338.87</v>
          </cell>
          <cell r="T268">
            <v>971338.87</v>
          </cell>
          <cell r="U268">
            <v>971338.87</v>
          </cell>
          <cell r="V268">
            <v>971338.87</v>
          </cell>
          <cell r="W268">
            <v>971338.87</v>
          </cell>
          <cell r="X268">
            <v>971338.87</v>
          </cell>
          <cell r="Y268">
            <v>971338.87</v>
          </cell>
          <cell r="Z268">
            <v>971338.87</v>
          </cell>
          <cell r="AA268">
            <v>971338.87</v>
          </cell>
          <cell r="AB268">
            <v>971338.87</v>
          </cell>
          <cell r="AC268">
            <v>971338.87</v>
          </cell>
        </row>
        <row r="269">
          <cell r="A269">
            <v>307</v>
          </cell>
          <cell r="B269" t="str">
            <v xml:space="preserve">RESULTADO DEL EJERCICIO                                               </v>
          </cell>
          <cell r="C269">
            <v>1480916.99</v>
          </cell>
          <cell r="D269">
            <v>-1480916.99</v>
          </cell>
          <cell r="E269">
            <v>0</v>
          </cell>
          <cell r="F269">
            <v>0</v>
          </cell>
          <cell r="G269">
            <v>0</v>
          </cell>
          <cell r="H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  <cell r="R269">
            <v>315076.27000000142</v>
          </cell>
          <cell r="S269">
            <v>652865.94000000134</v>
          </cell>
          <cell r="T269">
            <v>967187.95000000112</v>
          </cell>
          <cell r="U269">
            <v>1185596.7200000007</v>
          </cell>
          <cell r="V269">
            <v>1488341.1400000025</v>
          </cell>
          <cell r="W269">
            <v>1584846.160000002</v>
          </cell>
          <cell r="X269">
            <v>1806641.5400000028</v>
          </cell>
          <cell r="Y269">
            <v>2416512.2700000014</v>
          </cell>
          <cell r="Z269">
            <v>3027070.5400000028</v>
          </cell>
          <cell r="AA269">
            <v>4561201.6600000039</v>
          </cell>
          <cell r="AB269">
            <v>5538726.8300000057</v>
          </cell>
          <cell r="AC269">
            <v>2108724.150000006</v>
          </cell>
        </row>
        <row r="270">
          <cell r="A270">
            <v>30701</v>
          </cell>
          <cell r="B270" t="str">
            <v xml:space="preserve">RESULTADO DEL EJERCICIO                                               </v>
          </cell>
          <cell r="C270">
            <v>1480916.99</v>
          </cell>
          <cell r="D270">
            <v>-1480916.99</v>
          </cell>
          <cell r="E270">
            <v>0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  <cell r="V270">
            <v>0</v>
          </cell>
          <cell r="W270">
            <v>0</v>
          </cell>
          <cell r="X270">
            <v>0</v>
          </cell>
          <cell r="Y270">
            <v>0</v>
          </cell>
          <cell r="Z270">
            <v>0</v>
          </cell>
          <cell r="AA270">
            <v>0</v>
          </cell>
          <cell r="AB270">
            <v>0</v>
          </cell>
          <cell r="AC270">
            <v>0</v>
          </cell>
        </row>
        <row r="271">
          <cell r="A271">
            <v>3070101</v>
          </cell>
          <cell r="B271" t="str">
            <v xml:space="preserve">RESULTADO DEL EJERCICIO                                               </v>
          </cell>
          <cell r="C271">
            <v>1480916.99</v>
          </cell>
          <cell r="D271">
            <v>-1480916.99</v>
          </cell>
          <cell r="E271">
            <v>0</v>
          </cell>
          <cell r="F271">
            <v>0</v>
          </cell>
          <cell r="G271">
            <v>0</v>
          </cell>
          <cell r="H271">
            <v>0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0</v>
          </cell>
          <cell r="O271">
            <v>0</v>
          </cell>
          <cell r="P271">
            <v>0</v>
          </cell>
          <cell r="R271">
            <v>0</v>
          </cell>
          <cell r="S271">
            <v>0</v>
          </cell>
          <cell r="T271">
            <v>0</v>
          </cell>
          <cell r="U271">
            <v>0</v>
          </cell>
          <cell r="V271">
            <v>0</v>
          </cell>
          <cell r="W271">
            <v>0</v>
          </cell>
          <cell r="X271">
            <v>0</v>
          </cell>
          <cell r="Y271">
            <v>0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</row>
        <row r="272">
          <cell r="A272">
            <v>307010101</v>
          </cell>
          <cell r="B272" t="str">
            <v xml:space="preserve">UTILIDADES Y/O PERDIDAS DE EJERCICIOS ANTERIORES                      </v>
          </cell>
          <cell r="C272">
            <v>1480916.99</v>
          </cell>
          <cell r="D272">
            <v>-1480916.99</v>
          </cell>
          <cell r="E272">
            <v>0</v>
          </cell>
          <cell r="F272">
            <v>0</v>
          </cell>
          <cell r="G272">
            <v>0</v>
          </cell>
          <cell r="H272">
            <v>0</v>
          </cell>
          <cell r="I272">
            <v>0</v>
          </cell>
          <cell r="J272">
            <v>0</v>
          </cell>
          <cell r="K272">
            <v>0</v>
          </cell>
          <cell r="L272">
            <v>0</v>
          </cell>
          <cell r="M272">
            <v>0</v>
          </cell>
          <cell r="N272">
            <v>0</v>
          </cell>
          <cell r="O272">
            <v>0</v>
          </cell>
          <cell r="P272">
            <v>0</v>
          </cell>
          <cell r="R272">
            <v>0</v>
          </cell>
          <cell r="S272">
            <v>0</v>
          </cell>
          <cell r="T272">
            <v>0</v>
          </cell>
          <cell r="U272">
            <v>0</v>
          </cell>
          <cell r="V272">
            <v>0</v>
          </cell>
          <cell r="W272">
            <v>0</v>
          </cell>
          <cell r="X272">
            <v>0</v>
          </cell>
          <cell r="Y272">
            <v>0</v>
          </cell>
          <cell r="Z272">
            <v>0</v>
          </cell>
          <cell r="AA272">
            <v>0</v>
          </cell>
          <cell r="AB272">
            <v>0</v>
          </cell>
          <cell r="AC272">
            <v>0</v>
          </cell>
        </row>
        <row r="273">
          <cell r="A273">
            <v>307010101001</v>
          </cell>
          <cell r="B273" t="str">
            <v xml:space="preserve">Utilidad del Ejercicio Economico Actual                               </v>
          </cell>
          <cell r="C273">
            <v>1480916.99</v>
          </cell>
          <cell r="D273">
            <v>-1480916.99</v>
          </cell>
          <cell r="E273">
            <v>0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  <cell r="O273">
            <v>0</v>
          </cell>
          <cell r="P273">
            <v>0</v>
          </cell>
          <cell r="R273">
            <v>0</v>
          </cell>
          <cell r="S273">
            <v>0</v>
          </cell>
          <cell r="T273">
            <v>0</v>
          </cell>
          <cell r="U273">
            <v>0</v>
          </cell>
          <cell r="V273">
            <v>0</v>
          </cell>
          <cell r="W273">
            <v>0</v>
          </cell>
          <cell r="X273">
            <v>0</v>
          </cell>
          <cell r="Y273">
            <v>0</v>
          </cell>
          <cell r="Z273">
            <v>0</v>
          </cell>
          <cell r="AA273">
            <v>0</v>
          </cell>
          <cell r="AB273">
            <v>0</v>
          </cell>
          <cell r="AC273">
            <v>0</v>
          </cell>
        </row>
        <row r="274">
          <cell r="A274">
            <v>91</v>
          </cell>
          <cell r="B274" t="str">
            <v xml:space="preserve">CUENTAS DE ORDEN DEUDORAS                                             </v>
          </cell>
          <cell r="C274">
            <v>0</v>
          </cell>
          <cell r="D274">
            <v>0</v>
          </cell>
          <cell r="E274">
            <v>0</v>
          </cell>
          <cell r="F274">
            <v>0</v>
          </cell>
          <cell r="G274">
            <v>0</v>
          </cell>
          <cell r="H274">
            <v>0</v>
          </cell>
          <cell r="I274">
            <v>48000</v>
          </cell>
          <cell r="J274">
            <v>0</v>
          </cell>
          <cell r="K274">
            <v>0</v>
          </cell>
          <cell r="L274">
            <v>0</v>
          </cell>
          <cell r="M274">
            <v>0</v>
          </cell>
          <cell r="N274">
            <v>0</v>
          </cell>
          <cell r="O274">
            <v>0</v>
          </cell>
          <cell r="P274">
            <v>48000</v>
          </cell>
          <cell r="R274">
            <v>0</v>
          </cell>
          <cell r="S274">
            <v>0</v>
          </cell>
          <cell r="T274">
            <v>0</v>
          </cell>
          <cell r="U274">
            <v>0</v>
          </cell>
          <cell r="V274">
            <v>0</v>
          </cell>
          <cell r="W274">
            <v>48000</v>
          </cell>
          <cell r="X274">
            <v>48000</v>
          </cell>
          <cell r="Y274">
            <v>48000</v>
          </cell>
          <cell r="Z274">
            <v>48000</v>
          </cell>
          <cell r="AA274">
            <v>48000</v>
          </cell>
          <cell r="AB274">
            <v>48000</v>
          </cell>
          <cell r="AC274">
            <v>48000</v>
          </cell>
        </row>
        <row r="275">
          <cell r="A275">
            <v>9101</v>
          </cell>
          <cell r="B275" t="str">
            <v xml:space="preserve">CUENTAS DE ORDEN DEUDORAS                                             </v>
          </cell>
          <cell r="C275">
            <v>0</v>
          </cell>
          <cell r="D275">
            <v>0</v>
          </cell>
          <cell r="E275">
            <v>0</v>
          </cell>
          <cell r="F275">
            <v>0</v>
          </cell>
          <cell r="G275">
            <v>0</v>
          </cell>
          <cell r="H275">
            <v>0</v>
          </cell>
          <cell r="I275">
            <v>48000</v>
          </cell>
          <cell r="J275">
            <v>0</v>
          </cell>
          <cell r="K275">
            <v>0</v>
          </cell>
          <cell r="L275">
            <v>0</v>
          </cell>
          <cell r="M275">
            <v>0</v>
          </cell>
          <cell r="N275">
            <v>0</v>
          </cell>
          <cell r="O275">
            <v>0</v>
          </cell>
          <cell r="P275">
            <v>48000</v>
          </cell>
          <cell r="R275">
            <v>0</v>
          </cell>
          <cell r="S275">
            <v>0</v>
          </cell>
          <cell r="T275">
            <v>0</v>
          </cell>
          <cell r="U275">
            <v>0</v>
          </cell>
          <cell r="V275">
            <v>0</v>
          </cell>
          <cell r="W275">
            <v>48000</v>
          </cell>
          <cell r="X275">
            <v>48000</v>
          </cell>
          <cell r="Y275">
            <v>48000</v>
          </cell>
          <cell r="Z275">
            <v>48000</v>
          </cell>
          <cell r="AA275">
            <v>48000</v>
          </cell>
          <cell r="AB275">
            <v>48000</v>
          </cell>
          <cell r="AC275">
            <v>48000</v>
          </cell>
        </row>
        <row r="276">
          <cell r="A276">
            <v>910101</v>
          </cell>
          <cell r="B276" t="str">
            <v xml:space="preserve">CUENTAS DE ORDEN DEUDORAS                                             </v>
          </cell>
          <cell r="C276">
            <v>0</v>
          </cell>
          <cell r="D276">
            <v>0</v>
          </cell>
          <cell r="E276">
            <v>0</v>
          </cell>
          <cell r="F276">
            <v>0</v>
          </cell>
          <cell r="G276">
            <v>0</v>
          </cell>
          <cell r="H276">
            <v>0</v>
          </cell>
          <cell r="I276">
            <v>48000</v>
          </cell>
          <cell r="J276">
            <v>0</v>
          </cell>
          <cell r="K276">
            <v>0</v>
          </cell>
          <cell r="L276">
            <v>0</v>
          </cell>
          <cell r="M276">
            <v>0</v>
          </cell>
          <cell r="N276">
            <v>0</v>
          </cell>
          <cell r="O276">
            <v>0</v>
          </cell>
          <cell r="P276">
            <v>48000</v>
          </cell>
          <cell r="R276">
            <v>0</v>
          </cell>
          <cell r="S276">
            <v>0</v>
          </cell>
          <cell r="T276">
            <v>0</v>
          </cell>
          <cell r="U276">
            <v>0</v>
          </cell>
          <cell r="V276">
            <v>0</v>
          </cell>
          <cell r="W276">
            <v>48000</v>
          </cell>
          <cell r="X276">
            <v>48000</v>
          </cell>
          <cell r="Y276">
            <v>48000</v>
          </cell>
          <cell r="Z276">
            <v>48000</v>
          </cell>
          <cell r="AA276">
            <v>48000</v>
          </cell>
          <cell r="AB276">
            <v>48000</v>
          </cell>
          <cell r="AC276">
            <v>48000</v>
          </cell>
        </row>
        <row r="277">
          <cell r="A277">
            <v>9101010001</v>
          </cell>
          <cell r="B277" t="str">
            <v xml:space="preserve">Cheques recibidos en garantía                                         </v>
          </cell>
          <cell r="C277">
            <v>0</v>
          </cell>
          <cell r="D277">
            <v>0</v>
          </cell>
          <cell r="E277">
            <v>0</v>
          </cell>
          <cell r="F277">
            <v>0</v>
          </cell>
          <cell r="G277">
            <v>0</v>
          </cell>
          <cell r="H277">
            <v>0</v>
          </cell>
          <cell r="I277">
            <v>48000</v>
          </cell>
          <cell r="J277">
            <v>0</v>
          </cell>
          <cell r="K277">
            <v>0</v>
          </cell>
          <cell r="L277">
            <v>0</v>
          </cell>
          <cell r="M277">
            <v>0</v>
          </cell>
          <cell r="N277">
            <v>0</v>
          </cell>
          <cell r="O277">
            <v>0</v>
          </cell>
          <cell r="P277">
            <v>48000</v>
          </cell>
          <cell r="R277">
            <v>0</v>
          </cell>
          <cell r="S277">
            <v>0</v>
          </cell>
          <cell r="T277">
            <v>0</v>
          </cell>
          <cell r="U277">
            <v>0</v>
          </cell>
          <cell r="V277">
            <v>0</v>
          </cell>
          <cell r="W277">
            <v>48000</v>
          </cell>
          <cell r="X277">
            <v>48000</v>
          </cell>
          <cell r="Y277">
            <v>48000</v>
          </cell>
          <cell r="Z277">
            <v>48000</v>
          </cell>
          <cell r="AA277">
            <v>48000</v>
          </cell>
          <cell r="AB277">
            <v>48000</v>
          </cell>
          <cell r="AC277">
            <v>48000</v>
          </cell>
        </row>
        <row r="278">
          <cell r="A278">
            <v>92</v>
          </cell>
          <cell r="B278" t="str">
            <v xml:space="preserve">CUENTAS DE ORDEN ACREEDORAS                                           </v>
          </cell>
          <cell r="C278">
            <v>0</v>
          </cell>
          <cell r="D278">
            <v>0</v>
          </cell>
          <cell r="E278">
            <v>0</v>
          </cell>
          <cell r="F278">
            <v>0</v>
          </cell>
          <cell r="G278">
            <v>0</v>
          </cell>
          <cell r="H278">
            <v>0</v>
          </cell>
          <cell r="I278">
            <v>-48000</v>
          </cell>
          <cell r="J278">
            <v>0</v>
          </cell>
          <cell r="K278">
            <v>0</v>
          </cell>
          <cell r="L278">
            <v>0</v>
          </cell>
          <cell r="M278">
            <v>0</v>
          </cell>
          <cell r="N278">
            <v>0</v>
          </cell>
          <cell r="O278">
            <v>0</v>
          </cell>
          <cell r="P278">
            <v>-48000</v>
          </cell>
          <cell r="R278">
            <v>0</v>
          </cell>
          <cell r="S278">
            <v>0</v>
          </cell>
          <cell r="T278">
            <v>0</v>
          </cell>
          <cell r="U278">
            <v>0</v>
          </cell>
          <cell r="V278">
            <v>0</v>
          </cell>
          <cell r="W278">
            <v>-48000</v>
          </cell>
          <cell r="X278">
            <v>-48000</v>
          </cell>
          <cell r="Y278">
            <v>-48000</v>
          </cell>
          <cell r="Z278">
            <v>-48000</v>
          </cell>
          <cell r="AA278">
            <v>-48000</v>
          </cell>
          <cell r="AB278">
            <v>-48000</v>
          </cell>
          <cell r="AC278">
            <v>-48000</v>
          </cell>
        </row>
        <row r="279">
          <cell r="A279">
            <v>9201</v>
          </cell>
          <cell r="B279" t="str">
            <v xml:space="preserve">CUENTAS DE ORDEN ACREEDORAS                                           </v>
          </cell>
          <cell r="C279">
            <v>0</v>
          </cell>
          <cell r="D279">
            <v>0</v>
          </cell>
          <cell r="E279">
            <v>0</v>
          </cell>
          <cell r="F279">
            <v>0</v>
          </cell>
          <cell r="G279">
            <v>0</v>
          </cell>
          <cell r="H279">
            <v>0</v>
          </cell>
          <cell r="I279">
            <v>-48000</v>
          </cell>
          <cell r="J279">
            <v>0</v>
          </cell>
          <cell r="K279">
            <v>0</v>
          </cell>
          <cell r="L279">
            <v>0</v>
          </cell>
          <cell r="M279">
            <v>0</v>
          </cell>
          <cell r="N279">
            <v>0</v>
          </cell>
          <cell r="O279">
            <v>0</v>
          </cell>
          <cell r="P279">
            <v>-48000</v>
          </cell>
          <cell r="R279">
            <v>0</v>
          </cell>
          <cell r="S279">
            <v>0</v>
          </cell>
          <cell r="T279">
            <v>0</v>
          </cell>
          <cell r="U279">
            <v>0</v>
          </cell>
          <cell r="V279">
            <v>0</v>
          </cell>
          <cell r="W279">
            <v>-48000</v>
          </cell>
          <cell r="X279">
            <v>-48000</v>
          </cell>
          <cell r="Y279">
            <v>-48000</v>
          </cell>
          <cell r="Z279">
            <v>-48000</v>
          </cell>
          <cell r="AA279">
            <v>-48000</v>
          </cell>
          <cell r="AB279">
            <v>-48000</v>
          </cell>
          <cell r="AC279">
            <v>-48000</v>
          </cell>
        </row>
        <row r="280">
          <cell r="A280">
            <v>920101</v>
          </cell>
          <cell r="B280" t="str">
            <v xml:space="preserve">CUENTAS DE ORDEN ACREEDORAS                                           </v>
          </cell>
          <cell r="C280">
            <v>0</v>
          </cell>
          <cell r="D280">
            <v>0</v>
          </cell>
          <cell r="E280">
            <v>0</v>
          </cell>
          <cell r="F280">
            <v>0</v>
          </cell>
          <cell r="G280">
            <v>0</v>
          </cell>
          <cell r="H280">
            <v>0</v>
          </cell>
          <cell r="I280">
            <v>-48000</v>
          </cell>
          <cell r="J280">
            <v>0</v>
          </cell>
          <cell r="K280">
            <v>0</v>
          </cell>
          <cell r="L280">
            <v>0</v>
          </cell>
          <cell r="M280">
            <v>0</v>
          </cell>
          <cell r="N280">
            <v>0</v>
          </cell>
          <cell r="O280">
            <v>0</v>
          </cell>
          <cell r="P280">
            <v>-48000</v>
          </cell>
          <cell r="R280">
            <v>0</v>
          </cell>
          <cell r="S280">
            <v>0</v>
          </cell>
          <cell r="T280">
            <v>0</v>
          </cell>
          <cell r="U280">
            <v>0</v>
          </cell>
          <cell r="V280">
            <v>0</v>
          </cell>
          <cell r="W280">
            <v>-48000</v>
          </cell>
          <cell r="X280">
            <v>-48000</v>
          </cell>
          <cell r="Y280">
            <v>-48000</v>
          </cell>
          <cell r="Z280">
            <v>-48000</v>
          </cell>
          <cell r="AA280">
            <v>-48000</v>
          </cell>
          <cell r="AB280">
            <v>-48000</v>
          </cell>
          <cell r="AC280">
            <v>-48000</v>
          </cell>
        </row>
        <row r="281">
          <cell r="A281">
            <v>9201010001</v>
          </cell>
          <cell r="B281" t="str">
            <v xml:space="preserve">Acreedores por cheques recibidos en garantía                          </v>
          </cell>
          <cell r="C281">
            <v>0</v>
          </cell>
          <cell r="D281">
            <v>0</v>
          </cell>
          <cell r="E281">
            <v>0</v>
          </cell>
          <cell r="F281">
            <v>0</v>
          </cell>
          <cell r="G281">
            <v>0</v>
          </cell>
          <cell r="H281">
            <v>0</v>
          </cell>
          <cell r="I281">
            <v>-48000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  <cell r="N281">
            <v>0</v>
          </cell>
          <cell r="O281">
            <v>0</v>
          </cell>
          <cell r="P281">
            <v>-48000</v>
          </cell>
          <cell r="R281">
            <v>0</v>
          </cell>
          <cell r="S281">
            <v>0</v>
          </cell>
          <cell r="T281">
            <v>0</v>
          </cell>
          <cell r="U281">
            <v>0</v>
          </cell>
          <cell r="V281">
            <v>0</v>
          </cell>
          <cell r="W281">
            <v>-48000</v>
          </cell>
          <cell r="X281">
            <v>-48000</v>
          </cell>
          <cell r="Y281">
            <v>-48000</v>
          </cell>
          <cell r="Z281">
            <v>-48000</v>
          </cell>
          <cell r="AA281">
            <v>-48000</v>
          </cell>
          <cell r="AB281">
            <v>-48000</v>
          </cell>
          <cell r="AC281">
            <v>-48000</v>
          </cell>
        </row>
        <row r="282">
          <cell r="A282">
            <v>9201</v>
          </cell>
          <cell r="B282" t="str">
            <v xml:space="preserve">CUENTAS DE ORDEN ACREEDORAS                                           </v>
          </cell>
          <cell r="C282">
            <v>0</v>
          </cell>
          <cell r="D282">
            <v>0</v>
          </cell>
          <cell r="E282">
            <v>0</v>
          </cell>
          <cell r="F282">
            <v>0</v>
          </cell>
          <cell r="G282">
            <v>0</v>
          </cell>
          <cell r="H282">
            <v>0</v>
          </cell>
          <cell r="I282">
            <v>-48000</v>
          </cell>
          <cell r="J282">
            <v>0</v>
          </cell>
          <cell r="K282">
            <v>0</v>
          </cell>
          <cell r="L282">
            <v>0</v>
          </cell>
          <cell r="M282">
            <v>0</v>
          </cell>
          <cell r="N282">
            <v>0</v>
          </cell>
          <cell r="O282">
            <v>0</v>
          </cell>
          <cell r="P282">
            <v>-48000</v>
          </cell>
          <cell r="R282">
            <v>0</v>
          </cell>
          <cell r="S282">
            <v>0</v>
          </cell>
          <cell r="T282">
            <v>0</v>
          </cell>
          <cell r="U282">
            <v>0</v>
          </cell>
          <cell r="V282">
            <v>0</v>
          </cell>
          <cell r="W282">
            <v>-48000</v>
          </cell>
          <cell r="X282">
            <v>-48000</v>
          </cell>
          <cell r="Y282">
            <v>-48000</v>
          </cell>
          <cell r="Z282">
            <v>-48000</v>
          </cell>
          <cell r="AA282">
            <v>-48000</v>
          </cell>
          <cell r="AB282">
            <v>-48000</v>
          </cell>
          <cell r="AC282">
            <v>-48000</v>
          </cell>
        </row>
        <row r="283">
          <cell r="A283">
            <v>920101</v>
          </cell>
          <cell r="B283" t="str">
            <v xml:space="preserve">CUENTAS DE ORDEN ACREEDORAS                                           </v>
          </cell>
          <cell r="C283">
            <v>0</v>
          </cell>
          <cell r="D283">
            <v>0</v>
          </cell>
          <cell r="E283">
            <v>0</v>
          </cell>
          <cell r="F283">
            <v>0</v>
          </cell>
          <cell r="G283">
            <v>0</v>
          </cell>
          <cell r="H283">
            <v>0</v>
          </cell>
          <cell r="I283">
            <v>-48000</v>
          </cell>
          <cell r="J283">
            <v>0</v>
          </cell>
          <cell r="K283">
            <v>0</v>
          </cell>
          <cell r="L283">
            <v>0</v>
          </cell>
          <cell r="M283">
            <v>0</v>
          </cell>
          <cell r="N283">
            <v>0</v>
          </cell>
          <cell r="O283">
            <v>0</v>
          </cell>
          <cell r="P283">
            <v>-48000</v>
          </cell>
          <cell r="R283">
            <v>0</v>
          </cell>
          <cell r="S283">
            <v>0</v>
          </cell>
          <cell r="T283">
            <v>0</v>
          </cell>
          <cell r="U283">
            <v>0</v>
          </cell>
          <cell r="V283">
            <v>0</v>
          </cell>
          <cell r="W283">
            <v>-48000</v>
          </cell>
          <cell r="X283">
            <v>-48000</v>
          </cell>
          <cell r="Y283">
            <v>-48000</v>
          </cell>
          <cell r="Z283">
            <v>-48000</v>
          </cell>
          <cell r="AA283">
            <v>-48000</v>
          </cell>
          <cell r="AB283">
            <v>-48000</v>
          </cell>
          <cell r="AC283">
            <v>-48000</v>
          </cell>
        </row>
        <row r="284">
          <cell r="A284">
            <v>9201010001</v>
          </cell>
          <cell r="B284" t="str">
            <v xml:space="preserve">Acreedores por cheques recibidos en garantía                          </v>
          </cell>
          <cell r="C284">
            <v>0</v>
          </cell>
          <cell r="D284">
            <v>0</v>
          </cell>
          <cell r="E284">
            <v>0</v>
          </cell>
          <cell r="F284">
            <v>0</v>
          </cell>
          <cell r="G284">
            <v>0</v>
          </cell>
          <cell r="H284">
            <v>0</v>
          </cell>
          <cell r="I284">
            <v>-48000</v>
          </cell>
          <cell r="J284">
            <v>0</v>
          </cell>
          <cell r="K284">
            <v>0</v>
          </cell>
          <cell r="L284">
            <v>0</v>
          </cell>
          <cell r="M284">
            <v>0</v>
          </cell>
          <cell r="N284">
            <v>0</v>
          </cell>
          <cell r="O284">
            <v>0</v>
          </cell>
          <cell r="P284">
            <v>-48000</v>
          </cell>
          <cell r="R284">
            <v>0</v>
          </cell>
          <cell r="S284">
            <v>0</v>
          </cell>
          <cell r="T284">
            <v>0</v>
          </cell>
          <cell r="U284">
            <v>0</v>
          </cell>
          <cell r="V284">
            <v>0</v>
          </cell>
          <cell r="W284">
            <v>-48000</v>
          </cell>
          <cell r="X284">
            <v>-48000</v>
          </cell>
          <cell r="Y284">
            <v>-48000</v>
          </cell>
          <cell r="Z284">
            <v>-48000</v>
          </cell>
          <cell r="AA284">
            <v>-48000</v>
          </cell>
          <cell r="AB284">
            <v>-48000</v>
          </cell>
          <cell r="AC284">
            <v>-48000</v>
          </cell>
        </row>
      </sheetData>
      <sheetData sheetId="17">
        <row r="2">
          <cell r="A2" t="str">
            <v>US$ 000</v>
          </cell>
          <cell r="B2">
            <v>43831</v>
          </cell>
          <cell r="C2" t="str">
            <v>Dias Inv.</v>
          </cell>
          <cell r="D2">
            <v>43862</v>
          </cell>
          <cell r="E2" t="str">
            <v>Dias Inv.</v>
          </cell>
          <cell r="F2">
            <v>43891</v>
          </cell>
          <cell r="G2" t="str">
            <v>Dias Inv.</v>
          </cell>
          <cell r="H2">
            <v>43922</v>
          </cell>
          <cell r="I2" t="str">
            <v>Dias Inv.</v>
          </cell>
          <cell r="J2">
            <v>43952</v>
          </cell>
          <cell r="K2" t="str">
            <v>Dias Inv.</v>
          </cell>
          <cell r="L2">
            <v>43983</v>
          </cell>
          <cell r="M2" t="str">
            <v>Dias Inv.</v>
          </cell>
          <cell r="N2">
            <v>44013</v>
          </cell>
          <cell r="O2" t="str">
            <v>Dias Inv.</v>
          </cell>
          <cell r="P2">
            <v>44044</v>
          </cell>
          <cell r="Q2" t="str">
            <v>Dias Inv.</v>
          </cell>
          <cell r="R2">
            <v>44075</v>
          </cell>
          <cell r="S2" t="str">
            <v>Dias Inv.</v>
          </cell>
          <cell r="T2">
            <v>44105</v>
          </cell>
          <cell r="U2" t="str">
            <v>Dias Inv.</v>
          </cell>
          <cell r="V2">
            <v>44136</v>
          </cell>
          <cell r="W2" t="str">
            <v>Dias Inv.</v>
          </cell>
          <cell r="X2">
            <v>44166</v>
          </cell>
          <cell r="Y2" t="str">
            <v>Dias Inv.</v>
          </cell>
          <cell r="Z2">
            <v>44197</v>
          </cell>
          <cell r="AA2" t="str">
            <v>Dias Inv.</v>
          </cell>
          <cell r="AB2">
            <v>44228</v>
          </cell>
          <cell r="AC2" t="str">
            <v>Dias Inv.</v>
          </cell>
          <cell r="AD2">
            <v>44256</v>
          </cell>
          <cell r="AE2" t="str">
            <v>Dias Inv.</v>
          </cell>
          <cell r="AF2">
            <v>44287</v>
          </cell>
          <cell r="AG2" t="str">
            <v>Dias Inv.</v>
          </cell>
          <cell r="AH2">
            <v>44317</v>
          </cell>
          <cell r="AI2" t="str">
            <v>Dias Inv.</v>
          </cell>
          <cell r="AJ2">
            <v>44348</v>
          </cell>
          <cell r="AK2" t="str">
            <v>Dias Inv.</v>
          </cell>
          <cell r="AL2">
            <v>44378</v>
          </cell>
          <cell r="AM2" t="str">
            <v>Dias Inv.</v>
          </cell>
          <cell r="AN2">
            <v>44409</v>
          </cell>
          <cell r="AO2" t="str">
            <v>Dias Inv.</v>
          </cell>
          <cell r="AP2">
            <v>44440</v>
          </cell>
          <cell r="AQ2" t="str">
            <v>Dias Inv.</v>
          </cell>
          <cell r="AR2">
            <v>44470</v>
          </cell>
          <cell r="AS2" t="str">
            <v>Dias Inv.</v>
          </cell>
          <cell r="AT2">
            <v>44501</v>
          </cell>
          <cell r="AU2" t="str">
            <v>Dias Inv.</v>
          </cell>
          <cell r="AV2">
            <v>44531</v>
          </cell>
          <cell r="AW2" t="str">
            <v>Dias Inv.</v>
          </cell>
        </row>
        <row r="4">
          <cell r="A4" t="str">
            <v>M.P, Materiales y Repuestos</v>
          </cell>
        </row>
        <row r="6">
          <cell r="A6" t="str">
            <v>Materia Prima (Bobinas)</v>
          </cell>
          <cell r="B6">
            <v>2565</v>
          </cell>
          <cell r="D6">
            <v>5000</v>
          </cell>
          <cell r="F6">
            <v>3373</v>
          </cell>
          <cell r="H6">
            <v>3373</v>
          </cell>
          <cell r="J6">
            <v>3373</v>
          </cell>
          <cell r="L6">
            <v>3373</v>
          </cell>
          <cell r="N6">
            <v>3373</v>
          </cell>
          <cell r="P6">
            <v>3373</v>
          </cell>
          <cell r="R6">
            <v>3373</v>
          </cell>
          <cell r="T6">
            <v>3373</v>
          </cell>
          <cell r="V6">
            <v>3373</v>
          </cell>
          <cell r="X6">
            <v>3987</v>
          </cell>
          <cell r="Z6">
            <v>10000</v>
          </cell>
          <cell r="AB6">
            <v>3373</v>
          </cell>
          <cell r="AD6">
            <v>3373</v>
          </cell>
          <cell r="AF6">
            <v>3373</v>
          </cell>
          <cell r="AH6">
            <v>3373</v>
          </cell>
          <cell r="AJ6">
            <v>3373</v>
          </cell>
          <cell r="AL6">
            <v>3373</v>
          </cell>
          <cell r="AN6">
            <v>3373</v>
          </cell>
          <cell r="AP6">
            <v>3373</v>
          </cell>
          <cell r="AR6">
            <v>3373</v>
          </cell>
          <cell r="AT6">
            <v>2307</v>
          </cell>
          <cell r="AV6">
            <v>1580</v>
          </cell>
        </row>
        <row r="7">
          <cell r="A7" t="str">
            <v>Materia Prima</v>
          </cell>
          <cell r="B7">
            <v>313</v>
          </cell>
          <cell r="D7">
            <v>5000</v>
          </cell>
          <cell r="F7">
            <v>377</v>
          </cell>
          <cell r="H7">
            <v>377</v>
          </cell>
          <cell r="J7">
            <v>377</v>
          </cell>
          <cell r="L7">
            <v>377</v>
          </cell>
          <cell r="N7">
            <v>377</v>
          </cell>
          <cell r="P7">
            <v>377</v>
          </cell>
          <cell r="R7">
            <v>377</v>
          </cell>
          <cell r="T7">
            <v>377</v>
          </cell>
          <cell r="V7">
            <v>377</v>
          </cell>
          <cell r="X7">
            <v>414</v>
          </cell>
          <cell r="Z7">
            <v>377</v>
          </cell>
          <cell r="AB7">
            <v>377</v>
          </cell>
          <cell r="AD7">
            <v>377</v>
          </cell>
          <cell r="AF7">
            <v>377</v>
          </cell>
          <cell r="AH7">
            <v>377</v>
          </cell>
          <cell r="AJ7">
            <v>377</v>
          </cell>
          <cell r="AL7">
            <v>377</v>
          </cell>
          <cell r="AN7">
            <v>377</v>
          </cell>
          <cell r="AP7">
            <v>377</v>
          </cell>
          <cell r="AR7">
            <v>377</v>
          </cell>
          <cell r="AT7">
            <v>1048</v>
          </cell>
          <cell r="AV7">
            <v>294</v>
          </cell>
        </row>
        <row r="9">
          <cell r="A9" t="str">
            <v>Productos Terminados</v>
          </cell>
          <cell r="B9">
            <v>749.74999999999989</v>
          </cell>
          <cell r="C9">
            <v>15</v>
          </cell>
          <cell r="D9">
            <v>946.5</v>
          </cell>
          <cell r="E9">
            <v>21</v>
          </cell>
          <cell r="F9">
            <v>946.5</v>
          </cell>
          <cell r="G9">
            <v>21</v>
          </cell>
          <cell r="H9">
            <v>946.5</v>
          </cell>
          <cell r="I9">
            <v>21</v>
          </cell>
          <cell r="J9">
            <v>946.5</v>
          </cell>
          <cell r="K9">
            <v>21</v>
          </cell>
          <cell r="L9">
            <v>946.5</v>
          </cell>
          <cell r="M9">
            <v>21</v>
          </cell>
          <cell r="N9">
            <v>946.5</v>
          </cell>
          <cell r="O9">
            <v>21</v>
          </cell>
          <cell r="P9">
            <v>946.5</v>
          </cell>
          <cell r="Q9">
            <v>21</v>
          </cell>
          <cell r="R9">
            <v>946.5</v>
          </cell>
          <cell r="S9">
            <v>21</v>
          </cell>
          <cell r="T9">
            <v>946.5</v>
          </cell>
          <cell r="U9">
            <v>21</v>
          </cell>
          <cell r="V9">
            <v>946.5</v>
          </cell>
          <cell r="W9">
            <v>21</v>
          </cell>
          <cell r="X9">
            <v>616</v>
          </cell>
          <cell r="Y9">
            <v>13</v>
          </cell>
          <cell r="Z9">
            <v>946.5</v>
          </cell>
          <cell r="AA9">
            <v>21</v>
          </cell>
          <cell r="AB9">
            <v>946.5</v>
          </cell>
          <cell r="AC9">
            <v>21</v>
          </cell>
          <cell r="AD9">
            <v>946.5</v>
          </cell>
          <cell r="AE9">
            <v>21</v>
          </cell>
          <cell r="AF9">
            <v>946.5</v>
          </cell>
          <cell r="AG9">
            <v>21</v>
          </cell>
          <cell r="AH9">
            <v>946.5</v>
          </cell>
          <cell r="AI9">
            <v>21</v>
          </cell>
          <cell r="AJ9">
            <v>946.5</v>
          </cell>
          <cell r="AK9">
            <v>21</v>
          </cell>
          <cell r="AL9">
            <v>946.5</v>
          </cell>
          <cell r="AM9">
            <v>21</v>
          </cell>
          <cell r="AN9">
            <v>946.5</v>
          </cell>
          <cell r="AO9">
            <v>21</v>
          </cell>
          <cell r="AP9">
            <v>946.5</v>
          </cell>
          <cell r="AQ9">
            <v>21</v>
          </cell>
          <cell r="AR9">
            <v>946.5</v>
          </cell>
          <cell r="AS9">
            <v>21</v>
          </cell>
          <cell r="AT9">
            <v>1200</v>
          </cell>
          <cell r="AU9">
            <v>21</v>
          </cell>
          <cell r="AV9">
            <v>1203</v>
          </cell>
          <cell r="AW9">
            <v>21</v>
          </cell>
        </row>
        <row r="11">
          <cell r="A11" t="str">
            <v>CAJ CAMARON</v>
          </cell>
          <cell r="B11">
            <v>483</v>
          </cell>
          <cell r="C11">
            <v>17.735136426321073</v>
          </cell>
          <cell r="D11">
            <v>675</v>
          </cell>
          <cell r="E11">
            <v>5000</v>
          </cell>
          <cell r="F11">
            <v>675</v>
          </cell>
          <cell r="G11">
            <v>20.84364722187885</v>
          </cell>
          <cell r="H11">
            <v>675</v>
          </cell>
          <cell r="I11">
            <v>20.84364722187885</v>
          </cell>
          <cell r="J11">
            <v>675</v>
          </cell>
          <cell r="K11">
            <v>20.84364722187885</v>
          </cell>
          <cell r="L11">
            <v>675</v>
          </cell>
          <cell r="M11">
            <v>20.84364722187885</v>
          </cell>
          <cell r="N11">
            <v>675</v>
          </cell>
          <cell r="O11">
            <v>20.84364722187885</v>
          </cell>
          <cell r="P11">
            <v>675</v>
          </cell>
          <cell r="Q11">
            <v>20.84364722187885</v>
          </cell>
          <cell r="R11">
            <v>675</v>
          </cell>
          <cell r="S11">
            <v>20.84364722187885</v>
          </cell>
          <cell r="T11">
            <v>675</v>
          </cell>
          <cell r="U11">
            <v>20.84364722187885</v>
          </cell>
          <cell r="V11">
            <v>675</v>
          </cell>
          <cell r="W11">
            <v>20.84364722187885</v>
          </cell>
          <cell r="X11">
            <v>373</v>
          </cell>
          <cell r="Y11">
            <v>11</v>
          </cell>
          <cell r="Z11">
            <v>675</v>
          </cell>
          <cell r="AA11">
            <v>10000</v>
          </cell>
          <cell r="AB11">
            <v>675</v>
          </cell>
          <cell r="AC11">
            <v>20.84364722187885</v>
          </cell>
          <cell r="AD11">
            <v>675</v>
          </cell>
          <cell r="AE11">
            <v>20.84364722187885</v>
          </cell>
          <cell r="AF11">
            <v>675</v>
          </cell>
          <cell r="AG11">
            <v>20.84364722187885</v>
          </cell>
          <cell r="AH11">
            <v>675</v>
          </cell>
          <cell r="AI11">
            <v>20.84364722187885</v>
          </cell>
          <cell r="AJ11">
            <v>675</v>
          </cell>
          <cell r="AK11">
            <v>20.84364722187885</v>
          </cell>
          <cell r="AL11">
            <v>675</v>
          </cell>
          <cell r="AM11">
            <v>20.84364722187885</v>
          </cell>
          <cell r="AN11">
            <v>675</v>
          </cell>
          <cell r="AO11">
            <v>20.84364722187885</v>
          </cell>
          <cell r="AP11">
            <v>675</v>
          </cell>
          <cell r="AQ11">
            <v>20.84364722187885</v>
          </cell>
          <cell r="AR11">
            <v>675</v>
          </cell>
          <cell r="AS11">
            <v>20.84364722187885</v>
          </cell>
          <cell r="AT11">
            <v>1200</v>
          </cell>
          <cell r="AU11">
            <v>20.84364722187885</v>
          </cell>
          <cell r="AV11">
            <v>1203</v>
          </cell>
          <cell r="AW11">
            <v>20.84364722187885</v>
          </cell>
        </row>
        <row r="12">
          <cell r="A12" t="str">
            <v>C CAMARON EXP</v>
          </cell>
          <cell r="B12">
            <v>52</v>
          </cell>
          <cell r="C12">
            <v>44.327030719770363</v>
          </cell>
          <cell r="D12">
            <v>5</v>
          </cell>
          <cell r="E12">
            <v>0.77860499872844069</v>
          </cell>
          <cell r="F12">
            <v>5</v>
          </cell>
          <cell r="G12">
            <v>0.77860499872844069</v>
          </cell>
          <cell r="H12">
            <v>5</v>
          </cell>
          <cell r="I12">
            <v>0.77860499872844069</v>
          </cell>
          <cell r="J12">
            <v>5</v>
          </cell>
          <cell r="K12">
            <v>0.77860499872844069</v>
          </cell>
          <cell r="L12">
            <v>5</v>
          </cell>
          <cell r="M12">
            <v>0.77860499872844069</v>
          </cell>
          <cell r="N12">
            <v>5</v>
          </cell>
          <cell r="O12">
            <v>0.77860499872844069</v>
          </cell>
          <cell r="P12">
            <v>5</v>
          </cell>
          <cell r="Q12">
            <v>0.77860499872844069</v>
          </cell>
          <cell r="R12">
            <v>5</v>
          </cell>
          <cell r="S12">
            <v>0.77860499872844069</v>
          </cell>
          <cell r="T12">
            <v>5</v>
          </cell>
          <cell r="U12">
            <v>0.77860499872844069</v>
          </cell>
          <cell r="V12">
            <v>5</v>
          </cell>
          <cell r="W12">
            <v>0.77860499872844069</v>
          </cell>
          <cell r="X12">
            <v>11</v>
          </cell>
          <cell r="Y12">
            <v>4</v>
          </cell>
          <cell r="Z12">
            <v>5</v>
          </cell>
          <cell r="AA12">
            <v>0.77860499872844069</v>
          </cell>
          <cell r="AB12">
            <v>5</v>
          </cell>
          <cell r="AC12">
            <v>0.77860499872844069</v>
          </cell>
          <cell r="AD12">
            <v>5</v>
          </cell>
          <cell r="AE12">
            <v>0.77860499872844069</v>
          </cell>
          <cell r="AF12">
            <v>5</v>
          </cell>
          <cell r="AG12">
            <v>0.77860499872844069</v>
          </cell>
          <cell r="AH12">
            <v>5</v>
          </cell>
          <cell r="AI12">
            <v>0.77860499872844069</v>
          </cell>
          <cell r="AJ12">
            <v>5</v>
          </cell>
          <cell r="AK12">
            <v>0.77860499872844069</v>
          </cell>
          <cell r="AL12">
            <v>5</v>
          </cell>
          <cell r="AM12">
            <v>0.77860499872844069</v>
          </cell>
          <cell r="AN12">
            <v>5</v>
          </cell>
          <cell r="AO12">
            <v>0.77860499872844069</v>
          </cell>
          <cell r="AP12">
            <v>5</v>
          </cell>
          <cell r="AQ12">
            <v>0.77860499872844069</v>
          </cell>
          <cell r="AR12">
            <v>5</v>
          </cell>
          <cell r="AS12">
            <v>0.77860499872844069</v>
          </cell>
          <cell r="AU12">
            <v>0.77860499872844069</v>
          </cell>
          <cell r="AW12">
            <v>0.77860499872844069</v>
          </cell>
        </row>
        <row r="13">
          <cell r="A13" t="str">
            <v>CAJAS</v>
          </cell>
          <cell r="B13">
            <v>162</v>
          </cell>
          <cell r="C13">
            <v>34.72280339465447</v>
          </cell>
          <cell r="D13">
            <v>186</v>
          </cell>
          <cell r="E13">
            <v>25.536063525378783</v>
          </cell>
          <cell r="F13">
            <v>186</v>
          </cell>
          <cell r="G13">
            <v>25.536063525378783</v>
          </cell>
          <cell r="H13">
            <v>186</v>
          </cell>
          <cell r="I13">
            <v>25.536063525378783</v>
          </cell>
          <cell r="J13">
            <v>186</v>
          </cell>
          <cell r="K13">
            <v>25.536063525378783</v>
          </cell>
          <cell r="L13">
            <v>186</v>
          </cell>
          <cell r="M13">
            <v>25.536063525378783</v>
          </cell>
          <cell r="N13">
            <v>186</v>
          </cell>
          <cell r="O13">
            <v>25.536063525378783</v>
          </cell>
          <cell r="P13">
            <v>186</v>
          </cell>
          <cell r="Q13">
            <v>25.536063525378783</v>
          </cell>
          <cell r="R13">
            <v>186</v>
          </cell>
          <cell r="S13">
            <v>25.536063525378783</v>
          </cell>
          <cell r="T13">
            <v>186</v>
          </cell>
          <cell r="U13">
            <v>25.536063525378783</v>
          </cell>
          <cell r="V13">
            <v>186</v>
          </cell>
          <cell r="W13">
            <v>25.536063525378783</v>
          </cell>
          <cell r="X13">
            <v>139</v>
          </cell>
          <cell r="Y13">
            <v>11</v>
          </cell>
          <cell r="Z13">
            <v>186</v>
          </cell>
          <cell r="AA13">
            <v>25.536063525378783</v>
          </cell>
          <cell r="AB13">
            <v>186</v>
          </cell>
          <cell r="AC13">
            <v>25.536063525378783</v>
          </cell>
          <cell r="AD13">
            <v>186</v>
          </cell>
          <cell r="AE13">
            <v>25.536063525378783</v>
          </cell>
          <cell r="AF13">
            <v>186</v>
          </cell>
          <cell r="AG13">
            <v>25.536063525378783</v>
          </cell>
          <cell r="AH13">
            <v>186</v>
          </cell>
          <cell r="AI13">
            <v>25.536063525378783</v>
          </cell>
          <cell r="AJ13">
            <v>186</v>
          </cell>
          <cell r="AK13">
            <v>25.536063525378783</v>
          </cell>
          <cell r="AL13">
            <v>186</v>
          </cell>
          <cell r="AM13">
            <v>25.536063525378783</v>
          </cell>
          <cell r="AN13">
            <v>186</v>
          </cell>
          <cell r="AO13">
            <v>25.536063525378783</v>
          </cell>
          <cell r="AP13">
            <v>186</v>
          </cell>
          <cell r="AQ13">
            <v>25.536063525378783</v>
          </cell>
          <cell r="AR13">
            <v>186</v>
          </cell>
          <cell r="AS13">
            <v>25.536063525378783</v>
          </cell>
          <cell r="AU13">
            <v>25.536063525378783</v>
          </cell>
          <cell r="AW13">
            <v>25.536063525378783</v>
          </cell>
        </row>
        <row r="14">
          <cell r="A14" t="str">
            <v>CORRUGADO</v>
          </cell>
          <cell r="B14">
            <v>3</v>
          </cell>
          <cell r="C14">
            <v>24.074015420287033</v>
          </cell>
          <cell r="D14">
            <v>43</v>
          </cell>
          <cell r="E14">
            <v>12.398606947628286</v>
          </cell>
          <cell r="F14">
            <v>43</v>
          </cell>
          <cell r="G14">
            <v>12.398606947628286</v>
          </cell>
          <cell r="H14">
            <v>43</v>
          </cell>
          <cell r="I14">
            <v>12.398606947628286</v>
          </cell>
          <cell r="J14">
            <v>43</v>
          </cell>
          <cell r="K14">
            <v>12.398606947628286</v>
          </cell>
          <cell r="L14">
            <v>43</v>
          </cell>
          <cell r="M14">
            <v>12.398606947628286</v>
          </cell>
          <cell r="N14">
            <v>43</v>
          </cell>
          <cell r="O14">
            <v>12.398606947628286</v>
          </cell>
          <cell r="P14">
            <v>43</v>
          </cell>
          <cell r="Q14">
            <v>12.398606947628286</v>
          </cell>
          <cell r="R14">
            <v>43</v>
          </cell>
          <cell r="S14">
            <v>12.398606947628286</v>
          </cell>
          <cell r="T14">
            <v>43</v>
          </cell>
          <cell r="U14">
            <v>12.398606947628286</v>
          </cell>
          <cell r="V14">
            <v>43</v>
          </cell>
          <cell r="W14">
            <v>12.398606947628286</v>
          </cell>
          <cell r="X14">
            <v>61</v>
          </cell>
          <cell r="Y14">
            <v>34</v>
          </cell>
          <cell r="Z14">
            <v>43</v>
          </cell>
          <cell r="AA14">
            <v>12.398606947628286</v>
          </cell>
          <cell r="AB14">
            <v>43</v>
          </cell>
          <cell r="AC14">
            <v>12.398606947628286</v>
          </cell>
          <cell r="AD14">
            <v>43</v>
          </cell>
          <cell r="AE14">
            <v>12.398606947628286</v>
          </cell>
          <cell r="AF14">
            <v>43</v>
          </cell>
          <cell r="AG14">
            <v>12.398606947628286</v>
          </cell>
          <cell r="AH14">
            <v>43</v>
          </cell>
          <cell r="AI14">
            <v>12.398606947628286</v>
          </cell>
          <cell r="AJ14">
            <v>43</v>
          </cell>
          <cell r="AK14">
            <v>12.398606947628286</v>
          </cell>
          <cell r="AL14">
            <v>43</v>
          </cell>
          <cell r="AM14">
            <v>12.398606947628286</v>
          </cell>
          <cell r="AN14">
            <v>43</v>
          </cell>
          <cell r="AO14">
            <v>12.398606947628286</v>
          </cell>
          <cell r="AP14">
            <v>43</v>
          </cell>
          <cell r="AQ14">
            <v>12.398606947628286</v>
          </cell>
          <cell r="AR14">
            <v>43</v>
          </cell>
          <cell r="AS14">
            <v>12.398606947628286</v>
          </cell>
          <cell r="AU14">
            <v>12.398606947628286</v>
          </cell>
          <cell r="AW14">
            <v>12.398606947628286</v>
          </cell>
        </row>
        <row r="15">
          <cell r="A15" t="str">
            <v>MATERIAL POP</v>
          </cell>
          <cell r="B15">
            <v>8.3000000000000007</v>
          </cell>
          <cell r="C15">
            <v>129.05133272813495</v>
          </cell>
          <cell r="D15">
            <v>8</v>
          </cell>
          <cell r="E15">
            <v>48.283137468315523</v>
          </cell>
          <cell r="F15">
            <v>8</v>
          </cell>
          <cell r="G15">
            <v>48.283137468315523</v>
          </cell>
          <cell r="H15">
            <v>8</v>
          </cell>
          <cell r="I15">
            <v>48.283137468315523</v>
          </cell>
          <cell r="J15">
            <v>8</v>
          </cell>
          <cell r="K15">
            <v>48.283137468315523</v>
          </cell>
          <cell r="L15">
            <v>8</v>
          </cell>
          <cell r="M15">
            <v>48.283137468315523</v>
          </cell>
          <cell r="N15">
            <v>8</v>
          </cell>
          <cell r="O15">
            <v>48.283137468315523</v>
          </cell>
          <cell r="P15">
            <v>8</v>
          </cell>
          <cell r="Q15">
            <v>48.283137468315523</v>
          </cell>
          <cell r="R15">
            <v>8</v>
          </cell>
          <cell r="S15">
            <v>48.283137468315523</v>
          </cell>
          <cell r="T15">
            <v>8</v>
          </cell>
          <cell r="U15">
            <v>48.283137468315523</v>
          </cell>
          <cell r="V15">
            <v>8</v>
          </cell>
          <cell r="W15">
            <v>48.283137468315523</v>
          </cell>
          <cell r="X15">
            <v>0</v>
          </cell>
          <cell r="Y15">
            <v>1</v>
          </cell>
          <cell r="Z15">
            <v>8</v>
          </cell>
          <cell r="AA15">
            <v>48.283137468315523</v>
          </cell>
          <cell r="AB15">
            <v>8</v>
          </cell>
          <cell r="AC15">
            <v>48.283137468315523</v>
          </cell>
          <cell r="AD15">
            <v>8</v>
          </cell>
          <cell r="AE15">
            <v>48.283137468315523</v>
          </cell>
          <cell r="AF15">
            <v>8</v>
          </cell>
          <cell r="AG15">
            <v>48.283137468315523</v>
          </cell>
          <cell r="AH15">
            <v>8</v>
          </cell>
          <cell r="AI15">
            <v>48.283137468315523</v>
          </cell>
          <cell r="AJ15">
            <v>8</v>
          </cell>
          <cell r="AK15">
            <v>48.283137468315523</v>
          </cell>
          <cell r="AL15">
            <v>8</v>
          </cell>
          <cell r="AM15">
            <v>48.283137468315523</v>
          </cell>
          <cell r="AN15">
            <v>8</v>
          </cell>
          <cell r="AO15">
            <v>48.283137468315523</v>
          </cell>
          <cell r="AP15">
            <v>8</v>
          </cell>
          <cell r="AQ15">
            <v>48.283137468315523</v>
          </cell>
          <cell r="AR15">
            <v>8</v>
          </cell>
          <cell r="AS15">
            <v>48.283137468315523</v>
          </cell>
          <cell r="AU15">
            <v>48.283137468315523</v>
          </cell>
          <cell r="AW15">
            <v>48.283137468315523</v>
          </cell>
        </row>
        <row r="16">
          <cell r="A16" t="str">
            <v>ETIQUETAS</v>
          </cell>
          <cell r="B16">
            <v>31.3</v>
          </cell>
          <cell r="C16">
            <v>29.730009719608415</v>
          </cell>
          <cell r="D16">
            <v>22</v>
          </cell>
          <cell r="E16">
            <v>8.4930738982359877</v>
          </cell>
          <cell r="F16">
            <v>22</v>
          </cell>
          <cell r="G16">
            <v>8.4930738982359877</v>
          </cell>
          <cell r="H16">
            <v>22</v>
          </cell>
          <cell r="I16">
            <v>8.4930738982359877</v>
          </cell>
          <cell r="J16">
            <v>22</v>
          </cell>
          <cell r="K16">
            <v>8.4930738982359877</v>
          </cell>
          <cell r="L16">
            <v>22</v>
          </cell>
          <cell r="M16">
            <v>8.4930738982359877</v>
          </cell>
          <cell r="N16">
            <v>22</v>
          </cell>
          <cell r="O16">
            <v>8.4930738982359877</v>
          </cell>
          <cell r="P16">
            <v>22</v>
          </cell>
          <cell r="Q16">
            <v>8.4930738982359877</v>
          </cell>
          <cell r="R16">
            <v>22</v>
          </cell>
          <cell r="S16">
            <v>8.4930738982359877</v>
          </cell>
          <cell r="T16">
            <v>22</v>
          </cell>
          <cell r="U16">
            <v>8.4930738982359877</v>
          </cell>
          <cell r="V16">
            <v>22</v>
          </cell>
          <cell r="W16">
            <v>8.4930738982359877</v>
          </cell>
          <cell r="X16">
            <v>23</v>
          </cell>
          <cell r="Y16">
            <v>19</v>
          </cell>
          <cell r="Z16">
            <v>22</v>
          </cell>
          <cell r="AA16">
            <v>8.4930738982359877</v>
          </cell>
          <cell r="AB16">
            <v>22</v>
          </cell>
          <cell r="AC16">
            <v>8.4930738982359877</v>
          </cell>
          <cell r="AD16">
            <v>22</v>
          </cell>
          <cell r="AE16">
            <v>8.4930738982359877</v>
          </cell>
          <cell r="AF16">
            <v>22</v>
          </cell>
          <cell r="AG16">
            <v>8.4930738982359877</v>
          </cell>
          <cell r="AH16">
            <v>22</v>
          </cell>
          <cell r="AI16">
            <v>8.4930738982359877</v>
          </cell>
          <cell r="AJ16">
            <v>22</v>
          </cell>
          <cell r="AK16">
            <v>8.4930738982359877</v>
          </cell>
          <cell r="AL16">
            <v>22</v>
          </cell>
          <cell r="AM16">
            <v>8.4930738982359877</v>
          </cell>
          <cell r="AN16">
            <v>22</v>
          </cell>
          <cell r="AO16">
            <v>8.4930738982359877</v>
          </cell>
          <cell r="AP16">
            <v>22</v>
          </cell>
          <cell r="AQ16">
            <v>8.4930738982359877</v>
          </cell>
          <cell r="AR16">
            <v>22</v>
          </cell>
          <cell r="AS16">
            <v>8.4930738982359877</v>
          </cell>
          <cell r="AU16">
            <v>8.4930738982359877</v>
          </cell>
          <cell r="AW16">
            <v>8.4930738982359877</v>
          </cell>
        </row>
        <row r="17">
          <cell r="A17" t="str">
            <v>FOLLETOS</v>
          </cell>
          <cell r="B17">
            <v>0.1</v>
          </cell>
          <cell r="C17">
            <v>44.44000248509618</v>
          </cell>
          <cell r="D17">
            <v>1</v>
          </cell>
          <cell r="E17">
            <v>0</v>
          </cell>
          <cell r="F17">
            <v>1</v>
          </cell>
          <cell r="G17">
            <v>0</v>
          </cell>
          <cell r="H17">
            <v>1</v>
          </cell>
          <cell r="I17">
            <v>0</v>
          </cell>
          <cell r="J17">
            <v>1</v>
          </cell>
          <cell r="K17">
            <v>0</v>
          </cell>
          <cell r="L17">
            <v>1</v>
          </cell>
          <cell r="M17">
            <v>0</v>
          </cell>
          <cell r="N17">
            <v>1</v>
          </cell>
          <cell r="O17">
            <v>0</v>
          </cell>
          <cell r="P17">
            <v>1</v>
          </cell>
          <cell r="Q17">
            <v>0</v>
          </cell>
          <cell r="R17">
            <v>1</v>
          </cell>
          <cell r="S17">
            <v>0</v>
          </cell>
          <cell r="T17">
            <v>1</v>
          </cell>
          <cell r="U17">
            <v>0</v>
          </cell>
          <cell r="V17">
            <v>1</v>
          </cell>
          <cell r="W17">
            <v>0</v>
          </cell>
          <cell r="X17">
            <v>2</v>
          </cell>
          <cell r="Y17">
            <v>30</v>
          </cell>
          <cell r="Z17">
            <v>1</v>
          </cell>
          <cell r="AA17">
            <v>0</v>
          </cell>
          <cell r="AB17">
            <v>1</v>
          </cell>
          <cell r="AC17">
            <v>0</v>
          </cell>
          <cell r="AD17">
            <v>1</v>
          </cell>
          <cell r="AE17">
            <v>0</v>
          </cell>
          <cell r="AF17">
            <v>1</v>
          </cell>
          <cell r="AG17">
            <v>0</v>
          </cell>
          <cell r="AH17">
            <v>1</v>
          </cell>
          <cell r="AI17">
            <v>0</v>
          </cell>
          <cell r="AJ17">
            <v>1</v>
          </cell>
          <cell r="AK17">
            <v>0</v>
          </cell>
          <cell r="AL17">
            <v>1</v>
          </cell>
          <cell r="AM17">
            <v>0</v>
          </cell>
          <cell r="AN17">
            <v>1</v>
          </cell>
          <cell r="AO17">
            <v>0</v>
          </cell>
          <cell r="AP17">
            <v>1</v>
          </cell>
          <cell r="AQ17">
            <v>0</v>
          </cell>
          <cell r="AR17">
            <v>1</v>
          </cell>
          <cell r="AS17">
            <v>0</v>
          </cell>
          <cell r="AU17">
            <v>0</v>
          </cell>
          <cell r="AW17">
            <v>0</v>
          </cell>
        </row>
        <row r="18">
          <cell r="A18" t="str">
            <v>PAPELERIA</v>
          </cell>
          <cell r="B18">
            <v>10</v>
          </cell>
          <cell r="C18">
            <v>42.1014234233512</v>
          </cell>
          <cell r="D18">
            <v>6</v>
          </cell>
          <cell r="E18">
            <v>15.647588489286184</v>
          </cell>
          <cell r="F18">
            <v>6</v>
          </cell>
          <cell r="G18">
            <v>15.647588489286184</v>
          </cell>
          <cell r="H18">
            <v>6</v>
          </cell>
          <cell r="I18">
            <v>15.647588489286184</v>
          </cell>
          <cell r="J18">
            <v>6</v>
          </cell>
          <cell r="K18">
            <v>15.647588489286184</v>
          </cell>
          <cell r="L18">
            <v>6</v>
          </cell>
          <cell r="M18">
            <v>15.647588489286184</v>
          </cell>
          <cell r="N18">
            <v>6</v>
          </cell>
          <cell r="O18">
            <v>15.647588489286184</v>
          </cell>
          <cell r="P18">
            <v>6</v>
          </cell>
          <cell r="Q18">
            <v>15.647588489286184</v>
          </cell>
          <cell r="R18">
            <v>6</v>
          </cell>
          <cell r="S18">
            <v>15.647588489286184</v>
          </cell>
          <cell r="T18">
            <v>6</v>
          </cell>
          <cell r="U18">
            <v>15.647588489286184</v>
          </cell>
          <cell r="V18">
            <v>6</v>
          </cell>
          <cell r="W18">
            <v>15.647588489286184</v>
          </cell>
          <cell r="X18">
            <v>7</v>
          </cell>
          <cell r="Y18">
            <v>88</v>
          </cell>
          <cell r="Z18">
            <v>6</v>
          </cell>
          <cell r="AA18">
            <v>15.647588489286184</v>
          </cell>
          <cell r="AB18">
            <v>6</v>
          </cell>
          <cell r="AC18">
            <v>15.647588489286184</v>
          </cell>
          <cell r="AD18">
            <v>6</v>
          </cell>
          <cell r="AE18">
            <v>15.647588489286184</v>
          </cell>
          <cell r="AF18">
            <v>6</v>
          </cell>
          <cell r="AG18">
            <v>15.647588489286184</v>
          </cell>
          <cell r="AH18">
            <v>6</v>
          </cell>
          <cell r="AI18">
            <v>15.647588489286184</v>
          </cell>
          <cell r="AJ18">
            <v>6</v>
          </cell>
          <cell r="AK18">
            <v>15.647588489286184</v>
          </cell>
          <cell r="AL18">
            <v>6</v>
          </cell>
          <cell r="AM18">
            <v>15.647588489286184</v>
          </cell>
          <cell r="AN18">
            <v>6</v>
          </cell>
          <cell r="AO18">
            <v>15.647588489286184</v>
          </cell>
          <cell r="AP18">
            <v>6</v>
          </cell>
          <cell r="AQ18">
            <v>15.647588489286184</v>
          </cell>
          <cell r="AR18">
            <v>6</v>
          </cell>
          <cell r="AS18">
            <v>15.647588489286184</v>
          </cell>
          <cell r="AU18">
            <v>15.647588489286184</v>
          </cell>
          <cell r="AW18">
            <v>15.647588489286184</v>
          </cell>
        </row>
        <row r="19">
          <cell r="A19" t="str">
            <v>LIBROS</v>
          </cell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0</v>
          </cell>
          <cell r="AJ19">
            <v>0</v>
          </cell>
          <cell r="AK19">
            <v>0</v>
          </cell>
          <cell r="AL19">
            <v>0</v>
          </cell>
          <cell r="AM19">
            <v>0</v>
          </cell>
          <cell r="AN19">
            <v>0</v>
          </cell>
          <cell r="AO19">
            <v>0</v>
          </cell>
          <cell r="AP19">
            <v>0</v>
          </cell>
          <cell r="AQ19">
            <v>0</v>
          </cell>
          <cell r="AR19">
            <v>0</v>
          </cell>
          <cell r="AS19">
            <v>0</v>
          </cell>
          <cell r="AU19">
            <v>0</v>
          </cell>
          <cell r="AW19">
            <v>0</v>
          </cell>
        </row>
        <row r="20">
          <cell r="A20" t="str">
            <v>REVISTAS</v>
          </cell>
          <cell r="B20">
            <v>0</v>
          </cell>
          <cell r="C20">
            <v>921.36256568218869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  <cell r="AI20">
            <v>0</v>
          </cell>
          <cell r="AJ20">
            <v>0</v>
          </cell>
          <cell r="AK20">
            <v>0</v>
          </cell>
          <cell r="AL20">
            <v>0</v>
          </cell>
          <cell r="AM20">
            <v>0</v>
          </cell>
          <cell r="AN20">
            <v>0</v>
          </cell>
          <cell r="AO20">
            <v>0</v>
          </cell>
          <cell r="AP20">
            <v>0</v>
          </cell>
          <cell r="AQ20">
            <v>0</v>
          </cell>
          <cell r="AR20">
            <v>0</v>
          </cell>
          <cell r="AS20">
            <v>0</v>
          </cell>
          <cell r="AU20">
            <v>0</v>
          </cell>
          <cell r="AW20">
            <v>0</v>
          </cell>
        </row>
        <row r="21">
          <cell r="A21" t="str">
            <v>AGENDAS</v>
          </cell>
          <cell r="B21">
            <v>0.05</v>
          </cell>
          <cell r="C21">
            <v>11.282749808639258</v>
          </cell>
          <cell r="D21">
            <v>0.5</v>
          </cell>
          <cell r="E21">
            <v>0</v>
          </cell>
          <cell r="F21">
            <v>0.5</v>
          </cell>
          <cell r="G21">
            <v>0</v>
          </cell>
          <cell r="H21">
            <v>0.5</v>
          </cell>
          <cell r="I21">
            <v>0</v>
          </cell>
          <cell r="J21">
            <v>0.5</v>
          </cell>
          <cell r="K21">
            <v>0</v>
          </cell>
          <cell r="L21">
            <v>0.5</v>
          </cell>
          <cell r="M21">
            <v>0</v>
          </cell>
          <cell r="N21">
            <v>0.5</v>
          </cell>
          <cell r="O21">
            <v>0</v>
          </cell>
          <cell r="P21">
            <v>0.5</v>
          </cell>
          <cell r="Q21">
            <v>0</v>
          </cell>
          <cell r="R21">
            <v>0.5</v>
          </cell>
          <cell r="S21">
            <v>0</v>
          </cell>
          <cell r="T21">
            <v>0.5</v>
          </cell>
          <cell r="U21">
            <v>0</v>
          </cell>
          <cell r="V21">
            <v>0.5</v>
          </cell>
          <cell r="W21">
            <v>0</v>
          </cell>
          <cell r="X21">
            <v>0</v>
          </cell>
          <cell r="Y21">
            <v>0</v>
          </cell>
          <cell r="Z21">
            <v>0.5</v>
          </cell>
          <cell r="AA21">
            <v>0</v>
          </cell>
          <cell r="AB21">
            <v>0.5</v>
          </cell>
          <cell r="AC21">
            <v>0</v>
          </cell>
          <cell r="AD21">
            <v>0.5</v>
          </cell>
          <cell r="AE21">
            <v>0</v>
          </cell>
          <cell r="AF21">
            <v>0.5</v>
          </cell>
          <cell r="AG21">
            <v>0</v>
          </cell>
          <cell r="AH21">
            <v>0.5</v>
          </cell>
          <cell r="AI21">
            <v>0</v>
          </cell>
          <cell r="AJ21">
            <v>0.5</v>
          </cell>
          <cell r="AK21">
            <v>0</v>
          </cell>
          <cell r="AL21">
            <v>0.5</v>
          </cell>
          <cell r="AM21">
            <v>0</v>
          </cell>
          <cell r="AN21">
            <v>0.5</v>
          </cell>
          <cell r="AO21">
            <v>0</v>
          </cell>
          <cell r="AP21">
            <v>0.5</v>
          </cell>
          <cell r="AQ21">
            <v>0</v>
          </cell>
          <cell r="AR21">
            <v>0.5</v>
          </cell>
          <cell r="AS21">
            <v>0</v>
          </cell>
          <cell r="AU21">
            <v>0</v>
          </cell>
          <cell r="AW21">
            <v>0</v>
          </cell>
        </row>
        <row r="23">
          <cell r="A23" t="str">
            <v>Productos en Proceso</v>
          </cell>
          <cell r="B23">
            <v>115</v>
          </cell>
          <cell r="D23">
            <v>81</v>
          </cell>
          <cell r="F23">
            <v>81</v>
          </cell>
          <cell r="H23">
            <v>81</v>
          </cell>
          <cell r="J23">
            <v>81</v>
          </cell>
          <cell r="L23">
            <v>81</v>
          </cell>
          <cell r="N23">
            <v>81</v>
          </cell>
          <cell r="P23">
            <v>81</v>
          </cell>
          <cell r="R23">
            <v>81</v>
          </cell>
          <cell r="T23">
            <v>81</v>
          </cell>
          <cell r="V23">
            <v>81</v>
          </cell>
          <cell r="X23">
            <v>7</v>
          </cell>
          <cell r="Z23">
            <v>81</v>
          </cell>
          <cell r="AB23">
            <v>81</v>
          </cell>
          <cell r="AD23">
            <v>81</v>
          </cell>
          <cell r="AF23">
            <v>81</v>
          </cell>
          <cell r="AH23">
            <v>81</v>
          </cell>
          <cell r="AJ23">
            <v>81</v>
          </cell>
          <cell r="AL23">
            <v>81</v>
          </cell>
          <cell r="AN23">
            <v>81</v>
          </cell>
          <cell r="AP23">
            <v>81</v>
          </cell>
          <cell r="AR23">
            <v>81</v>
          </cell>
          <cell r="AT23">
            <v>43</v>
          </cell>
          <cell r="AV23">
            <v>-43</v>
          </cell>
        </row>
        <row r="24">
          <cell r="A24" t="str">
            <v>Empaques</v>
          </cell>
          <cell r="B24">
            <v>30</v>
          </cell>
          <cell r="D24">
            <v>29</v>
          </cell>
          <cell r="F24">
            <v>29</v>
          </cell>
          <cell r="H24">
            <v>29</v>
          </cell>
          <cell r="J24">
            <v>29</v>
          </cell>
          <cell r="L24">
            <v>29</v>
          </cell>
          <cell r="N24">
            <v>29</v>
          </cell>
          <cell r="P24">
            <v>29</v>
          </cell>
          <cell r="R24">
            <v>29</v>
          </cell>
          <cell r="T24">
            <v>29</v>
          </cell>
          <cell r="V24">
            <v>29</v>
          </cell>
          <cell r="X24">
            <v>41</v>
          </cell>
          <cell r="Z24">
            <v>29</v>
          </cell>
          <cell r="AB24">
            <v>29</v>
          </cell>
          <cell r="AD24">
            <v>29</v>
          </cell>
          <cell r="AF24">
            <v>29</v>
          </cell>
          <cell r="AH24">
            <v>29</v>
          </cell>
          <cell r="AJ24">
            <v>29</v>
          </cell>
          <cell r="AL24">
            <v>29</v>
          </cell>
          <cell r="AN24">
            <v>29</v>
          </cell>
          <cell r="AP24">
            <v>29</v>
          </cell>
          <cell r="AR24">
            <v>29</v>
          </cell>
          <cell r="AT24">
            <v>16</v>
          </cell>
          <cell r="AV24">
            <v>-14</v>
          </cell>
        </row>
        <row r="25">
          <cell r="A25" t="str">
            <v>Suministros</v>
          </cell>
          <cell r="B25">
            <v>27</v>
          </cell>
          <cell r="D25">
            <v>29</v>
          </cell>
          <cell r="F25">
            <v>29</v>
          </cell>
          <cell r="H25">
            <v>29</v>
          </cell>
          <cell r="J25">
            <v>29</v>
          </cell>
          <cell r="L25">
            <v>29</v>
          </cell>
          <cell r="N25">
            <v>29</v>
          </cell>
          <cell r="P25">
            <v>29</v>
          </cell>
          <cell r="R25">
            <v>29</v>
          </cell>
          <cell r="T25">
            <v>29</v>
          </cell>
          <cell r="V25">
            <v>29</v>
          </cell>
          <cell r="X25">
            <v>45</v>
          </cell>
          <cell r="Z25">
            <v>29</v>
          </cell>
          <cell r="AB25">
            <v>29</v>
          </cell>
          <cell r="AD25">
            <v>29</v>
          </cell>
          <cell r="AF25">
            <v>29</v>
          </cell>
          <cell r="AH25">
            <v>29</v>
          </cell>
          <cell r="AJ25">
            <v>29</v>
          </cell>
          <cell r="AL25">
            <v>29</v>
          </cell>
          <cell r="AN25">
            <v>29</v>
          </cell>
          <cell r="AP25">
            <v>29</v>
          </cell>
          <cell r="AR25">
            <v>29</v>
          </cell>
          <cell r="AT25">
            <v>108</v>
          </cell>
          <cell r="AV25">
            <v>117</v>
          </cell>
        </row>
        <row r="26">
          <cell r="A26" t="str">
            <v>Repuestos</v>
          </cell>
          <cell r="B26">
            <v>253</v>
          </cell>
          <cell r="D26">
            <v>296</v>
          </cell>
          <cell r="F26">
            <v>296</v>
          </cell>
          <cell r="H26">
            <v>296</v>
          </cell>
          <cell r="J26">
            <v>296</v>
          </cell>
          <cell r="L26">
            <v>296</v>
          </cell>
          <cell r="N26">
            <v>296</v>
          </cell>
          <cell r="P26">
            <v>296</v>
          </cell>
          <cell r="R26">
            <v>296</v>
          </cell>
          <cell r="T26">
            <v>296</v>
          </cell>
          <cell r="V26">
            <v>296</v>
          </cell>
          <cell r="X26">
            <v>394</v>
          </cell>
          <cell r="Z26">
            <v>296</v>
          </cell>
          <cell r="AB26">
            <v>296</v>
          </cell>
          <cell r="AD26">
            <v>296</v>
          </cell>
          <cell r="AF26">
            <v>296</v>
          </cell>
          <cell r="AH26">
            <v>296</v>
          </cell>
          <cell r="AJ26">
            <v>296</v>
          </cell>
          <cell r="AL26">
            <v>296</v>
          </cell>
          <cell r="AN26">
            <v>296</v>
          </cell>
          <cell r="AP26">
            <v>296</v>
          </cell>
          <cell r="AR26">
            <v>296</v>
          </cell>
          <cell r="AT26">
            <v>365</v>
          </cell>
          <cell r="AV26">
            <v>424</v>
          </cell>
        </row>
        <row r="27">
          <cell r="A27" t="str">
            <v>Transito</v>
          </cell>
          <cell r="B27">
            <v>1096</v>
          </cell>
          <cell r="D27">
            <v>668</v>
          </cell>
          <cell r="F27">
            <v>668</v>
          </cell>
          <cell r="H27">
            <v>668</v>
          </cell>
          <cell r="J27">
            <v>668</v>
          </cell>
          <cell r="L27">
            <v>668</v>
          </cell>
          <cell r="N27">
            <v>668</v>
          </cell>
          <cell r="P27">
            <v>668</v>
          </cell>
          <cell r="R27">
            <v>668</v>
          </cell>
          <cell r="T27">
            <v>668</v>
          </cell>
          <cell r="V27">
            <v>668</v>
          </cell>
          <cell r="X27">
            <v>492</v>
          </cell>
          <cell r="Z27">
            <v>668</v>
          </cell>
          <cell r="AB27">
            <v>668</v>
          </cell>
          <cell r="AD27">
            <v>668</v>
          </cell>
          <cell r="AF27">
            <v>668</v>
          </cell>
          <cell r="AH27">
            <v>668</v>
          </cell>
          <cell r="AJ27">
            <v>668</v>
          </cell>
          <cell r="AL27">
            <v>668</v>
          </cell>
          <cell r="AN27">
            <v>668</v>
          </cell>
          <cell r="AP27">
            <v>668</v>
          </cell>
          <cell r="AR27">
            <v>668</v>
          </cell>
          <cell r="AT27">
            <v>2140</v>
          </cell>
          <cell r="AV27">
            <v>2128</v>
          </cell>
        </row>
        <row r="28">
          <cell r="A28" t="str">
            <v>Provisiones</v>
          </cell>
          <cell r="B28">
            <v>0</v>
          </cell>
          <cell r="D28">
            <v>157</v>
          </cell>
          <cell r="F28">
            <v>157</v>
          </cell>
          <cell r="H28">
            <v>157</v>
          </cell>
          <cell r="J28">
            <v>157</v>
          </cell>
          <cell r="L28">
            <v>157</v>
          </cell>
          <cell r="N28">
            <v>157</v>
          </cell>
          <cell r="P28">
            <v>157</v>
          </cell>
          <cell r="R28">
            <v>157</v>
          </cell>
          <cell r="T28">
            <v>157</v>
          </cell>
          <cell r="V28">
            <v>157</v>
          </cell>
          <cell r="X28">
            <v>467</v>
          </cell>
          <cell r="Z28">
            <v>157</v>
          </cell>
          <cell r="AB28">
            <v>157</v>
          </cell>
          <cell r="AD28">
            <v>157</v>
          </cell>
          <cell r="AF28">
            <v>157</v>
          </cell>
          <cell r="AH28">
            <v>157</v>
          </cell>
          <cell r="AJ28">
            <v>157</v>
          </cell>
          <cell r="AL28">
            <v>157</v>
          </cell>
          <cell r="AN28">
            <v>157</v>
          </cell>
          <cell r="AP28">
            <v>157</v>
          </cell>
          <cell r="AR28">
            <v>157</v>
          </cell>
          <cell r="AV28">
            <v>0</v>
          </cell>
        </row>
        <row r="30">
          <cell r="A30" t="str">
            <v>Total M.P, Materiales y Repuestos</v>
          </cell>
          <cell r="B30">
            <v>5148.75</v>
          </cell>
          <cell r="C30">
            <v>143</v>
          </cell>
          <cell r="D30">
            <v>5956.5</v>
          </cell>
          <cell r="E30">
            <v>136</v>
          </cell>
          <cell r="F30">
            <v>5956.5</v>
          </cell>
          <cell r="G30">
            <v>136</v>
          </cell>
          <cell r="H30">
            <v>5956.5</v>
          </cell>
          <cell r="I30">
            <v>136</v>
          </cell>
          <cell r="J30">
            <v>5956.5</v>
          </cell>
          <cell r="K30">
            <v>136</v>
          </cell>
          <cell r="L30">
            <v>5956.5</v>
          </cell>
          <cell r="M30">
            <v>136</v>
          </cell>
          <cell r="N30">
            <v>5956.5</v>
          </cell>
          <cell r="O30">
            <v>136</v>
          </cell>
          <cell r="P30">
            <v>5956.5</v>
          </cell>
          <cell r="Q30">
            <v>136</v>
          </cell>
          <cell r="R30">
            <v>5956.5</v>
          </cell>
          <cell r="S30">
            <v>136</v>
          </cell>
          <cell r="T30">
            <v>5956.5</v>
          </cell>
          <cell r="U30">
            <v>136</v>
          </cell>
          <cell r="V30">
            <v>5956.5</v>
          </cell>
          <cell r="W30">
            <v>136</v>
          </cell>
          <cell r="X30">
            <v>6463</v>
          </cell>
          <cell r="Y30">
            <v>131</v>
          </cell>
          <cell r="Z30">
            <v>5956.5</v>
          </cell>
          <cell r="AA30">
            <v>136</v>
          </cell>
          <cell r="AB30">
            <v>5956.5</v>
          </cell>
          <cell r="AC30">
            <v>136</v>
          </cell>
          <cell r="AD30">
            <v>5956.5</v>
          </cell>
          <cell r="AE30">
            <v>136</v>
          </cell>
          <cell r="AF30">
            <v>5956.5</v>
          </cell>
          <cell r="AG30">
            <v>136</v>
          </cell>
          <cell r="AH30">
            <v>5956.5</v>
          </cell>
          <cell r="AI30">
            <v>136</v>
          </cell>
          <cell r="AJ30">
            <v>5956.5</v>
          </cell>
          <cell r="AK30">
            <v>136</v>
          </cell>
          <cell r="AL30">
            <v>5956.5</v>
          </cell>
          <cell r="AM30">
            <v>136</v>
          </cell>
          <cell r="AN30">
            <v>5956.5</v>
          </cell>
          <cell r="AO30">
            <v>136</v>
          </cell>
          <cell r="AP30">
            <v>5956.5</v>
          </cell>
          <cell r="AQ30">
            <v>136</v>
          </cell>
          <cell r="AR30">
            <v>5956.5</v>
          </cell>
          <cell r="AS30">
            <v>136</v>
          </cell>
          <cell r="AT30">
            <v>7227</v>
          </cell>
          <cell r="AU30">
            <v>136</v>
          </cell>
          <cell r="AV30">
            <v>5689</v>
          </cell>
          <cell r="AW30">
            <v>136</v>
          </cell>
        </row>
      </sheetData>
      <sheetData sheetId="18">
        <row r="8">
          <cell r="D8" t="str">
            <v>2020</v>
          </cell>
          <cell r="E8" t="str">
            <v>enero</v>
          </cell>
          <cell r="F8" t="str">
            <v>febrero</v>
          </cell>
          <cell r="G8" t="str">
            <v>marzo</v>
          </cell>
          <cell r="H8" t="str">
            <v>abril</v>
          </cell>
          <cell r="I8" t="str">
            <v>mayo</v>
          </cell>
          <cell r="J8" t="str">
            <v>junio</v>
          </cell>
          <cell r="K8" t="str">
            <v>julio</v>
          </cell>
          <cell r="L8" t="str">
            <v>agosto</v>
          </cell>
          <cell r="M8" t="str">
            <v>Septiembre</v>
          </cell>
          <cell r="N8" t="str">
            <v>Octubre</v>
          </cell>
          <cell r="O8" t="str">
            <v>Noviembre</v>
          </cell>
          <cell r="P8" t="str">
            <v>Diciembre</v>
          </cell>
        </row>
        <row r="9">
          <cell r="C9" t="str">
            <v>Cuentas por Cobrar Total</v>
          </cell>
          <cell r="D9">
            <v>4465.5877899999996</v>
          </cell>
          <cell r="E9">
            <v>4561.4764500000001</v>
          </cell>
          <cell r="F9">
            <v>4787.2235200000005</v>
          </cell>
          <cell r="G9">
            <v>4606.6869100000004</v>
          </cell>
          <cell r="H9">
            <v>4751.7744499999999</v>
          </cell>
          <cell r="I9">
            <v>4860.789060000001</v>
          </cell>
          <cell r="J9">
            <v>4950.3661900000006</v>
          </cell>
          <cell r="K9">
            <v>5642.4735799999999</v>
          </cell>
          <cell r="L9">
            <v>6457.2515000000003</v>
          </cell>
          <cell r="M9">
            <v>6438.4210300000004</v>
          </cell>
          <cell r="N9">
            <v>6047.4021600000005</v>
          </cell>
          <cell r="O9">
            <v>6573.6802700000007</v>
          </cell>
          <cell r="P9">
            <v>5919.8885800000007</v>
          </cell>
        </row>
        <row r="10">
          <cell r="C10" t="str">
            <v>Existencias</v>
          </cell>
          <cell r="D10">
            <v>5728.3623100000013</v>
          </cell>
          <cell r="E10">
            <v>6740.8965200000002</v>
          </cell>
          <cell r="F10">
            <v>6894.19265</v>
          </cell>
          <cell r="G10">
            <v>7104.5121000000008</v>
          </cell>
          <cell r="H10">
            <v>6723.83799</v>
          </cell>
          <cell r="I10">
            <v>6584.4177800000007</v>
          </cell>
          <cell r="J10">
            <v>7212.5864800000008</v>
          </cell>
          <cell r="K10">
            <v>6629.5215400000006</v>
          </cell>
          <cell r="L10">
            <v>5869.3073500000019</v>
          </cell>
          <cell r="M10">
            <v>5990.1202100000019</v>
          </cell>
          <cell r="N10">
            <v>6333.9488400000018</v>
          </cell>
          <cell r="O10">
            <v>7228.7989300000017</v>
          </cell>
          <cell r="P10">
            <v>8589.7716400000027</v>
          </cell>
        </row>
        <row r="11">
          <cell r="C11" t="str">
            <v>Proveedores</v>
          </cell>
          <cell r="D11">
            <v>-3832.4186500000001</v>
          </cell>
          <cell r="E11">
            <v>-3264.4911899999997</v>
          </cell>
          <cell r="F11">
            <v>-3351.7517500000004</v>
          </cell>
          <cell r="G11">
            <v>-3763.4023300000003</v>
          </cell>
          <cell r="H11">
            <v>-3371.3021200000007</v>
          </cell>
          <cell r="I11">
            <v>-2458.6992200000013</v>
          </cell>
          <cell r="J11">
            <v>-3639.9348600000008</v>
          </cell>
          <cell r="K11">
            <v>-2722.3495500000008</v>
          </cell>
          <cell r="L11">
            <v>-3722.2484800000007</v>
          </cell>
          <cell r="M11">
            <v>-3840.7026600000008</v>
          </cell>
          <cell r="N11">
            <v>-3465.2804699999997</v>
          </cell>
          <cell r="O11">
            <v>-4845.3476299999984</v>
          </cell>
          <cell r="P11">
            <v>-5845.5410200000006</v>
          </cell>
        </row>
        <row r="15">
          <cell r="D15">
            <v>2013</v>
          </cell>
          <cell r="E15">
            <v>2014</v>
          </cell>
          <cell r="F15">
            <v>2015</v>
          </cell>
          <cell r="G15">
            <v>2016</v>
          </cell>
          <cell r="H15">
            <v>2017</v>
          </cell>
          <cell r="I15">
            <v>2018</v>
          </cell>
          <cell r="J15">
            <v>2019</v>
          </cell>
          <cell r="K15">
            <v>2020</v>
          </cell>
          <cell r="L15">
            <v>2021</v>
          </cell>
          <cell r="M15">
            <v>2021</v>
          </cell>
          <cell r="N15">
            <v>2022</v>
          </cell>
          <cell r="O15">
            <v>2023</v>
          </cell>
          <cell r="P15">
            <v>2024</v>
          </cell>
        </row>
        <row r="16">
          <cell r="C16" t="str">
            <v>Working Capital</v>
          </cell>
          <cell r="D16">
            <v>6361.5314500000022</v>
          </cell>
          <cell r="E16">
            <v>8037.8817800000006</v>
          </cell>
          <cell r="F16">
            <v>8329.664420000001</v>
          </cell>
          <cell r="G16">
            <v>7947.7966799999995</v>
          </cell>
          <cell r="H16">
            <v>8104.3103200000005</v>
          </cell>
          <cell r="I16">
            <v>8986.5076200000003</v>
          </cell>
          <cell r="J16">
            <v>8523.0178100000012</v>
          </cell>
          <cell r="K16">
            <v>9549.6455699999988</v>
          </cell>
          <cell r="L16">
            <v>8604.3103700000011</v>
          </cell>
          <cell r="M16">
            <v>8587.8385800000015</v>
          </cell>
          <cell r="N16">
            <v>8916.0705300000027</v>
          </cell>
          <cell r="O16">
            <v>8957.1315700000032</v>
          </cell>
          <cell r="P16">
            <v>8664.1192000000028</v>
          </cell>
        </row>
        <row r="17">
          <cell r="C17" t="str">
            <v>Costo Capital%</v>
          </cell>
          <cell r="D17">
            <v>0.29190252004488354</v>
          </cell>
          <cell r="E17">
            <v>0.26570759860296084</v>
          </cell>
          <cell r="F17">
            <v>0.27535303339665751</v>
          </cell>
          <cell r="G17">
            <v>0.26272966284251381</v>
          </cell>
          <cell r="H17">
            <v>0.26790352140018575</v>
          </cell>
          <cell r="I17">
            <v>0.29706624517403751</v>
          </cell>
          <cell r="J17">
            <v>0.28174470054788076</v>
          </cell>
          <cell r="K17">
            <v>0.31568185018940437</v>
          </cell>
          <cell r="L17">
            <v>0.2844319820348557</v>
          </cell>
          <cell r="M17">
            <v>0.28388747542411125</v>
          </cell>
          <cell r="N17">
            <v>0.29473781206830951</v>
          </cell>
          <cell r="O17">
            <v>0.2960951634990916</v>
          </cell>
          <cell r="P17">
            <v>0.28640907762166751</v>
          </cell>
        </row>
        <row r="36">
          <cell r="T36">
            <v>0.29190252004488354</v>
          </cell>
          <cell r="AF36">
            <v>0.28640907762166751</v>
          </cell>
        </row>
      </sheetData>
      <sheetData sheetId="19"/>
      <sheetData sheetId="20"/>
      <sheetData sheetId="21"/>
      <sheetData sheetId="22">
        <row r="47">
          <cell r="C47">
            <v>2020</v>
          </cell>
          <cell r="D47" t="str">
            <v>Volumen</v>
          </cell>
          <cell r="E47" t="str">
            <v>Precio/Mix</v>
          </cell>
          <cell r="F47">
            <v>2021</v>
          </cell>
        </row>
        <row r="48">
          <cell r="A48" t="str">
            <v>Venta 2016</v>
          </cell>
          <cell r="C48">
            <v>21792.606795999996</v>
          </cell>
          <cell r="D48">
            <v>21792.606795999996</v>
          </cell>
          <cell r="E48">
            <v>21941.606795999996</v>
          </cell>
          <cell r="F48">
            <v>30265.084684999994</v>
          </cell>
        </row>
        <row r="49">
          <cell r="A49" t="str">
            <v>Volumen</v>
          </cell>
          <cell r="D49">
            <v>1573.3985831565681</v>
          </cell>
          <cell r="E49">
            <v>6899.0793058434292</v>
          </cell>
        </row>
      </sheetData>
      <sheetData sheetId="23">
        <row r="26">
          <cell r="A26" t="str">
            <v>ene. 2020</v>
          </cell>
          <cell r="B26">
            <v>197.32</v>
          </cell>
        </row>
        <row r="27">
          <cell r="A27" t="str">
            <v>feb. 2020</v>
          </cell>
          <cell r="B27">
            <v>203.34</v>
          </cell>
        </row>
        <row r="28">
          <cell r="A28" t="str">
            <v>mar. 2020</v>
          </cell>
          <cell r="B28">
            <v>202.36</v>
          </cell>
        </row>
        <row r="29">
          <cell r="A29" t="str">
            <v>abr. 2020</v>
          </cell>
          <cell r="B29">
            <v>194.94</v>
          </cell>
        </row>
        <row r="30">
          <cell r="A30" t="str">
            <v>may. 2020</v>
          </cell>
          <cell r="B30">
            <v>187.17</v>
          </cell>
        </row>
        <row r="31">
          <cell r="A31" t="str">
            <v>jun. 2020</v>
          </cell>
          <cell r="B31">
            <v>188.15</v>
          </cell>
        </row>
        <row r="32">
          <cell r="A32" t="str">
            <v>jul. 2020</v>
          </cell>
          <cell r="B32">
            <v>192.36</v>
          </cell>
        </row>
        <row r="33">
          <cell r="A33" t="str">
            <v>ago. 2020</v>
          </cell>
          <cell r="B33">
            <v>193.14</v>
          </cell>
        </row>
        <row r="34">
          <cell r="A34" t="str">
            <v>sep. 2020</v>
          </cell>
          <cell r="B34">
            <v>203.23</v>
          </cell>
        </row>
        <row r="35">
          <cell r="A35" t="str">
            <v>oct. 2020</v>
          </cell>
          <cell r="B35">
            <v>202.01</v>
          </cell>
        </row>
        <row r="36">
          <cell r="A36" t="str">
            <v>nov. 2020</v>
          </cell>
          <cell r="B36">
            <v>236.58</v>
          </cell>
        </row>
        <row r="37">
          <cell r="A37" t="str">
            <v>dic. 2020</v>
          </cell>
          <cell r="B37">
            <v>219.67</v>
          </cell>
        </row>
        <row r="38">
          <cell r="A38" t="str">
            <v>ene. 2021</v>
          </cell>
          <cell r="B38">
            <v>225.01</v>
          </cell>
        </row>
        <row r="39">
          <cell r="A39" t="str">
            <v>feb. 2021</v>
          </cell>
          <cell r="B39">
            <v>217.93</v>
          </cell>
        </row>
        <row r="40">
          <cell r="A40" t="str">
            <v>mar. 2021</v>
          </cell>
          <cell r="B40">
            <v>230.33</v>
          </cell>
        </row>
        <row r="41">
          <cell r="A41" t="str">
            <v>abr. 2021</v>
          </cell>
          <cell r="B41">
            <v>234.01</v>
          </cell>
        </row>
        <row r="42">
          <cell r="A42" t="str">
            <v>may. 2021</v>
          </cell>
          <cell r="B42">
            <v>235.78</v>
          </cell>
        </row>
        <row r="43">
          <cell r="A43" t="str">
            <v>jun. 2021</v>
          </cell>
          <cell r="B43">
            <v>232.03</v>
          </cell>
        </row>
        <row r="44">
          <cell r="A44" t="str">
            <v>jul. 2021</v>
          </cell>
          <cell r="B44">
            <v>245.16</v>
          </cell>
        </row>
        <row r="45">
          <cell r="A45" t="str">
            <v>Ago. 2021</v>
          </cell>
          <cell r="B45">
            <v>222.49</v>
          </cell>
        </row>
        <row r="46">
          <cell r="A46" t="str">
            <v>Sep. 2021</v>
          </cell>
          <cell r="B46">
            <v>262.10000000000002</v>
          </cell>
        </row>
        <row r="47">
          <cell r="A47" t="str">
            <v>Oct. 2021</v>
          </cell>
          <cell r="B47">
            <v>262.10000000000002</v>
          </cell>
        </row>
        <row r="48">
          <cell r="A48" t="str">
            <v>Nov. 2021</v>
          </cell>
          <cell r="B48">
            <v>262.10000000000002</v>
          </cell>
        </row>
      </sheetData>
      <sheetData sheetId="24">
        <row r="3">
          <cell r="B3">
            <v>2004</v>
          </cell>
          <cell r="C3">
            <v>8.2110209173403845</v>
          </cell>
          <cell r="G3">
            <v>43739</v>
          </cell>
          <cell r="H3">
            <v>5.0000000000000001E-3</v>
          </cell>
        </row>
        <row r="4">
          <cell r="B4">
            <v>2005</v>
          </cell>
          <cell r="C4">
            <v>5.2913082669940215</v>
          </cell>
          <cell r="G4">
            <v>43770</v>
          </cell>
          <cell r="H4">
            <v>4.0000000000000002E-4</v>
          </cell>
        </row>
        <row r="5">
          <cell r="B5">
            <v>2006</v>
          </cell>
          <cell r="C5">
            <v>4.4035264338318614</v>
          </cell>
          <cell r="G5">
            <v>43800</v>
          </cell>
          <cell r="H5">
            <v>-6.9999999999999999E-4</v>
          </cell>
        </row>
        <row r="6">
          <cell r="B6">
            <v>2007</v>
          </cell>
          <cell r="C6">
            <v>2.190063972245393</v>
          </cell>
          <cell r="G6">
            <v>43831</v>
          </cell>
          <cell r="H6">
            <v>-3.0000000000000001E-3</v>
          </cell>
        </row>
        <row r="7">
          <cell r="B7">
            <v>2008</v>
          </cell>
          <cell r="C7">
            <v>6.3571305999083227</v>
          </cell>
          <cell r="G7">
            <v>43862</v>
          </cell>
          <cell r="H7">
            <v>-2.3E-3</v>
          </cell>
        </row>
        <row r="8">
          <cell r="B8">
            <v>2009</v>
          </cell>
          <cell r="C8">
            <v>0.56649159210009348</v>
          </cell>
          <cell r="G8">
            <v>43891</v>
          </cell>
          <cell r="H8">
            <v>1.8E-3</v>
          </cell>
        </row>
        <row r="9">
          <cell r="B9">
            <v>2010</v>
          </cell>
          <cell r="C9">
            <v>3.5252986689402688</v>
          </cell>
          <cell r="G9">
            <v>43922</v>
          </cell>
          <cell r="H9">
            <v>1.01E-2</v>
          </cell>
        </row>
        <row r="10">
          <cell r="B10">
            <v>2011</v>
          </cell>
          <cell r="C10">
            <v>7.8681409191099672</v>
          </cell>
          <cell r="G10">
            <v>43952</v>
          </cell>
          <cell r="H10">
            <v>7.4999999999999997E-3</v>
          </cell>
        </row>
        <row r="11">
          <cell r="B11">
            <v>2012</v>
          </cell>
          <cell r="C11">
            <v>5.2203457677122866</v>
          </cell>
          <cell r="G11">
            <v>43983</v>
          </cell>
          <cell r="H11">
            <v>1.6999999999999999E-3</v>
          </cell>
        </row>
        <row r="12">
          <cell r="B12">
            <v>2013</v>
          </cell>
          <cell r="C12">
            <v>4.6415722142554072</v>
          </cell>
          <cell r="G12">
            <v>44013</v>
          </cell>
          <cell r="H12">
            <v>-5.4000000000000003E-3</v>
          </cell>
        </row>
        <row r="13">
          <cell r="B13">
            <v>2014</v>
          </cell>
          <cell r="C13">
            <v>3.8</v>
          </cell>
          <cell r="G13">
            <v>44044</v>
          </cell>
          <cell r="H13">
            <v>-7.6E-3</v>
          </cell>
        </row>
        <row r="14">
          <cell r="B14">
            <v>2015</v>
          </cell>
          <cell r="C14">
            <v>0.2</v>
          </cell>
          <cell r="G14">
            <v>44075</v>
          </cell>
          <cell r="H14">
            <v>-8.9999999999999993E-3</v>
          </cell>
        </row>
        <row r="15">
          <cell r="B15">
            <v>2016</v>
          </cell>
          <cell r="C15">
            <v>-1.5</v>
          </cell>
          <cell r="G15">
            <v>44105</v>
          </cell>
          <cell r="H15">
            <v>-1.6E-2</v>
          </cell>
        </row>
        <row r="16">
          <cell r="B16">
            <v>2017</v>
          </cell>
          <cell r="C16">
            <v>2.4</v>
          </cell>
          <cell r="G16">
            <v>44136</v>
          </cell>
          <cell r="H16">
            <v>-9.1000000000000004E-3</v>
          </cell>
        </row>
        <row r="17">
          <cell r="B17">
            <v>2018</v>
          </cell>
          <cell r="C17">
            <v>1.3</v>
          </cell>
          <cell r="G17">
            <v>44166</v>
          </cell>
          <cell r="H17">
            <v>-9.2999999999999992E-3</v>
          </cell>
        </row>
        <row r="18">
          <cell r="B18">
            <v>2019</v>
          </cell>
          <cell r="C18">
            <v>0.1</v>
          </cell>
          <cell r="G18">
            <v>44197</v>
          </cell>
          <cell r="H18">
            <v>-1.04E-2</v>
          </cell>
        </row>
        <row r="19">
          <cell r="B19">
            <v>2020</v>
          </cell>
          <cell r="C19">
            <v>-7.8</v>
          </cell>
          <cell r="G19">
            <v>44228</v>
          </cell>
          <cell r="H19">
            <v>-8.0999999999999996E-3</v>
          </cell>
        </row>
        <row r="20">
          <cell r="B20">
            <v>2021</v>
          </cell>
          <cell r="C20">
            <v>3.55</v>
          </cell>
          <cell r="G20">
            <v>44256</v>
          </cell>
          <cell r="H20">
            <v>-8.3000000000000001E-3</v>
          </cell>
        </row>
        <row r="21">
          <cell r="G21">
            <v>44287</v>
          </cell>
          <cell r="H21">
            <v>-1.47E-2</v>
          </cell>
        </row>
        <row r="22">
          <cell r="G22">
            <v>44317</v>
          </cell>
          <cell r="H22">
            <v>-1.1299999999999999E-2</v>
          </cell>
        </row>
        <row r="23">
          <cell r="G23">
            <v>44348</v>
          </cell>
          <cell r="H23">
            <v>-6.8999999999999999E-3</v>
          </cell>
        </row>
        <row r="24">
          <cell r="G24">
            <v>44378</v>
          </cell>
          <cell r="H24">
            <v>4.4999999999999997E-3</v>
          </cell>
        </row>
        <row r="25">
          <cell r="G25">
            <v>44409</v>
          </cell>
          <cell r="H25">
            <v>8.8999999999999999E-3</v>
          </cell>
        </row>
        <row r="26">
          <cell r="G26">
            <v>44440</v>
          </cell>
          <cell r="H26">
            <v>1.0699999999999999E-2</v>
          </cell>
        </row>
        <row r="27">
          <cell r="G27">
            <v>44470</v>
          </cell>
          <cell r="H27">
            <v>1.47E-2</v>
          </cell>
        </row>
        <row r="28">
          <cell r="G28">
            <v>44501</v>
          </cell>
          <cell r="H28">
            <v>1.84E-2</v>
          </cell>
        </row>
        <row r="29">
          <cell r="G29">
            <v>44531</v>
          </cell>
          <cell r="H29">
            <v>0.02</v>
          </cell>
        </row>
        <row r="33">
          <cell r="H33" t="str">
            <v>Export</v>
          </cell>
          <cell r="I33" t="str">
            <v>Import</v>
          </cell>
        </row>
        <row r="34">
          <cell r="G34" t="str">
            <v>2013</v>
          </cell>
          <cell r="H34">
            <v>24750.933178687003</v>
          </cell>
          <cell r="I34">
            <v>25825.940252366003</v>
          </cell>
        </row>
        <row r="35">
          <cell r="G35" t="str">
            <v>2014</v>
          </cell>
          <cell r="H35">
            <v>25724.432490358999</v>
          </cell>
          <cell r="I35">
            <v>26447.595910245</v>
          </cell>
        </row>
        <row r="36">
          <cell r="G36" t="str">
            <v>2015</v>
          </cell>
          <cell r="H36">
            <v>18330.607691722998</v>
          </cell>
          <cell r="I36">
            <v>20460.228675148999</v>
          </cell>
        </row>
        <row r="37">
          <cell r="G37" t="str">
            <v>2016</v>
          </cell>
          <cell r="H37">
            <v>16797.666332412999</v>
          </cell>
          <cell r="I37">
            <v>15550.622696099996</v>
          </cell>
        </row>
        <row r="38">
          <cell r="G38" t="str">
            <v>2017</v>
          </cell>
          <cell r="H38">
            <v>19122.455099931001</v>
          </cell>
          <cell r="I38">
            <v>19033.237025609997</v>
          </cell>
        </row>
        <row r="39">
          <cell r="G39" t="str">
            <v>2018</v>
          </cell>
          <cell r="H39">
            <v>21628</v>
          </cell>
          <cell r="I39">
            <v>22105</v>
          </cell>
        </row>
        <row r="40">
          <cell r="G40" t="str">
            <v>2019</v>
          </cell>
          <cell r="H40">
            <v>22329</v>
          </cell>
          <cell r="I40">
            <v>21509</v>
          </cell>
        </row>
        <row r="41">
          <cell r="G41" t="str">
            <v>2020</v>
          </cell>
          <cell r="H41">
            <v>20226</v>
          </cell>
          <cell r="I41">
            <v>16987</v>
          </cell>
        </row>
      </sheetData>
      <sheetData sheetId="25">
        <row r="4">
          <cell r="B4" t="str">
            <v>CAR EST. MULTICAPAS</v>
          </cell>
          <cell r="C4" t="str">
            <v>PAPEL COUCHE</v>
          </cell>
          <cell r="D4" t="str">
            <v>POLYBOARD</v>
          </cell>
        </row>
        <row r="5">
          <cell r="A5" t="str">
            <v>ENE</v>
          </cell>
          <cell r="B5">
            <v>28</v>
          </cell>
          <cell r="D5">
            <v>633</v>
          </cell>
        </row>
        <row r="6">
          <cell r="A6" t="str">
            <v>FEB</v>
          </cell>
          <cell r="D6">
            <v>777</v>
          </cell>
        </row>
        <row r="7">
          <cell r="A7" t="str">
            <v>MAR</v>
          </cell>
          <cell r="B7">
            <v>99</v>
          </cell>
        </row>
        <row r="8">
          <cell r="A8" t="str">
            <v>ABR</v>
          </cell>
          <cell r="D8">
            <v>1464</v>
          </cell>
        </row>
        <row r="9">
          <cell r="A9" t="str">
            <v>MAY</v>
          </cell>
          <cell r="B9">
            <v>28.331</v>
          </cell>
          <cell r="D9">
            <v>346.262</v>
          </cell>
        </row>
        <row r="10">
          <cell r="A10" t="str">
            <v>JUN.</v>
          </cell>
          <cell r="B10">
            <v>51.466999999999999</v>
          </cell>
          <cell r="D10">
            <v>456</v>
          </cell>
        </row>
        <row r="11">
          <cell r="A11" t="str">
            <v>JUL.</v>
          </cell>
          <cell r="B11">
            <v>28.292000000000002</v>
          </cell>
          <cell r="D11">
            <v>632.89200000000005</v>
          </cell>
        </row>
        <row r="12">
          <cell r="A12" t="str">
            <v>AGT.</v>
          </cell>
          <cell r="B12">
            <v>56.82</v>
          </cell>
          <cell r="D12">
            <v>699.54</v>
          </cell>
        </row>
        <row r="13">
          <cell r="A13" t="str">
            <v>SEPT.</v>
          </cell>
          <cell r="B13">
            <v>117</v>
          </cell>
          <cell r="D13">
            <v>638</v>
          </cell>
        </row>
        <row r="14">
          <cell r="A14" t="str">
            <v>OCT.</v>
          </cell>
          <cell r="B14">
            <v>102</v>
          </cell>
          <cell r="D14">
            <v>1244</v>
          </cell>
        </row>
        <row r="15">
          <cell r="A15" t="str">
            <v>NOV.</v>
          </cell>
          <cell r="B15">
            <v>73</v>
          </cell>
          <cell r="C15">
            <v>24</v>
          </cell>
          <cell r="D15">
            <v>1192</v>
          </cell>
        </row>
        <row r="16">
          <cell r="A16" t="str">
            <v>DIC</v>
          </cell>
          <cell r="B16">
            <v>79</v>
          </cell>
          <cell r="D16">
            <v>1160</v>
          </cell>
        </row>
        <row r="36">
          <cell r="B36" t="str">
            <v>CAR EST. MULTICAPAS</v>
          </cell>
          <cell r="C36" t="str">
            <v>PAPEL COUCHE</v>
          </cell>
          <cell r="D36" t="str">
            <v>POLYBOARD</v>
          </cell>
        </row>
        <row r="37">
          <cell r="A37" t="str">
            <v>ENE</v>
          </cell>
          <cell r="B37">
            <v>1051.7271428571428</v>
          </cell>
          <cell r="C37">
            <v>0</v>
          </cell>
          <cell r="D37">
            <v>1184.3583254344392</v>
          </cell>
        </row>
        <row r="38">
          <cell r="A38" t="str">
            <v>FEB</v>
          </cell>
          <cell r="B38">
            <v>0</v>
          </cell>
          <cell r="C38">
            <v>0</v>
          </cell>
          <cell r="D38">
            <v>1137.7444272844273</v>
          </cell>
        </row>
        <row r="39">
          <cell r="A39" t="str">
            <v>MAR</v>
          </cell>
          <cell r="B39">
            <v>1061.3964646464647</v>
          </cell>
          <cell r="C39">
            <v>0</v>
          </cell>
          <cell r="D39">
            <v>0</v>
          </cell>
        </row>
        <row r="40">
          <cell r="A40" t="str">
            <v>ABR</v>
          </cell>
          <cell r="B40">
            <v>0</v>
          </cell>
          <cell r="C40">
            <v>0</v>
          </cell>
          <cell r="D40">
            <v>1173.8880601092897</v>
          </cell>
        </row>
        <row r="41">
          <cell r="A41" t="str">
            <v>MAY</v>
          </cell>
          <cell r="B41">
            <v>1051.6833150965374</v>
          </cell>
          <cell r="C41">
            <v>0</v>
          </cell>
          <cell r="D41">
            <v>1192.9060653493598</v>
          </cell>
        </row>
        <row r="42">
          <cell r="A42" t="str">
            <v>JUN.</v>
          </cell>
          <cell r="B42">
            <v>1038.8460567063555</v>
          </cell>
          <cell r="C42">
            <v>0</v>
          </cell>
          <cell r="D42">
            <v>1077.5916885964912</v>
          </cell>
        </row>
        <row r="43">
          <cell r="A43" t="str">
            <v>JUL.</v>
          </cell>
          <cell r="B43">
            <v>1040.8723314888307</v>
          </cell>
          <cell r="C43">
            <v>0</v>
          </cell>
          <cell r="D43">
            <v>1184.5604305315912</v>
          </cell>
        </row>
        <row r="44">
          <cell r="A44" t="str">
            <v>AGT.</v>
          </cell>
          <cell r="B44">
            <v>1049.6195005028865</v>
          </cell>
          <cell r="C44">
            <v>0</v>
          </cell>
          <cell r="D44">
            <v>1290.1451811190211</v>
          </cell>
        </row>
        <row r="45">
          <cell r="A45" t="str">
            <v>SEPT.</v>
          </cell>
          <cell r="B45">
            <v>1180.6239316239316</v>
          </cell>
          <cell r="C45">
            <v>0</v>
          </cell>
          <cell r="D45">
            <v>1370.3495297805644</v>
          </cell>
        </row>
        <row r="46">
          <cell r="A46" t="str">
            <v>OCT.</v>
          </cell>
          <cell r="B46">
            <v>1010.5490196078431</v>
          </cell>
          <cell r="C46">
            <v>0</v>
          </cell>
          <cell r="D46">
            <v>1551.9292604501609</v>
          </cell>
        </row>
        <row r="47">
          <cell r="A47" t="str">
            <v>NOV.</v>
          </cell>
          <cell r="B47">
            <v>1035.0684931506848</v>
          </cell>
          <cell r="C47">
            <v>1274.125</v>
          </cell>
          <cell r="D47">
            <v>1587.775167785235</v>
          </cell>
        </row>
        <row r="48">
          <cell r="A48" t="str">
            <v>DIC</v>
          </cell>
          <cell r="B48">
            <v>1036.0692405063292</v>
          </cell>
          <cell r="C48">
            <v>0</v>
          </cell>
          <cell r="D48">
            <v>1336.0536120689655</v>
          </cell>
        </row>
      </sheetData>
      <sheetData sheetId="26">
        <row r="2">
          <cell r="B2">
            <v>1</v>
          </cell>
          <cell r="C2">
            <v>1</v>
          </cell>
          <cell r="D2">
            <v>1</v>
          </cell>
          <cell r="E2">
            <v>1</v>
          </cell>
          <cell r="F2">
            <v>1</v>
          </cell>
          <cell r="G2">
            <v>2</v>
          </cell>
          <cell r="H2">
            <v>2</v>
          </cell>
          <cell r="I2">
            <v>2</v>
          </cell>
          <cell r="J2">
            <v>2</v>
          </cell>
          <cell r="K2">
            <v>2</v>
          </cell>
          <cell r="L2">
            <v>3</v>
          </cell>
          <cell r="M2">
            <v>3</v>
          </cell>
          <cell r="N2">
            <v>3</v>
          </cell>
          <cell r="O2">
            <v>3</v>
          </cell>
          <cell r="P2">
            <v>3</v>
          </cell>
          <cell r="Q2">
            <v>4</v>
          </cell>
          <cell r="R2">
            <v>4</v>
          </cell>
          <cell r="S2">
            <v>4</v>
          </cell>
          <cell r="T2">
            <v>4</v>
          </cell>
          <cell r="U2">
            <v>4</v>
          </cell>
          <cell r="V2">
            <v>5</v>
          </cell>
          <cell r="W2">
            <v>5</v>
          </cell>
          <cell r="X2">
            <v>5</v>
          </cell>
          <cell r="Y2">
            <v>5</v>
          </cell>
          <cell r="Z2">
            <v>5</v>
          </cell>
          <cell r="AA2">
            <v>6</v>
          </cell>
          <cell r="AB2">
            <v>6</v>
          </cell>
          <cell r="AC2">
            <v>6</v>
          </cell>
          <cell r="AD2">
            <v>6</v>
          </cell>
          <cell r="AE2">
            <v>6</v>
          </cell>
          <cell r="AF2">
            <v>7</v>
          </cell>
          <cell r="AG2">
            <v>7</v>
          </cell>
          <cell r="AH2">
            <v>7</v>
          </cell>
          <cell r="AI2">
            <v>7</v>
          </cell>
          <cell r="AJ2">
            <v>7</v>
          </cell>
          <cell r="AK2">
            <v>8</v>
          </cell>
          <cell r="AL2">
            <v>8</v>
          </cell>
          <cell r="AM2">
            <v>8</v>
          </cell>
          <cell r="AN2">
            <v>8</v>
          </cell>
          <cell r="AO2">
            <v>8</v>
          </cell>
          <cell r="AP2">
            <v>9</v>
          </cell>
          <cell r="AQ2">
            <v>9</v>
          </cell>
          <cell r="AR2">
            <v>9</v>
          </cell>
          <cell r="AS2">
            <v>9</v>
          </cell>
          <cell r="AT2">
            <v>9</v>
          </cell>
          <cell r="AU2">
            <v>10</v>
          </cell>
          <cell r="AV2">
            <v>10</v>
          </cell>
          <cell r="AW2">
            <v>10</v>
          </cell>
          <cell r="AX2">
            <v>10</v>
          </cell>
          <cell r="AY2">
            <v>10</v>
          </cell>
          <cell r="AZ2">
            <v>11</v>
          </cell>
          <cell r="BA2">
            <v>11</v>
          </cell>
          <cell r="BB2">
            <v>11</v>
          </cell>
          <cell r="BC2">
            <v>11</v>
          </cell>
          <cell r="BD2">
            <v>11</v>
          </cell>
          <cell r="BE2">
            <v>12</v>
          </cell>
          <cell r="BF2">
            <v>12</v>
          </cell>
          <cell r="BG2">
            <v>12</v>
          </cell>
          <cell r="BH2">
            <v>12</v>
          </cell>
          <cell r="BI2">
            <v>12</v>
          </cell>
          <cell r="BJ2">
            <v>13</v>
          </cell>
          <cell r="BK2">
            <v>13</v>
          </cell>
          <cell r="BL2">
            <v>13</v>
          </cell>
          <cell r="BM2">
            <v>13</v>
          </cell>
          <cell r="BN2">
            <v>13</v>
          </cell>
          <cell r="BO2">
            <v>14</v>
          </cell>
          <cell r="BP2">
            <v>14</v>
          </cell>
          <cell r="BQ2">
            <v>14</v>
          </cell>
          <cell r="BR2">
            <v>14</v>
          </cell>
          <cell r="BS2">
            <v>14</v>
          </cell>
          <cell r="BT2">
            <v>15</v>
          </cell>
          <cell r="BU2">
            <v>15</v>
          </cell>
          <cell r="BV2">
            <v>15</v>
          </cell>
          <cell r="BW2">
            <v>15</v>
          </cell>
          <cell r="BX2">
            <v>15</v>
          </cell>
          <cell r="BY2">
            <v>16</v>
          </cell>
          <cell r="BZ2">
            <v>16</v>
          </cell>
          <cell r="CA2">
            <v>16</v>
          </cell>
          <cell r="CB2">
            <v>16</v>
          </cell>
          <cell r="CC2">
            <v>16</v>
          </cell>
          <cell r="CD2">
            <v>17</v>
          </cell>
          <cell r="CE2">
            <v>17</v>
          </cell>
          <cell r="CF2">
            <v>17</v>
          </cell>
          <cell r="CG2">
            <v>17</v>
          </cell>
          <cell r="CH2">
            <v>17</v>
          </cell>
          <cell r="CI2">
            <v>18</v>
          </cell>
          <cell r="CJ2">
            <v>18</v>
          </cell>
          <cell r="CK2">
            <v>18</v>
          </cell>
          <cell r="CL2">
            <v>18</v>
          </cell>
          <cell r="CM2">
            <v>18</v>
          </cell>
          <cell r="CN2">
            <v>19</v>
          </cell>
          <cell r="CO2">
            <v>19</v>
          </cell>
          <cell r="CP2">
            <v>19</v>
          </cell>
          <cell r="CQ2">
            <v>19</v>
          </cell>
          <cell r="CR2">
            <v>19</v>
          </cell>
          <cell r="CS2">
            <v>20</v>
          </cell>
          <cell r="CT2">
            <v>20</v>
          </cell>
          <cell r="CU2">
            <v>20</v>
          </cell>
          <cell r="CV2">
            <v>20</v>
          </cell>
          <cell r="CW2">
            <v>20</v>
          </cell>
          <cell r="CX2">
            <v>21</v>
          </cell>
          <cell r="CY2">
            <v>21</v>
          </cell>
          <cell r="CZ2">
            <v>21</v>
          </cell>
          <cell r="DA2">
            <v>21</v>
          </cell>
          <cell r="DB2">
            <v>21</v>
          </cell>
          <cell r="DC2">
            <v>22</v>
          </cell>
          <cell r="DD2">
            <v>22</v>
          </cell>
          <cell r="DE2">
            <v>22</v>
          </cell>
          <cell r="DF2">
            <v>22</v>
          </cell>
          <cell r="DG2">
            <v>22</v>
          </cell>
          <cell r="DH2">
            <v>23</v>
          </cell>
          <cell r="DI2">
            <v>23</v>
          </cell>
          <cell r="DJ2">
            <v>23</v>
          </cell>
          <cell r="DK2">
            <v>23</v>
          </cell>
          <cell r="DL2">
            <v>23</v>
          </cell>
          <cell r="DM2">
            <v>24</v>
          </cell>
          <cell r="DN2">
            <v>24</v>
          </cell>
          <cell r="DO2">
            <v>24</v>
          </cell>
          <cell r="DP2">
            <v>24</v>
          </cell>
          <cell r="DQ2">
            <v>24</v>
          </cell>
        </row>
        <row r="3">
          <cell r="C3" t="str">
            <v>ENERO</v>
          </cell>
          <cell r="G3" t="str">
            <v>FEBRERO</v>
          </cell>
          <cell r="M3" t="str">
            <v>MARZO</v>
          </cell>
          <cell r="Q3" t="str">
            <v>ABRIL</v>
          </cell>
          <cell r="V3" t="str">
            <v>MAYO</v>
          </cell>
          <cell r="AA3" t="str">
            <v>JUNIO</v>
          </cell>
          <cell r="AF3" t="str">
            <v>JULIO</v>
          </cell>
          <cell r="AK3" t="str">
            <v>AGOSTO</v>
          </cell>
          <cell r="AP3" t="str">
            <v>SEPTIEMBRE</v>
          </cell>
          <cell r="AU3" t="str">
            <v>OCTUBRE</v>
          </cell>
          <cell r="AZ3" t="str">
            <v>NOVIEMBRE</v>
          </cell>
          <cell r="BE3" t="str">
            <v>DICIEMBRE</v>
          </cell>
          <cell r="BJ3" t="str">
            <v>ENERO</v>
          </cell>
          <cell r="BO3" t="str">
            <v>FEBRERO</v>
          </cell>
          <cell r="BT3" t="str">
            <v>MARZO</v>
          </cell>
          <cell r="BY3" t="str">
            <v>ABRIL</v>
          </cell>
          <cell r="CD3" t="str">
            <v>MAYO</v>
          </cell>
          <cell r="CI3" t="str">
            <v>JUNIO</v>
          </cell>
          <cell r="CN3" t="str">
            <v>JULIO</v>
          </cell>
          <cell r="CS3" t="str">
            <v>AGOSTO</v>
          </cell>
          <cell r="CX3" t="str">
            <v>SEPTIEMBRE</v>
          </cell>
          <cell r="DC3" t="str">
            <v>OCTUBRE</v>
          </cell>
          <cell r="DH3" t="str">
            <v>NOVIEMBRE</v>
          </cell>
          <cell r="DM3" t="str">
            <v>DICIEMBRE</v>
          </cell>
        </row>
        <row r="4">
          <cell r="A4" t="str">
            <v>DIAS DE CARTERA</v>
          </cell>
        </row>
        <row r="5">
          <cell r="B5">
            <v>44492</v>
          </cell>
          <cell r="G5">
            <v>44492</v>
          </cell>
          <cell r="L5">
            <v>44492</v>
          </cell>
          <cell r="Q5">
            <v>44492</v>
          </cell>
          <cell r="V5">
            <v>44492</v>
          </cell>
          <cell r="AA5">
            <v>44492</v>
          </cell>
          <cell r="AF5">
            <v>44492</v>
          </cell>
          <cell r="AK5">
            <v>44492</v>
          </cell>
          <cell r="AP5">
            <v>44492</v>
          </cell>
          <cell r="AU5">
            <v>44492</v>
          </cell>
          <cell r="AZ5">
            <v>44492</v>
          </cell>
          <cell r="BE5">
            <v>44492</v>
          </cell>
          <cell r="BJ5">
            <v>44492</v>
          </cell>
          <cell r="BO5">
            <v>44492</v>
          </cell>
          <cell r="BT5">
            <v>44492</v>
          </cell>
          <cell r="BY5">
            <v>44492</v>
          </cell>
          <cell r="CD5">
            <v>44492</v>
          </cell>
          <cell r="CI5">
            <v>44492</v>
          </cell>
          <cell r="CN5">
            <v>44492</v>
          </cell>
          <cell r="CS5">
            <v>44492</v>
          </cell>
          <cell r="CX5">
            <v>44492</v>
          </cell>
          <cell r="DC5">
            <v>44565</v>
          </cell>
          <cell r="DH5">
            <v>44565</v>
          </cell>
          <cell r="DM5">
            <v>44565</v>
          </cell>
        </row>
        <row r="6">
          <cell r="B6" t="str">
            <v>Saldo</v>
          </cell>
          <cell r="C6" t="str">
            <v>Venta</v>
          </cell>
          <cell r="D6" t="str">
            <v xml:space="preserve">Dias </v>
          </cell>
          <cell r="E6" t="str">
            <v>Cart. Vcda</v>
          </cell>
          <cell r="F6" t="str">
            <v>Cart.Vcda</v>
          </cell>
          <cell r="G6" t="str">
            <v>Saldo</v>
          </cell>
          <cell r="H6" t="str">
            <v>Venta</v>
          </cell>
          <cell r="I6" t="str">
            <v xml:space="preserve">Dias </v>
          </cell>
          <cell r="J6" t="str">
            <v>Cart. Vcda</v>
          </cell>
          <cell r="K6" t="str">
            <v>Cart.Vcda</v>
          </cell>
          <cell r="L6" t="str">
            <v>Saldo</v>
          </cell>
          <cell r="M6" t="str">
            <v>Venta</v>
          </cell>
          <cell r="N6" t="str">
            <v xml:space="preserve">Dias </v>
          </cell>
          <cell r="O6" t="str">
            <v>Cart. Vcda</v>
          </cell>
          <cell r="P6" t="str">
            <v>Cart.Vcda</v>
          </cell>
          <cell r="Q6" t="str">
            <v>Saldo</v>
          </cell>
          <cell r="R6" t="str">
            <v>Venta</v>
          </cell>
          <cell r="S6" t="str">
            <v xml:space="preserve">Dias </v>
          </cell>
          <cell r="T6" t="str">
            <v>Cart. Vcda</v>
          </cell>
          <cell r="U6" t="str">
            <v>Cart.Vcda</v>
          </cell>
          <cell r="V6" t="str">
            <v>Saldo</v>
          </cell>
          <cell r="W6" t="str">
            <v>Venta</v>
          </cell>
          <cell r="X6" t="str">
            <v xml:space="preserve">Dias </v>
          </cell>
          <cell r="Y6" t="str">
            <v>Cart. Vcda</v>
          </cell>
          <cell r="Z6" t="str">
            <v>Cart.Vcda</v>
          </cell>
          <cell r="AA6" t="str">
            <v>Saldo</v>
          </cell>
          <cell r="AB6" t="str">
            <v>Venta</v>
          </cell>
          <cell r="AC6" t="str">
            <v xml:space="preserve">Dias </v>
          </cell>
          <cell r="AD6" t="str">
            <v>Cart. Vcda</v>
          </cell>
          <cell r="AE6" t="str">
            <v>Cart.Vcda</v>
          </cell>
          <cell r="AF6" t="str">
            <v>Saldo</v>
          </cell>
          <cell r="AG6" t="str">
            <v>Venta</v>
          </cell>
          <cell r="AH6" t="str">
            <v xml:space="preserve">Dias </v>
          </cell>
          <cell r="AI6" t="str">
            <v>Cart. Vcda</v>
          </cell>
          <cell r="AJ6" t="str">
            <v>Cart.Vcda</v>
          </cell>
          <cell r="AK6" t="str">
            <v>Saldo</v>
          </cell>
          <cell r="AL6" t="str">
            <v>Venta</v>
          </cell>
          <cell r="AM6" t="str">
            <v xml:space="preserve">Dias </v>
          </cell>
          <cell r="AN6" t="str">
            <v>Cart. Vcda</v>
          </cell>
          <cell r="AO6" t="str">
            <v>Cart.Vcda</v>
          </cell>
          <cell r="AP6" t="str">
            <v>Saldo</v>
          </cell>
          <cell r="AQ6" t="str">
            <v>Venta</v>
          </cell>
          <cell r="AR6" t="str">
            <v xml:space="preserve">Dias </v>
          </cell>
          <cell r="AS6" t="str">
            <v>Cart. Vcda</v>
          </cell>
          <cell r="AT6" t="str">
            <v>Cart.Vcda</v>
          </cell>
          <cell r="AU6" t="str">
            <v>Saldo</v>
          </cell>
          <cell r="AV6" t="str">
            <v>Venta</v>
          </cell>
          <cell r="AW6" t="str">
            <v xml:space="preserve">Dias </v>
          </cell>
          <cell r="AX6" t="str">
            <v>Cart. Vcda</v>
          </cell>
          <cell r="AY6" t="str">
            <v>Cart.Vcda</v>
          </cell>
          <cell r="AZ6" t="str">
            <v>Saldo</v>
          </cell>
          <cell r="BA6" t="str">
            <v>Venta</v>
          </cell>
          <cell r="BB6" t="str">
            <v xml:space="preserve">Dias </v>
          </cell>
          <cell r="BC6" t="str">
            <v>Cart. Vcda</v>
          </cell>
          <cell r="BD6" t="str">
            <v>Cart.Vcda</v>
          </cell>
          <cell r="BE6" t="str">
            <v>Saldo</v>
          </cell>
          <cell r="BF6" t="str">
            <v>Venta</v>
          </cell>
          <cell r="BG6" t="str">
            <v xml:space="preserve">Dias </v>
          </cell>
          <cell r="BH6" t="str">
            <v>Cart. Vcda</v>
          </cell>
          <cell r="BI6" t="str">
            <v>Cart.Vcda</v>
          </cell>
          <cell r="BJ6" t="str">
            <v>Saldo</v>
          </cell>
          <cell r="BK6" t="str">
            <v>Venta</v>
          </cell>
          <cell r="BL6" t="str">
            <v xml:space="preserve">Dias </v>
          </cell>
          <cell r="BM6" t="str">
            <v>Cart. Vcda</v>
          </cell>
          <cell r="BN6" t="str">
            <v>Cart.Vcda</v>
          </cell>
          <cell r="BO6" t="str">
            <v>Saldo</v>
          </cell>
          <cell r="BP6" t="str">
            <v>Venta</v>
          </cell>
          <cell r="BQ6" t="str">
            <v xml:space="preserve">Dias </v>
          </cell>
          <cell r="BR6" t="str">
            <v>Cart. Vcda</v>
          </cell>
          <cell r="BS6" t="str">
            <v>Cart.Vcda</v>
          </cell>
          <cell r="BT6" t="str">
            <v>Saldo</v>
          </cell>
          <cell r="BU6" t="str">
            <v>Venta</v>
          </cell>
          <cell r="BV6" t="str">
            <v xml:space="preserve">Dias </v>
          </cell>
          <cell r="BW6" t="str">
            <v>Cart. Vcda</v>
          </cell>
          <cell r="BX6" t="str">
            <v>Cart.Vcda</v>
          </cell>
          <cell r="BY6" t="str">
            <v>Saldo</v>
          </cell>
          <cell r="BZ6" t="str">
            <v>Venta</v>
          </cell>
          <cell r="CA6" t="str">
            <v xml:space="preserve">Dias </v>
          </cell>
          <cell r="CB6" t="str">
            <v>Cart. Vcda</v>
          </cell>
          <cell r="CC6" t="str">
            <v>Cart.Vcda</v>
          </cell>
          <cell r="CD6" t="str">
            <v>Saldo</v>
          </cell>
          <cell r="CE6" t="str">
            <v>Venta</v>
          </cell>
          <cell r="CF6" t="str">
            <v xml:space="preserve">Dias </v>
          </cell>
          <cell r="CG6" t="str">
            <v>Cart. Vcda</v>
          </cell>
          <cell r="CH6" t="str">
            <v>Cart.Vcda</v>
          </cell>
          <cell r="CI6" t="str">
            <v>Saldo</v>
          </cell>
          <cell r="CJ6" t="str">
            <v>Venta</v>
          </cell>
          <cell r="CK6" t="str">
            <v xml:space="preserve">Dias </v>
          </cell>
          <cell r="CL6" t="str">
            <v>Cart. Vcda</v>
          </cell>
          <cell r="CM6" t="str">
            <v>Cart.Vcda</v>
          </cell>
          <cell r="CN6" t="str">
            <v>Saldo</v>
          </cell>
          <cell r="CO6" t="str">
            <v>Venta</v>
          </cell>
          <cell r="CP6" t="str">
            <v xml:space="preserve">Dias </v>
          </cell>
          <cell r="CQ6" t="str">
            <v>Cart. Vcda</v>
          </cell>
          <cell r="CR6" t="str">
            <v>Cart.Vcda</v>
          </cell>
          <cell r="CS6" t="str">
            <v>Saldo</v>
          </cell>
          <cell r="CT6" t="str">
            <v>Venta</v>
          </cell>
          <cell r="CU6" t="str">
            <v xml:space="preserve">Dias </v>
          </cell>
          <cell r="CV6" t="str">
            <v>Cart. Vcda</v>
          </cell>
          <cell r="CW6" t="str">
            <v>Cart.Vcda</v>
          </cell>
          <cell r="CX6" t="str">
            <v>Saldo</v>
          </cell>
          <cell r="CY6" t="str">
            <v>Venta</v>
          </cell>
          <cell r="CZ6" t="str">
            <v xml:space="preserve">Dias </v>
          </cell>
          <cell r="DA6" t="str">
            <v>Cart. Vcda</v>
          </cell>
          <cell r="DB6" t="str">
            <v>Cart.Vcda</v>
          </cell>
          <cell r="DC6" t="str">
            <v>Saldo</v>
          </cell>
          <cell r="DD6" t="str">
            <v>Venta</v>
          </cell>
          <cell r="DE6" t="str">
            <v xml:space="preserve">Dias </v>
          </cell>
          <cell r="DF6" t="str">
            <v>Cart. Vcda</v>
          </cell>
          <cell r="DG6" t="str">
            <v>Cart.Vcda</v>
          </cell>
          <cell r="DH6" t="str">
            <v>Saldo</v>
          </cell>
          <cell r="DI6" t="str">
            <v>Venta</v>
          </cell>
          <cell r="DJ6" t="str">
            <v xml:space="preserve">Dias </v>
          </cell>
          <cell r="DK6" t="str">
            <v>Cart. Vcda</v>
          </cell>
          <cell r="DL6" t="str">
            <v>Cart.Vcda</v>
          </cell>
          <cell r="DM6" t="str">
            <v>Saldo</v>
          </cell>
          <cell r="DN6" t="str">
            <v>Venta</v>
          </cell>
          <cell r="DO6" t="str">
            <v xml:space="preserve">Dias </v>
          </cell>
          <cell r="DP6" t="str">
            <v>Cart. Vcda</v>
          </cell>
          <cell r="DQ6" t="str">
            <v>Cart.Vcda</v>
          </cell>
        </row>
        <row r="7">
          <cell r="A7" t="str">
            <v>Linea de Producto</v>
          </cell>
          <cell r="B7" t="str">
            <v>USD 000</v>
          </cell>
          <cell r="C7" t="str">
            <v>USD 000</v>
          </cell>
          <cell r="D7" t="str">
            <v>Cartera 18</v>
          </cell>
          <cell r="E7" t="str">
            <v>USD 000</v>
          </cell>
          <cell r="F7" t="str">
            <v>%</v>
          </cell>
          <cell r="G7" t="str">
            <v>USD 000</v>
          </cell>
          <cell r="H7" t="str">
            <v>USD 000</v>
          </cell>
          <cell r="I7" t="str">
            <v>Cartera 18</v>
          </cell>
          <cell r="J7" t="str">
            <v>USD 000</v>
          </cell>
          <cell r="K7" t="str">
            <v>%</v>
          </cell>
          <cell r="L7" t="str">
            <v>USD 000</v>
          </cell>
          <cell r="M7" t="str">
            <v>USD 000</v>
          </cell>
          <cell r="N7" t="str">
            <v>Cartera 18</v>
          </cell>
          <cell r="O7" t="str">
            <v>USD 000</v>
          </cell>
          <cell r="P7" t="str">
            <v>%</v>
          </cell>
          <cell r="Q7" t="str">
            <v>USD 000</v>
          </cell>
          <cell r="R7" t="str">
            <v>USD 000</v>
          </cell>
          <cell r="S7" t="str">
            <v>Cartera 18</v>
          </cell>
          <cell r="T7" t="str">
            <v>USD 000</v>
          </cell>
          <cell r="U7" t="str">
            <v>%</v>
          </cell>
          <cell r="V7" t="str">
            <v>USD 000</v>
          </cell>
          <cell r="W7" t="str">
            <v>USD 000</v>
          </cell>
          <cell r="X7" t="str">
            <v>Cartera 18</v>
          </cell>
          <cell r="Y7" t="str">
            <v>USD 000</v>
          </cell>
          <cell r="Z7" t="str">
            <v>%</v>
          </cell>
          <cell r="AA7" t="str">
            <v>USD 000</v>
          </cell>
          <cell r="AB7" t="str">
            <v>USD 000</v>
          </cell>
          <cell r="AC7" t="str">
            <v>Cartera 18</v>
          </cell>
          <cell r="AD7" t="str">
            <v>USD 000</v>
          </cell>
          <cell r="AE7" t="str">
            <v>%</v>
          </cell>
          <cell r="AF7" t="str">
            <v>USD 000</v>
          </cell>
          <cell r="AG7" t="str">
            <v>USD 000</v>
          </cell>
          <cell r="AH7" t="str">
            <v>Cartera 18</v>
          </cell>
          <cell r="AI7" t="str">
            <v>USD 000</v>
          </cell>
          <cell r="AJ7" t="str">
            <v>%</v>
          </cell>
          <cell r="AK7" t="str">
            <v>USD 000</v>
          </cell>
          <cell r="AL7" t="str">
            <v>USD 000</v>
          </cell>
          <cell r="AM7" t="str">
            <v>Cartera 18</v>
          </cell>
          <cell r="AN7" t="str">
            <v>USD 000</v>
          </cell>
          <cell r="AO7" t="str">
            <v>%</v>
          </cell>
          <cell r="AP7" t="str">
            <v>USD 000</v>
          </cell>
          <cell r="AQ7" t="str">
            <v>USD 000</v>
          </cell>
          <cell r="AR7" t="str">
            <v>Cartera 18</v>
          </cell>
          <cell r="AS7" t="str">
            <v>USD 000</v>
          </cell>
          <cell r="AT7" t="str">
            <v>%</v>
          </cell>
          <cell r="AU7" t="str">
            <v>USD 000</v>
          </cell>
          <cell r="AV7" t="str">
            <v>USD 000</v>
          </cell>
          <cell r="AW7" t="str">
            <v>Cartera 18</v>
          </cell>
          <cell r="AX7" t="str">
            <v>USD 000</v>
          </cell>
          <cell r="AY7" t="str">
            <v>%</v>
          </cell>
          <cell r="AZ7" t="str">
            <v>USD 000</v>
          </cell>
          <cell r="BA7" t="str">
            <v>USD 000</v>
          </cell>
          <cell r="BB7" t="str">
            <v>Cartera 18</v>
          </cell>
          <cell r="BC7" t="str">
            <v>USD 000</v>
          </cell>
          <cell r="BD7" t="str">
            <v>%</v>
          </cell>
          <cell r="BE7" t="str">
            <v>USD 000</v>
          </cell>
          <cell r="BF7" t="str">
            <v>USD 000</v>
          </cell>
          <cell r="BG7" t="str">
            <v>Cartera 18</v>
          </cell>
          <cell r="BH7" t="str">
            <v>USD 000</v>
          </cell>
          <cell r="BI7" t="str">
            <v>%</v>
          </cell>
          <cell r="BJ7" t="str">
            <v>USD 000</v>
          </cell>
          <cell r="BK7" t="str">
            <v>USD 000</v>
          </cell>
          <cell r="BL7" t="str">
            <v>Cartera 18</v>
          </cell>
          <cell r="BM7" t="str">
            <v>USD 000</v>
          </cell>
          <cell r="BN7" t="str">
            <v>%</v>
          </cell>
          <cell r="BO7" t="str">
            <v>USD 000</v>
          </cell>
          <cell r="BP7" t="str">
            <v>USD 000</v>
          </cell>
          <cell r="BQ7" t="str">
            <v>Cartera 18</v>
          </cell>
          <cell r="BR7" t="str">
            <v>USD 000</v>
          </cell>
          <cell r="BS7" t="str">
            <v>%</v>
          </cell>
          <cell r="BT7" t="str">
            <v>USD 000</v>
          </cell>
          <cell r="BU7" t="str">
            <v>USD 000</v>
          </cell>
          <cell r="BV7" t="str">
            <v>Cartera 18</v>
          </cell>
          <cell r="BW7" t="str">
            <v>USD 000</v>
          </cell>
          <cell r="BX7" t="str">
            <v>%</v>
          </cell>
          <cell r="BY7" t="str">
            <v>USD 000</v>
          </cell>
          <cell r="BZ7" t="str">
            <v>USD 000</v>
          </cell>
          <cell r="CA7" t="str">
            <v>Cartera 18</v>
          </cell>
          <cell r="CB7" t="str">
            <v>USD 000</v>
          </cell>
          <cell r="CC7" t="str">
            <v>%</v>
          </cell>
          <cell r="CD7" t="str">
            <v>USD 000</v>
          </cell>
          <cell r="CE7" t="str">
            <v>USD 000</v>
          </cell>
          <cell r="CF7" t="str">
            <v>Cartera 18</v>
          </cell>
          <cell r="CG7" t="str">
            <v>USD 000</v>
          </cell>
          <cell r="CH7" t="str">
            <v>%</v>
          </cell>
          <cell r="CI7" t="str">
            <v>USD 000</v>
          </cell>
          <cell r="CJ7" t="str">
            <v>USD 000</v>
          </cell>
          <cell r="CK7" t="str">
            <v>Cartera 18</v>
          </cell>
          <cell r="CL7" t="str">
            <v>USD 000</v>
          </cell>
          <cell r="CM7" t="str">
            <v>%</v>
          </cell>
          <cell r="CN7" t="str">
            <v>USD 000</v>
          </cell>
          <cell r="CO7" t="str">
            <v>USD 000</v>
          </cell>
          <cell r="CP7" t="str">
            <v>Cartera 18</v>
          </cell>
          <cell r="CQ7" t="str">
            <v>USD 000</v>
          </cell>
          <cell r="CR7" t="str">
            <v>%</v>
          </cell>
          <cell r="CS7" t="str">
            <v>USD 000</v>
          </cell>
          <cell r="CT7" t="str">
            <v>USD 000</v>
          </cell>
          <cell r="CU7" t="str">
            <v>Cartera 18</v>
          </cell>
          <cell r="CV7" t="str">
            <v>USD 000</v>
          </cell>
          <cell r="CW7" t="str">
            <v>%</v>
          </cell>
          <cell r="CX7" t="str">
            <v>USD 000</v>
          </cell>
          <cell r="CY7" t="str">
            <v>USD 000</v>
          </cell>
          <cell r="CZ7" t="str">
            <v>Cartera 18</v>
          </cell>
          <cell r="DA7" t="str">
            <v>USD 000</v>
          </cell>
          <cell r="DB7" t="str">
            <v>%</v>
          </cell>
          <cell r="DC7" t="str">
            <v>USD 000</v>
          </cell>
          <cell r="DD7" t="str">
            <v>USD 000</v>
          </cell>
          <cell r="DE7" t="str">
            <v>Cartera 18</v>
          </cell>
          <cell r="DF7" t="str">
            <v>USD 000</v>
          </cell>
          <cell r="DG7" t="str">
            <v>%</v>
          </cell>
          <cell r="DH7" t="str">
            <v>USD 000</v>
          </cell>
          <cell r="DI7" t="str">
            <v>USD 000</v>
          </cell>
          <cell r="DJ7" t="str">
            <v>Cartera 18</v>
          </cell>
          <cell r="DK7" t="str">
            <v>USD 000</v>
          </cell>
          <cell r="DL7" t="str">
            <v>%</v>
          </cell>
          <cell r="DM7" t="str">
            <v>USD 000</v>
          </cell>
          <cell r="DN7" t="str">
            <v>USD 000</v>
          </cell>
          <cell r="DO7" t="str">
            <v>Cartera 18</v>
          </cell>
          <cell r="DP7" t="str">
            <v>USD 000</v>
          </cell>
          <cell r="DQ7" t="str">
            <v>%</v>
          </cell>
        </row>
        <row r="8">
          <cell r="A8" t="str">
            <v>CAJAS DE CAMARON</v>
          </cell>
          <cell r="B8">
            <v>3081116</v>
          </cell>
          <cell r="C8">
            <v>18781339</v>
          </cell>
          <cell r="D8">
            <v>59</v>
          </cell>
          <cell r="E8">
            <v>365311</v>
          </cell>
          <cell r="F8">
            <v>0.12</v>
          </cell>
          <cell r="G8">
            <v>3081116</v>
          </cell>
          <cell r="H8">
            <v>18781339</v>
          </cell>
          <cell r="I8">
            <v>59</v>
          </cell>
          <cell r="J8">
            <v>365311</v>
          </cell>
          <cell r="K8">
            <v>0.12</v>
          </cell>
          <cell r="L8">
            <v>2812511</v>
          </cell>
          <cell r="M8">
            <v>15430760</v>
          </cell>
          <cell r="N8">
            <v>66</v>
          </cell>
          <cell r="O8">
            <v>413050</v>
          </cell>
          <cell r="P8">
            <v>0.15</v>
          </cell>
          <cell r="Q8">
            <v>3492999</v>
          </cell>
          <cell r="R8">
            <v>15491271</v>
          </cell>
          <cell r="S8">
            <v>81</v>
          </cell>
          <cell r="T8">
            <v>442898</v>
          </cell>
          <cell r="U8">
            <v>0.13</v>
          </cell>
          <cell r="V8">
            <v>3525835</v>
          </cell>
          <cell r="W8">
            <v>15948975</v>
          </cell>
          <cell r="X8">
            <v>80</v>
          </cell>
          <cell r="Y8">
            <v>321482</v>
          </cell>
          <cell r="Z8">
            <v>0.09</v>
          </cell>
          <cell r="AA8">
            <v>3427996</v>
          </cell>
          <cell r="AB8">
            <v>16112552</v>
          </cell>
          <cell r="AC8">
            <v>77</v>
          </cell>
          <cell r="AD8">
            <v>326661</v>
          </cell>
          <cell r="AE8">
            <v>0.1</v>
          </cell>
          <cell r="AF8">
            <v>3224756</v>
          </cell>
          <cell r="AG8">
            <v>16546557</v>
          </cell>
          <cell r="AH8">
            <v>70</v>
          </cell>
          <cell r="AI8">
            <v>436999</v>
          </cell>
          <cell r="AJ8">
            <v>0.14000000000000001</v>
          </cell>
          <cell r="AK8">
            <v>2675544</v>
          </cell>
          <cell r="AL8">
            <v>16685757</v>
          </cell>
          <cell r="AM8">
            <v>58</v>
          </cell>
          <cell r="AN8">
            <v>442299</v>
          </cell>
          <cell r="AO8">
            <v>0.17</v>
          </cell>
          <cell r="AP8">
            <v>2527618</v>
          </cell>
          <cell r="AQ8">
            <v>17202821</v>
          </cell>
          <cell r="AR8">
            <v>53</v>
          </cell>
          <cell r="AS8">
            <v>426218</v>
          </cell>
          <cell r="AT8">
            <v>0.17</v>
          </cell>
          <cell r="AU8">
            <v>2440329</v>
          </cell>
          <cell r="AV8">
            <v>17676650</v>
          </cell>
          <cell r="AW8">
            <v>50</v>
          </cell>
          <cell r="AX8">
            <v>366176</v>
          </cell>
          <cell r="AY8">
            <v>0.15</v>
          </cell>
          <cell r="AZ8">
            <v>2866170</v>
          </cell>
          <cell r="BA8">
            <v>18485283</v>
          </cell>
          <cell r="BB8">
            <v>56</v>
          </cell>
          <cell r="BC8">
            <v>316447</v>
          </cell>
          <cell r="BD8">
            <v>0.11</v>
          </cell>
          <cell r="BE8">
            <v>2213590</v>
          </cell>
          <cell r="BF8">
            <v>18781339</v>
          </cell>
          <cell r="BG8">
            <v>42</v>
          </cell>
          <cell r="BH8">
            <v>248007</v>
          </cell>
          <cell r="BI8">
            <v>0.11</v>
          </cell>
          <cell r="BJ8">
            <v>2148470</v>
          </cell>
          <cell r="BK8">
            <v>18959571</v>
          </cell>
          <cell r="BL8">
            <v>41</v>
          </cell>
          <cell r="BM8">
            <v>321511</v>
          </cell>
          <cell r="BN8">
            <v>0.15</v>
          </cell>
          <cell r="BO8">
            <v>2282017</v>
          </cell>
          <cell r="BP8">
            <v>19512074</v>
          </cell>
          <cell r="BQ8">
            <v>42</v>
          </cell>
          <cell r="BR8">
            <v>169731</v>
          </cell>
          <cell r="BS8">
            <v>7.0000000000000007E-2</v>
          </cell>
          <cell r="BT8">
            <v>2425666</v>
          </cell>
          <cell r="BU8">
            <v>19628721</v>
          </cell>
          <cell r="BV8">
            <v>44</v>
          </cell>
          <cell r="BW8">
            <v>253353</v>
          </cell>
          <cell r="BX8">
            <v>0.1</v>
          </cell>
          <cell r="BY8">
            <v>2608427</v>
          </cell>
          <cell r="BZ8">
            <v>20244837</v>
          </cell>
          <cell r="CA8">
            <v>46</v>
          </cell>
          <cell r="CB8">
            <v>324809</v>
          </cell>
          <cell r="CC8">
            <v>0.12</v>
          </cell>
          <cell r="CD8">
            <v>2841192</v>
          </cell>
          <cell r="CE8">
            <v>20746838</v>
          </cell>
          <cell r="CF8">
            <v>49</v>
          </cell>
          <cell r="CG8">
            <v>507561</v>
          </cell>
          <cell r="CH8">
            <v>0.18</v>
          </cell>
          <cell r="CI8">
            <v>2804382</v>
          </cell>
          <cell r="CJ8">
            <v>20539892</v>
          </cell>
          <cell r="CK8">
            <v>49</v>
          </cell>
          <cell r="CL8">
            <v>186526</v>
          </cell>
          <cell r="CM8">
            <v>7.0000000000000007E-2</v>
          </cell>
          <cell r="CN8">
            <v>3719749</v>
          </cell>
          <cell r="CO8">
            <v>20016959</v>
          </cell>
          <cell r="CP8">
            <v>67</v>
          </cell>
          <cell r="CQ8">
            <v>121843</v>
          </cell>
          <cell r="CR8">
            <v>0.03</v>
          </cell>
          <cell r="CS8">
            <v>4569391</v>
          </cell>
          <cell r="CT8">
            <v>19272937</v>
          </cell>
          <cell r="CU8">
            <v>85</v>
          </cell>
          <cell r="CV8">
            <v>144707</v>
          </cell>
          <cell r="CW8">
            <v>0.03</v>
          </cell>
          <cell r="CX8">
            <v>4596425</v>
          </cell>
          <cell r="CY8">
            <v>20280022</v>
          </cell>
          <cell r="CZ8">
            <v>82</v>
          </cell>
          <cell r="DA8">
            <v>96025</v>
          </cell>
          <cell r="DB8">
            <v>0.02</v>
          </cell>
          <cell r="DC8">
            <v>4397613</v>
          </cell>
          <cell r="DD8">
            <v>20297832</v>
          </cell>
          <cell r="DE8">
            <v>78</v>
          </cell>
          <cell r="DF8">
            <v>94012</v>
          </cell>
          <cell r="DG8">
            <v>0.02</v>
          </cell>
          <cell r="DH8">
            <v>4613124</v>
          </cell>
          <cell r="DI8">
            <v>19805522</v>
          </cell>
          <cell r="DJ8">
            <v>84</v>
          </cell>
          <cell r="DK8">
            <v>48637</v>
          </cell>
          <cell r="DL8">
            <v>0.01</v>
          </cell>
          <cell r="DM8">
            <v>1846484</v>
          </cell>
          <cell r="DN8">
            <v>18993459</v>
          </cell>
          <cell r="DO8">
            <v>35</v>
          </cell>
          <cell r="DP8">
            <v>64900</v>
          </cell>
          <cell r="DQ8">
            <v>0.04</v>
          </cell>
        </row>
        <row r="9">
          <cell r="A9" t="str">
            <v xml:space="preserve">CAJAS  </v>
          </cell>
          <cell r="B9">
            <v>1438974</v>
          </cell>
          <cell r="C9">
            <v>4074684</v>
          </cell>
          <cell r="D9">
            <v>127</v>
          </cell>
          <cell r="E9">
            <v>204592</v>
          </cell>
          <cell r="F9">
            <v>0.14000000000000001</v>
          </cell>
          <cell r="G9">
            <v>1438974</v>
          </cell>
          <cell r="H9">
            <v>4074684</v>
          </cell>
          <cell r="I9">
            <v>127</v>
          </cell>
          <cell r="J9">
            <v>204592</v>
          </cell>
          <cell r="K9">
            <v>0.14000000000000001</v>
          </cell>
          <cell r="L9">
            <v>1229149</v>
          </cell>
          <cell r="M9">
            <v>3216852</v>
          </cell>
          <cell r="N9">
            <v>138</v>
          </cell>
          <cell r="O9">
            <v>181484</v>
          </cell>
          <cell r="P9">
            <v>0.15</v>
          </cell>
          <cell r="Q9">
            <v>1438802</v>
          </cell>
          <cell r="R9">
            <v>3300213</v>
          </cell>
          <cell r="S9">
            <v>157</v>
          </cell>
          <cell r="T9">
            <v>668205</v>
          </cell>
          <cell r="U9">
            <v>0.46</v>
          </cell>
          <cell r="V9">
            <v>1122705</v>
          </cell>
          <cell r="W9">
            <v>3369096</v>
          </cell>
          <cell r="X9">
            <v>120</v>
          </cell>
          <cell r="Y9">
            <v>245298</v>
          </cell>
          <cell r="Z9">
            <v>0.22</v>
          </cell>
          <cell r="AA9">
            <v>1347413</v>
          </cell>
          <cell r="AB9">
            <v>3508022</v>
          </cell>
          <cell r="AC9">
            <v>138</v>
          </cell>
          <cell r="AD9">
            <v>241813</v>
          </cell>
          <cell r="AE9">
            <v>0.18</v>
          </cell>
          <cell r="AF9">
            <v>1160638</v>
          </cell>
          <cell r="AG9">
            <v>3596640</v>
          </cell>
          <cell r="AH9">
            <v>116</v>
          </cell>
          <cell r="AI9">
            <v>201680</v>
          </cell>
          <cell r="AJ9">
            <v>0.17</v>
          </cell>
          <cell r="AK9">
            <v>1283395</v>
          </cell>
          <cell r="AL9">
            <v>3673720</v>
          </cell>
          <cell r="AM9">
            <v>126</v>
          </cell>
          <cell r="AN9">
            <v>300905</v>
          </cell>
          <cell r="AO9">
            <v>0.23</v>
          </cell>
          <cell r="AP9">
            <v>1537038</v>
          </cell>
          <cell r="AQ9">
            <v>3731409</v>
          </cell>
          <cell r="AR9">
            <v>148</v>
          </cell>
          <cell r="AS9">
            <v>228031</v>
          </cell>
          <cell r="AT9">
            <v>0.15</v>
          </cell>
          <cell r="AU9">
            <v>1735908</v>
          </cell>
          <cell r="AV9">
            <v>3952487</v>
          </cell>
          <cell r="AW9">
            <v>158</v>
          </cell>
          <cell r="AX9">
            <v>244843</v>
          </cell>
          <cell r="AY9">
            <v>0.14000000000000001</v>
          </cell>
          <cell r="AZ9">
            <v>1577330</v>
          </cell>
          <cell r="BA9">
            <v>4027403</v>
          </cell>
          <cell r="BB9">
            <v>141</v>
          </cell>
          <cell r="BC9">
            <v>201354</v>
          </cell>
          <cell r="BD9">
            <v>0.13</v>
          </cell>
          <cell r="BE9">
            <v>1627382</v>
          </cell>
          <cell r="BF9">
            <v>4074684</v>
          </cell>
          <cell r="BG9">
            <v>144</v>
          </cell>
          <cell r="BH9">
            <v>170080</v>
          </cell>
          <cell r="BI9">
            <v>0.1</v>
          </cell>
          <cell r="BJ9">
            <v>1772317</v>
          </cell>
          <cell r="BK9">
            <v>4372845</v>
          </cell>
          <cell r="BL9">
            <v>146</v>
          </cell>
          <cell r="BM9">
            <v>173755</v>
          </cell>
          <cell r="BN9">
            <v>0.1</v>
          </cell>
          <cell r="BO9">
            <v>1774319</v>
          </cell>
          <cell r="BP9">
            <v>4343069</v>
          </cell>
          <cell r="BQ9">
            <v>147</v>
          </cell>
          <cell r="BR9">
            <v>178525</v>
          </cell>
          <cell r="BS9">
            <v>0.1</v>
          </cell>
          <cell r="BT9">
            <v>1540383</v>
          </cell>
          <cell r="BU9">
            <v>4317092</v>
          </cell>
          <cell r="BV9">
            <v>128</v>
          </cell>
          <cell r="BW9">
            <v>152240</v>
          </cell>
          <cell r="BX9">
            <v>0.1</v>
          </cell>
          <cell r="BY9">
            <v>1348638</v>
          </cell>
          <cell r="BZ9">
            <v>4355030</v>
          </cell>
          <cell r="CA9">
            <v>111</v>
          </cell>
          <cell r="CB9">
            <v>146846</v>
          </cell>
          <cell r="CC9">
            <v>0.11</v>
          </cell>
          <cell r="CD9">
            <v>1365396</v>
          </cell>
          <cell r="CE9">
            <v>4497278</v>
          </cell>
          <cell r="CF9">
            <v>109</v>
          </cell>
          <cell r="CG9">
            <v>140522</v>
          </cell>
          <cell r="CH9">
            <v>0.1</v>
          </cell>
          <cell r="CI9">
            <v>1328306</v>
          </cell>
          <cell r="CJ9">
            <v>4683062</v>
          </cell>
          <cell r="CK9">
            <v>102</v>
          </cell>
          <cell r="CL9">
            <v>156633</v>
          </cell>
          <cell r="CM9">
            <v>0.12</v>
          </cell>
          <cell r="CN9">
            <v>1083834</v>
          </cell>
          <cell r="CO9">
            <v>4567743</v>
          </cell>
          <cell r="CP9">
            <v>85</v>
          </cell>
          <cell r="CQ9">
            <v>171640</v>
          </cell>
          <cell r="CR9">
            <v>0.16</v>
          </cell>
          <cell r="CS9">
            <v>1048388</v>
          </cell>
          <cell r="CT9">
            <v>4707192</v>
          </cell>
          <cell r="CU9">
            <v>80</v>
          </cell>
          <cell r="CV9">
            <v>146476</v>
          </cell>
          <cell r="CW9">
            <v>0.14000000000000001</v>
          </cell>
          <cell r="CX9">
            <v>1210285</v>
          </cell>
          <cell r="CY9">
            <v>5221018</v>
          </cell>
          <cell r="CZ9">
            <v>83</v>
          </cell>
          <cell r="DA9">
            <v>159212</v>
          </cell>
          <cell r="DB9">
            <v>0.13</v>
          </cell>
          <cell r="DC9">
            <v>1208087</v>
          </cell>
          <cell r="DD9">
            <v>5208662</v>
          </cell>
          <cell r="DE9">
            <v>83</v>
          </cell>
          <cell r="DF9">
            <v>149189</v>
          </cell>
          <cell r="DG9">
            <v>0.12</v>
          </cell>
          <cell r="DH9">
            <v>1315062</v>
          </cell>
          <cell r="DI9">
            <v>5270862</v>
          </cell>
          <cell r="DJ9">
            <v>90</v>
          </cell>
          <cell r="DK9">
            <v>172501</v>
          </cell>
          <cell r="DL9">
            <v>0.13</v>
          </cell>
          <cell r="DM9">
            <v>1376689</v>
          </cell>
          <cell r="DN9">
            <v>5327926</v>
          </cell>
          <cell r="DO9">
            <v>93</v>
          </cell>
          <cell r="DP9">
            <v>185442</v>
          </cell>
          <cell r="DQ9">
            <v>0.13</v>
          </cell>
        </row>
        <row r="10">
          <cell r="A10" t="str">
            <v>EXPORTACION</v>
          </cell>
          <cell r="B10">
            <v>470477</v>
          </cell>
          <cell r="C10">
            <v>1501932</v>
          </cell>
          <cell r="D10">
            <v>113</v>
          </cell>
          <cell r="E10">
            <v>30669</v>
          </cell>
          <cell r="F10">
            <v>7.0000000000000007E-2</v>
          </cell>
          <cell r="G10">
            <v>470477</v>
          </cell>
          <cell r="H10">
            <v>1501932</v>
          </cell>
          <cell r="I10">
            <v>113</v>
          </cell>
          <cell r="J10">
            <v>30669</v>
          </cell>
          <cell r="K10">
            <v>7.0000000000000007E-2</v>
          </cell>
          <cell r="L10">
            <v>505127</v>
          </cell>
          <cell r="M10">
            <v>1371979</v>
          </cell>
          <cell r="N10">
            <v>133</v>
          </cell>
          <cell r="O10">
            <v>34038</v>
          </cell>
          <cell r="P10">
            <v>7.0000000000000007E-2</v>
          </cell>
          <cell r="Q10">
            <v>693337</v>
          </cell>
          <cell r="R10">
            <v>1456017</v>
          </cell>
          <cell r="S10">
            <v>171</v>
          </cell>
          <cell r="T10">
            <v>14301</v>
          </cell>
          <cell r="U10">
            <v>0.02</v>
          </cell>
          <cell r="V10">
            <v>644039</v>
          </cell>
          <cell r="W10">
            <v>1403362</v>
          </cell>
          <cell r="X10">
            <v>165</v>
          </cell>
          <cell r="Y10">
            <v>4191</v>
          </cell>
          <cell r="Z10">
            <v>0.01</v>
          </cell>
          <cell r="AA10">
            <v>729176</v>
          </cell>
          <cell r="AB10">
            <v>1386207</v>
          </cell>
          <cell r="AC10">
            <v>189</v>
          </cell>
          <cell r="AD10">
            <v>62808</v>
          </cell>
          <cell r="AE10">
            <v>0.09</v>
          </cell>
          <cell r="AF10">
            <v>562226</v>
          </cell>
          <cell r="AG10">
            <v>1382162</v>
          </cell>
          <cell r="AH10">
            <v>146</v>
          </cell>
          <cell r="AI10">
            <v>34547</v>
          </cell>
          <cell r="AJ10">
            <v>0.06</v>
          </cell>
          <cell r="AK10">
            <v>494848</v>
          </cell>
          <cell r="AL10">
            <v>1409753</v>
          </cell>
          <cell r="AM10">
            <v>126</v>
          </cell>
          <cell r="AN10">
            <v>25909</v>
          </cell>
          <cell r="AO10">
            <v>0.05</v>
          </cell>
          <cell r="AP10">
            <v>412998</v>
          </cell>
          <cell r="AQ10">
            <v>1470597</v>
          </cell>
          <cell r="AR10">
            <v>101</v>
          </cell>
          <cell r="AS10">
            <v>21270</v>
          </cell>
          <cell r="AT10">
            <v>0.05</v>
          </cell>
          <cell r="AU10">
            <v>407494</v>
          </cell>
          <cell r="AV10">
            <v>1471767</v>
          </cell>
          <cell r="AW10">
            <v>100</v>
          </cell>
          <cell r="AX10">
            <v>21270</v>
          </cell>
          <cell r="AY10">
            <v>0.05</v>
          </cell>
          <cell r="AZ10">
            <v>472159</v>
          </cell>
          <cell r="BA10">
            <v>1495371</v>
          </cell>
          <cell r="BB10">
            <v>114</v>
          </cell>
          <cell r="BC10">
            <v>21270</v>
          </cell>
          <cell r="BD10">
            <v>0.05</v>
          </cell>
          <cell r="BE10">
            <v>438913</v>
          </cell>
          <cell r="BF10">
            <v>1501932</v>
          </cell>
          <cell r="BG10">
            <v>105</v>
          </cell>
          <cell r="BH10">
            <v>21270</v>
          </cell>
          <cell r="BI10">
            <v>0.05</v>
          </cell>
          <cell r="BJ10">
            <v>430684</v>
          </cell>
          <cell r="BK10">
            <v>1595966</v>
          </cell>
          <cell r="BL10">
            <v>97</v>
          </cell>
          <cell r="BM10">
            <v>21270</v>
          </cell>
          <cell r="BN10">
            <v>0.05</v>
          </cell>
          <cell r="BO10">
            <v>536785</v>
          </cell>
          <cell r="BP10">
            <v>1591985</v>
          </cell>
          <cell r="BQ10">
            <v>121</v>
          </cell>
          <cell r="BR10">
            <v>16270</v>
          </cell>
          <cell r="BS10">
            <v>0.03</v>
          </cell>
          <cell r="BT10">
            <v>477655</v>
          </cell>
          <cell r="BU10">
            <v>1472965</v>
          </cell>
          <cell r="BV10">
            <v>117</v>
          </cell>
          <cell r="BW10">
            <v>16270</v>
          </cell>
          <cell r="BX10">
            <v>0.03</v>
          </cell>
          <cell r="BY10">
            <v>630235</v>
          </cell>
          <cell r="BZ10">
            <v>1667162</v>
          </cell>
          <cell r="CA10">
            <v>136</v>
          </cell>
          <cell r="CB10">
            <v>21627</v>
          </cell>
          <cell r="CC10">
            <v>0.03</v>
          </cell>
          <cell r="CD10">
            <v>750059</v>
          </cell>
          <cell r="CE10">
            <v>1761094</v>
          </cell>
          <cell r="CF10">
            <v>153</v>
          </cell>
          <cell r="CG10">
            <v>26514</v>
          </cell>
          <cell r="CH10">
            <v>0.04</v>
          </cell>
          <cell r="CI10">
            <v>691670</v>
          </cell>
          <cell r="CJ10">
            <v>1845742</v>
          </cell>
          <cell r="CK10">
            <v>135</v>
          </cell>
          <cell r="CL10">
            <v>12270</v>
          </cell>
          <cell r="CM10">
            <v>0.02</v>
          </cell>
          <cell r="CN10">
            <v>718732</v>
          </cell>
          <cell r="CO10">
            <v>1859009</v>
          </cell>
          <cell r="CP10">
            <v>139</v>
          </cell>
          <cell r="CQ10">
            <v>11270</v>
          </cell>
          <cell r="CR10">
            <v>0.02</v>
          </cell>
          <cell r="CS10">
            <v>656784</v>
          </cell>
          <cell r="CT10">
            <v>1853159</v>
          </cell>
          <cell r="CU10">
            <v>128</v>
          </cell>
          <cell r="CV10">
            <v>68722</v>
          </cell>
          <cell r="CW10">
            <v>0.1</v>
          </cell>
          <cell r="CX10">
            <v>501789</v>
          </cell>
          <cell r="CY10">
            <v>1946603</v>
          </cell>
          <cell r="CZ10">
            <v>93</v>
          </cell>
          <cell r="DA10">
            <v>20843</v>
          </cell>
          <cell r="DB10">
            <v>0.04</v>
          </cell>
          <cell r="DC10">
            <v>390176</v>
          </cell>
          <cell r="DD10">
            <v>1947275</v>
          </cell>
          <cell r="DE10">
            <v>72</v>
          </cell>
          <cell r="DF10">
            <v>19759</v>
          </cell>
          <cell r="DG10">
            <v>0.05</v>
          </cell>
          <cell r="DH10">
            <v>411919</v>
          </cell>
          <cell r="DI10">
            <v>1804814</v>
          </cell>
          <cell r="DJ10">
            <v>82</v>
          </cell>
          <cell r="DK10">
            <v>18659</v>
          </cell>
          <cell r="DL10">
            <v>0.05</v>
          </cell>
          <cell r="DM10">
            <v>384491</v>
          </cell>
          <cell r="DN10">
            <v>1841963</v>
          </cell>
          <cell r="DO10">
            <v>75</v>
          </cell>
          <cell r="DP10">
            <v>16492</v>
          </cell>
          <cell r="DQ10">
            <v>0.04</v>
          </cell>
        </row>
        <row r="11">
          <cell r="A11" t="str">
            <v>ETIQUETAS</v>
          </cell>
          <cell r="B11">
            <v>56130</v>
          </cell>
          <cell r="C11">
            <v>498585</v>
          </cell>
          <cell r="D11">
            <v>41</v>
          </cell>
          <cell r="E11">
            <v>67</v>
          </cell>
          <cell r="F11">
            <v>0</v>
          </cell>
          <cell r="G11">
            <v>56130</v>
          </cell>
          <cell r="H11">
            <v>498585</v>
          </cell>
          <cell r="I11">
            <v>41</v>
          </cell>
          <cell r="J11">
            <v>67</v>
          </cell>
          <cell r="K11">
            <v>0</v>
          </cell>
          <cell r="L11">
            <v>49744</v>
          </cell>
          <cell r="M11">
            <v>511340</v>
          </cell>
          <cell r="N11">
            <v>35</v>
          </cell>
          <cell r="O11">
            <v>3332</v>
          </cell>
          <cell r="P11">
            <v>7.0000000000000007E-2</v>
          </cell>
          <cell r="Q11">
            <v>61158</v>
          </cell>
          <cell r="R11">
            <v>510504</v>
          </cell>
          <cell r="S11">
            <v>43</v>
          </cell>
          <cell r="T11">
            <v>12749</v>
          </cell>
          <cell r="U11">
            <v>0.21</v>
          </cell>
          <cell r="V11">
            <v>86506</v>
          </cell>
          <cell r="W11">
            <v>537734</v>
          </cell>
          <cell r="X11">
            <v>58</v>
          </cell>
          <cell r="Y11">
            <v>4384</v>
          </cell>
          <cell r="Z11">
            <v>0.05</v>
          </cell>
          <cell r="AA11">
            <v>88574</v>
          </cell>
          <cell r="AB11">
            <v>507472</v>
          </cell>
          <cell r="AC11">
            <v>63</v>
          </cell>
          <cell r="AD11">
            <v>3179</v>
          </cell>
          <cell r="AE11">
            <v>0.04</v>
          </cell>
          <cell r="AF11">
            <v>30526</v>
          </cell>
          <cell r="AG11">
            <v>517237</v>
          </cell>
          <cell r="AH11">
            <v>21</v>
          </cell>
          <cell r="AI11">
            <v>86</v>
          </cell>
          <cell r="AJ11">
            <v>0</v>
          </cell>
          <cell r="AK11">
            <v>20636</v>
          </cell>
          <cell r="AL11">
            <v>513471</v>
          </cell>
          <cell r="AM11">
            <v>14</v>
          </cell>
          <cell r="AN11">
            <v>86</v>
          </cell>
          <cell r="AO11">
            <v>0</v>
          </cell>
          <cell r="AP11">
            <v>45373</v>
          </cell>
          <cell r="AQ11">
            <v>512714</v>
          </cell>
          <cell r="AR11">
            <v>32</v>
          </cell>
          <cell r="AS11">
            <v>86</v>
          </cell>
          <cell r="AT11">
            <v>0</v>
          </cell>
          <cell r="AU11">
            <v>44056</v>
          </cell>
          <cell r="AV11">
            <v>516971</v>
          </cell>
          <cell r="AW11">
            <v>31</v>
          </cell>
          <cell r="AX11">
            <v>67</v>
          </cell>
          <cell r="AY11">
            <v>0</v>
          </cell>
          <cell r="AZ11">
            <v>34960</v>
          </cell>
          <cell r="BA11">
            <v>518318</v>
          </cell>
          <cell r="BB11">
            <v>24</v>
          </cell>
          <cell r="BC11">
            <v>-67</v>
          </cell>
          <cell r="BD11">
            <v>0</v>
          </cell>
          <cell r="BE11">
            <v>54845</v>
          </cell>
          <cell r="BF11">
            <v>498585</v>
          </cell>
          <cell r="BG11">
            <v>40</v>
          </cell>
          <cell r="BH11">
            <v>2412</v>
          </cell>
          <cell r="BI11">
            <v>0.04</v>
          </cell>
          <cell r="BJ11">
            <v>71883</v>
          </cell>
          <cell r="BK11">
            <v>528791</v>
          </cell>
          <cell r="BL11">
            <v>49</v>
          </cell>
          <cell r="BM11">
            <v>422</v>
          </cell>
          <cell r="BN11">
            <v>0.01</v>
          </cell>
          <cell r="BO11">
            <v>98153</v>
          </cell>
          <cell r="BP11">
            <v>540879</v>
          </cell>
          <cell r="BQ11">
            <v>65</v>
          </cell>
          <cell r="BR11">
            <v>-67</v>
          </cell>
          <cell r="BS11">
            <v>0</v>
          </cell>
          <cell r="BT11">
            <v>41045</v>
          </cell>
          <cell r="BU11">
            <v>527470</v>
          </cell>
          <cell r="BV11">
            <v>28</v>
          </cell>
          <cell r="BW11">
            <v>1597</v>
          </cell>
          <cell r="BX11">
            <v>0.04</v>
          </cell>
          <cell r="BY11">
            <v>64082</v>
          </cell>
          <cell r="BZ11">
            <v>542541</v>
          </cell>
          <cell r="CA11">
            <v>43</v>
          </cell>
          <cell r="CB11">
            <v>1870</v>
          </cell>
          <cell r="CC11">
            <v>0.03</v>
          </cell>
          <cell r="CD11">
            <v>76772</v>
          </cell>
          <cell r="CE11">
            <v>565131</v>
          </cell>
          <cell r="CF11">
            <v>49</v>
          </cell>
          <cell r="CG11">
            <v>3026</v>
          </cell>
          <cell r="CH11">
            <v>0.04</v>
          </cell>
          <cell r="CI11">
            <v>47627</v>
          </cell>
          <cell r="CJ11">
            <v>553004</v>
          </cell>
          <cell r="CK11">
            <v>31</v>
          </cell>
          <cell r="CL11">
            <v>2253</v>
          </cell>
          <cell r="CM11">
            <v>0.05</v>
          </cell>
          <cell r="CN11">
            <v>45734</v>
          </cell>
          <cell r="CO11">
            <v>561323</v>
          </cell>
          <cell r="CP11">
            <v>29</v>
          </cell>
          <cell r="CQ11">
            <v>-67</v>
          </cell>
          <cell r="CR11">
            <v>0</v>
          </cell>
          <cell r="CS11">
            <v>77735</v>
          </cell>
          <cell r="CT11">
            <v>553216</v>
          </cell>
          <cell r="CU11">
            <v>51</v>
          </cell>
          <cell r="CV11">
            <v>-67</v>
          </cell>
          <cell r="CW11">
            <v>0</v>
          </cell>
          <cell r="CX11">
            <v>82456</v>
          </cell>
          <cell r="CY11">
            <v>615988</v>
          </cell>
          <cell r="CZ11">
            <v>48</v>
          </cell>
          <cell r="DA11">
            <v>-67</v>
          </cell>
          <cell r="DB11">
            <v>0</v>
          </cell>
          <cell r="DC11">
            <v>80211</v>
          </cell>
          <cell r="DD11">
            <v>607384</v>
          </cell>
          <cell r="DE11">
            <v>48</v>
          </cell>
          <cell r="DF11">
            <v>11422</v>
          </cell>
          <cell r="DG11">
            <v>0.14000000000000001</v>
          </cell>
          <cell r="DH11">
            <v>102294</v>
          </cell>
          <cell r="DI11">
            <v>610831</v>
          </cell>
          <cell r="DJ11">
            <v>60</v>
          </cell>
          <cell r="DK11">
            <v>6694</v>
          </cell>
          <cell r="DL11">
            <v>7.0000000000000007E-2</v>
          </cell>
          <cell r="DM11">
            <v>88149</v>
          </cell>
          <cell r="DN11">
            <v>638758</v>
          </cell>
          <cell r="DO11">
            <v>50</v>
          </cell>
          <cell r="DP11">
            <v>1046</v>
          </cell>
          <cell r="DQ11">
            <v>0.01</v>
          </cell>
        </row>
        <row r="12">
          <cell r="A12" t="str">
            <v>OTROS</v>
          </cell>
          <cell r="B12">
            <v>13461</v>
          </cell>
          <cell r="C12">
            <v>1001241</v>
          </cell>
          <cell r="D12">
            <v>5</v>
          </cell>
          <cell r="E12">
            <v>0</v>
          </cell>
          <cell r="F12">
            <v>0</v>
          </cell>
          <cell r="G12">
            <v>13461</v>
          </cell>
          <cell r="H12">
            <v>1001241</v>
          </cell>
          <cell r="I12">
            <v>5</v>
          </cell>
          <cell r="J12">
            <v>0</v>
          </cell>
          <cell r="K12">
            <v>0</v>
          </cell>
          <cell r="L12">
            <v>24326</v>
          </cell>
          <cell r="M12">
            <v>845205</v>
          </cell>
          <cell r="N12">
            <v>10</v>
          </cell>
          <cell r="O12">
            <v>5902</v>
          </cell>
          <cell r="P12">
            <v>0.24</v>
          </cell>
          <cell r="Q12">
            <v>18973</v>
          </cell>
          <cell r="R12">
            <v>920244</v>
          </cell>
          <cell r="S12">
            <v>7</v>
          </cell>
          <cell r="T12">
            <v>8826</v>
          </cell>
          <cell r="U12">
            <v>0.47</v>
          </cell>
          <cell r="V12">
            <v>9249</v>
          </cell>
          <cell r="W12">
            <v>863676</v>
          </cell>
          <cell r="X12">
            <v>4</v>
          </cell>
          <cell r="Y12">
            <v>7141</v>
          </cell>
          <cell r="Z12">
            <v>0.77</v>
          </cell>
          <cell r="AA12">
            <v>7767</v>
          </cell>
          <cell r="AB12">
            <v>902517</v>
          </cell>
          <cell r="AC12">
            <v>3</v>
          </cell>
          <cell r="AD12">
            <v>7141</v>
          </cell>
          <cell r="AE12">
            <v>0.92</v>
          </cell>
          <cell r="AF12">
            <v>17924</v>
          </cell>
          <cell r="AG12">
            <v>881785</v>
          </cell>
          <cell r="AH12">
            <v>7</v>
          </cell>
          <cell r="AI12">
            <v>982</v>
          </cell>
          <cell r="AJ12">
            <v>0.05</v>
          </cell>
          <cell r="AK12">
            <v>9986</v>
          </cell>
          <cell r="AL12">
            <v>917649</v>
          </cell>
          <cell r="AM12">
            <v>4</v>
          </cell>
          <cell r="AN12">
            <v>3175</v>
          </cell>
          <cell r="AO12">
            <v>0.32</v>
          </cell>
          <cell r="AP12">
            <v>12269</v>
          </cell>
          <cell r="AQ12">
            <v>931161</v>
          </cell>
          <cell r="AR12">
            <v>5</v>
          </cell>
          <cell r="AS12">
            <v>1621</v>
          </cell>
          <cell r="AT12">
            <v>0.13</v>
          </cell>
          <cell r="AU12">
            <v>13821</v>
          </cell>
          <cell r="AV12">
            <v>929568</v>
          </cell>
          <cell r="AW12">
            <v>5</v>
          </cell>
          <cell r="AX12">
            <v>1238</v>
          </cell>
          <cell r="AY12">
            <v>0.09</v>
          </cell>
          <cell r="AZ12">
            <v>11190</v>
          </cell>
          <cell r="BA12">
            <v>935792</v>
          </cell>
          <cell r="BB12">
            <v>4</v>
          </cell>
          <cell r="BC12">
            <v>982</v>
          </cell>
          <cell r="BD12">
            <v>0.09</v>
          </cell>
          <cell r="BE12">
            <v>25402</v>
          </cell>
          <cell r="BF12">
            <v>1001241</v>
          </cell>
          <cell r="BG12">
            <v>9</v>
          </cell>
          <cell r="BH12">
            <v>982</v>
          </cell>
          <cell r="BI12">
            <v>0.04</v>
          </cell>
          <cell r="BJ12">
            <v>17338</v>
          </cell>
          <cell r="BK12">
            <v>1082074</v>
          </cell>
          <cell r="BL12">
            <v>6</v>
          </cell>
          <cell r="BM12">
            <v>8697</v>
          </cell>
          <cell r="BN12">
            <v>0.5</v>
          </cell>
          <cell r="BO12">
            <v>14496</v>
          </cell>
          <cell r="BP12">
            <v>1026463</v>
          </cell>
          <cell r="BQ12">
            <v>5</v>
          </cell>
          <cell r="BR12">
            <v>7523</v>
          </cell>
          <cell r="BS12">
            <v>0.52</v>
          </cell>
          <cell r="BT12">
            <v>1552</v>
          </cell>
          <cell r="BU12">
            <v>1052254</v>
          </cell>
          <cell r="BV12">
            <v>1</v>
          </cell>
          <cell r="BW12">
            <v>0</v>
          </cell>
          <cell r="BX12">
            <v>0</v>
          </cell>
          <cell r="BY12">
            <v>3574</v>
          </cell>
          <cell r="BZ12">
            <v>1137105</v>
          </cell>
          <cell r="CA12">
            <v>1</v>
          </cell>
          <cell r="CB12">
            <v>906</v>
          </cell>
          <cell r="CC12">
            <v>0.25</v>
          </cell>
          <cell r="CD12">
            <v>1523</v>
          </cell>
          <cell r="CE12">
            <v>1226736</v>
          </cell>
          <cell r="CF12">
            <v>0</v>
          </cell>
          <cell r="CG12">
            <v>0</v>
          </cell>
          <cell r="CH12">
            <v>0</v>
          </cell>
          <cell r="CI12">
            <v>7240</v>
          </cell>
          <cell r="CJ12">
            <v>1262612</v>
          </cell>
          <cell r="CK12">
            <v>2</v>
          </cell>
          <cell r="CL12">
            <v>0</v>
          </cell>
          <cell r="CM12">
            <v>0</v>
          </cell>
          <cell r="CN12">
            <v>2477</v>
          </cell>
          <cell r="CO12">
            <v>1197526</v>
          </cell>
          <cell r="CP12">
            <v>1</v>
          </cell>
          <cell r="CQ12">
            <v>0</v>
          </cell>
          <cell r="CR12">
            <v>0</v>
          </cell>
          <cell r="CS12">
            <v>6857</v>
          </cell>
          <cell r="CT12">
            <v>1302989</v>
          </cell>
          <cell r="CU12">
            <v>2</v>
          </cell>
          <cell r="CV12">
            <v>0</v>
          </cell>
          <cell r="CW12">
            <v>0</v>
          </cell>
          <cell r="CX12">
            <v>18061</v>
          </cell>
          <cell r="CY12">
            <v>1826996</v>
          </cell>
          <cell r="CZ12">
            <v>4</v>
          </cell>
          <cell r="DA12">
            <v>17994</v>
          </cell>
          <cell r="DB12">
            <v>1</v>
          </cell>
          <cell r="DC12">
            <v>26582</v>
          </cell>
          <cell r="DD12">
            <v>1881259</v>
          </cell>
          <cell r="DE12">
            <v>5</v>
          </cell>
          <cell r="DF12">
            <v>16601</v>
          </cell>
          <cell r="DG12">
            <v>0.62</v>
          </cell>
          <cell r="DH12">
            <v>22440</v>
          </cell>
          <cell r="DI12">
            <v>1998589</v>
          </cell>
          <cell r="DJ12">
            <v>4</v>
          </cell>
          <cell r="DK12">
            <v>17256</v>
          </cell>
          <cell r="DL12">
            <v>0.77</v>
          </cell>
          <cell r="DM12">
            <v>21312</v>
          </cell>
          <cell r="DN12">
            <v>2149823</v>
          </cell>
          <cell r="DO12">
            <v>4</v>
          </cell>
          <cell r="DP12">
            <v>16537</v>
          </cell>
          <cell r="DQ12">
            <v>0.78</v>
          </cell>
        </row>
        <row r="13">
          <cell r="A13" t="str">
            <v>Total general</v>
          </cell>
          <cell r="B13">
            <v>5060158</v>
          </cell>
          <cell r="C13">
            <v>25857781</v>
          </cell>
          <cell r="D13">
            <v>70.449079911381418</v>
          </cell>
          <cell r="E13">
            <v>600639</v>
          </cell>
          <cell r="F13">
            <v>0.11869965325193403</v>
          </cell>
          <cell r="G13">
            <v>5060158</v>
          </cell>
          <cell r="H13">
            <v>25857781</v>
          </cell>
          <cell r="I13">
            <v>70.449079911381418</v>
          </cell>
          <cell r="J13">
            <v>600639</v>
          </cell>
          <cell r="K13">
            <v>0.11869965325193403</v>
          </cell>
          <cell r="L13">
            <v>4620857</v>
          </cell>
          <cell r="M13">
            <v>21376136</v>
          </cell>
          <cell r="N13">
            <v>77.820824119008222</v>
          </cell>
          <cell r="O13">
            <v>637806</v>
          </cell>
          <cell r="P13">
            <v>0.13802764292424544</v>
          </cell>
          <cell r="Q13">
            <v>5705269</v>
          </cell>
          <cell r="R13">
            <v>21678249</v>
          </cell>
          <cell r="S13">
            <v>94.744591225979562</v>
          </cell>
          <cell r="T13">
            <v>1146979</v>
          </cell>
          <cell r="U13">
            <v>0.20103854875203955</v>
          </cell>
          <cell r="V13">
            <v>5388334</v>
          </cell>
          <cell r="W13">
            <v>22122843</v>
          </cell>
          <cell r="X13">
            <v>87.683135481276068</v>
          </cell>
          <cell r="Y13">
            <v>582496</v>
          </cell>
          <cell r="Z13">
            <v>0.10810317252048593</v>
          </cell>
          <cell r="AA13">
            <v>5600926</v>
          </cell>
          <cell r="AB13">
            <v>22416770</v>
          </cell>
          <cell r="AC13">
            <v>89.947541951851221</v>
          </cell>
          <cell r="AD13">
            <v>641602</v>
          </cell>
          <cell r="AE13">
            <v>0.11455284358336461</v>
          </cell>
          <cell r="AF13">
            <v>4996070</v>
          </cell>
          <cell r="AG13">
            <v>22924381</v>
          </cell>
          <cell r="AH13">
            <v>78.457307091519723</v>
          </cell>
          <cell r="AI13">
            <v>674294</v>
          </cell>
          <cell r="AJ13">
            <v>0.13496488239756449</v>
          </cell>
          <cell r="AK13">
            <v>4484409</v>
          </cell>
          <cell r="AL13">
            <v>23200350</v>
          </cell>
          <cell r="AM13">
            <v>69.584607128771765</v>
          </cell>
          <cell r="AN13">
            <v>772374</v>
          </cell>
          <cell r="AO13">
            <v>0.17223540493295772</v>
          </cell>
          <cell r="AP13">
            <v>4535296</v>
          </cell>
          <cell r="AQ13">
            <v>23848702</v>
          </cell>
          <cell r="AR13">
            <v>68.461024000383745</v>
          </cell>
          <cell r="AS13">
            <v>677226</v>
          </cell>
          <cell r="AT13">
            <v>0.14932343996951908</v>
          </cell>
          <cell r="AU13">
            <v>4641608</v>
          </cell>
          <cell r="AV13">
            <v>24547443</v>
          </cell>
          <cell r="AW13">
            <v>68.07140279335816</v>
          </cell>
          <cell r="AX13">
            <v>633594</v>
          </cell>
          <cell r="AY13">
            <v>0.13650312564094166</v>
          </cell>
          <cell r="AZ13">
            <v>4961809</v>
          </cell>
          <cell r="BA13">
            <v>25462167</v>
          </cell>
          <cell r="BB13">
            <v>70.153150751073156</v>
          </cell>
          <cell r="BC13">
            <v>539986</v>
          </cell>
          <cell r="BD13">
            <v>0.10882845349347385</v>
          </cell>
          <cell r="BE13">
            <v>4360132</v>
          </cell>
          <cell r="BF13">
            <v>25857781</v>
          </cell>
          <cell r="BG13">
            <v>60.703102095264867</v>
          </cell>
          <cell r="BH13">
            <v>442751</v>
          </cell>
          <cell r="BI13">
            <v>0.10154532018755395</v>
          </cell>
          <cell r="BJ13">
            <v>4440692</v>
          </cell>
          <cell r="BK13">
            <v>26539247</v>
          </cell>
          <cell r="BL13">
            <v>60.237169502209312</v>
          </cell>
          <cell r="BM13">
            <v>525655</v>
          </cell>
          <cell r="BN13">
            <v>0.11837231674702951</v>
          </cell>
          <cell r="BO13">
            <v>4705770</v>
          </cell>
          <cell r="BP13">
            <v>27014470</v>
          </cell>
          <cell r="BQ13">
            <v>62.709992089424674</v>
          </cell>
          <cell r="BR13">
            <v>371982</v>
          </cell>
          <cell r="BS13">
            <v>7.9048062272486758E-2</v>
          </cell>
          <cell r="BT13">
            <v>4486301</v>
          </cell>
          <cell r="BU13">
            <v>26998502</v>
          </cell>
          <cell r="BV13">
            <v>59.820665605817688</v>
          </cell>
          <cell r="BW13">
            <v>423460</v>
          </cell>
          <cell r="BX13">
            <v>9.4389565033643527E-2</v>
          </cell>
          <cell r="BY13">
            <v>4654956</v>
          </cell>
          <cell r="BZ13">
            <v>27946675</v>
          </cell>
          <cell r="CA13">
            <v>59.963632882981607</v>
          </cell>
          <cell r="CB13">
            <v>496058</v>
          </cell>
          <cell r="CC13">
            <v>0.10656556152195638</v>
          </cell>
          <cell r="CD13">
            <v>5034942</v>
          </cell>
          <cell r="CE13">
            <v>28797077</v>
          </cell>
          <cell r="CF13">
            <v>62.943163293969036</v>
          </cell>
          <cell r="CG13">
            <v>677623</v>
          </cell>
          <cell r="CH13">
            <v>0.1345840726665769</v>
          </cell>
          <cell r="CI13">
            <v>4879225</v>
          </cell>
          <cell r="CJ13">
            <v>28884312</v>
          </cell>
          <cell r="CK13">
            <v>60.812284537017881</v>
          </cell>
          <cell r="CL13">
            <v>357682</v>
          </cell>
          <cell r="CM13">
            <v>7.3307133817358289E-2</v>
          </cell>
          <cell r="CN13">
            <v>5570526</v>
          </cell>
          <cell r="CO13">
            <v>28202560</v>
          </cell>
          <cell r="CP13">
            <v>71.106642801220886</v>
          </cell>
          <cell r="CQ13">
            <v>304686</v>
          </cell>
          <cell r="CR13">
            <v>5.4696091536059609E-2</v>
          </cell>
          <cell r="CS13">
            <v>6359155</v>
          </cell>
          <cell r="CT13">
            <v>27689493</v>
          </cell>
          <cell r="CU13">
            <v>82.677418470609055</v>
          </cell>
          <cell r="CV13">
            <v>359838</v>
          </cell>
          <cell r="CW13">
            <v>5.6585819971364117E-2</v>
          </cell>
          <cell r="CX13">
            <v>6409016</v>
          </cell>
          <cell r="CY13">
            <v>29890627</v>
          </cell>
          <cell r="CZ13">
            <v>77.18960729729757</v>
          </cell>
          <cell r="DA13">
            <v>294007</v>
          </cell>
          <cell r="DB13">
            <v>4.5873968796457991E-2</v>
          </cell>
          <cell r="DC13">
            <v>6102669</v>
          </cell>
          <cell r="DD13">
            <v>29942412</v>
          </cell>
          <cell r="DE13">
            <v>73</v>
          </cell>
          <cell r="DF13">
            <v>290983</v>
          </cell>
          <cell r="DG13">
            <v>0.05</v>
          </cell>
          <cell r="DH13">
            <v>6464839</v>
          </cell>
          <cell r="DI13">
            <v>29490618</v>
          </cell>
          <cell r="DJ13">
            <v>79</v>
          </cell>
          <cell r="DK13">
            <v>263747</v>
          </cell>
          <cell r="DL13">
            <v>0.04</v>
          </cell>
          <cell r="DM13">
            <v>3717125</v>
          </cell>
          <cell r="DN13">
            <v>28951929</v>
          </cell>
          <cell r="DO13">
            <v>46</v>
          </cell>
          <cell r="DP13">
            <v>284417</v>
          </cell>
          <cell r="DQ13">
            <v>0.08</v>
          </cell>
        </row>
      </sheetData>
      <sheetData sheetId="27">
        <row r="1">
          <cell r="L1">
            <v>88751.949999999953</v>
          </cell>
          <cell r="P1">
            <v>22358232.629999999</v>
          </cell>
        </row>
        <row r="2">
          <cell r="A2" t="str">
            <v>Sistema Integrado LUCAS</v>
          </cell>
          <cell r="C2">
            <v>309965.28999999992</v>
          </cell>
          <cell r="D2">
            <v>343378.3899999999</v>
          </cell>
          <cell r="E2">
            <v>116721.81</v>
          </cell>
          <cell r="F2">
            <v>409308.65000000008</v>
          </cell>
          <cell r="G2">
            <v>144978.92000000001</v>
          </cell>
          <cell r="H2">
            <v>397853.28999999992</v>
          </cell>
          <cell r="I2">
            <v>109667.19999999998</v>
          </cell>
          <cell r="J2">
            <v>158704.72999999998</v>
          </cell>
          <cell r="K2">
            <v>-1425605.22</v>
          </cell>
          <cell r="L2">
            <v>1674751.95</v>
          </cell>
          <cell r="M2">
            <v>-359055.87999999989</v>
          </cell>
          <cell r="N2">
            <v>-960805.58</v>
          </cell>
          <cell r="P2">
            <v>1485112.4499999993</v>
          </cell>
        </row>
        <row r="3">
          <cell r="P3">
            <v>18439</v>
          </cell>
        </row>
        <row r="4">
          <cell r="A4" t="str">
            <v xml:space="preserve">GRAFIMPAC 2014                                                                                      </v>
          </cell>
          <cell r="P4">
            <v>-736</v>
          </cell>
        </row>
        <row r="5">
          <cell r="A5" t="str">
            <v xml:space="preserve">Estado Financiero </v>
          </cell>
          <cell r="P5">
            <v>1481</v>
          </cell>
        </row>
        <row r="6">
          <cell r="A6" t="str">
            <v>Estado de Resultado Integral</v>
          </cell>
        </row>
        <row r="7">
          <cell r="D7" t="str">
            <v>Desde  el     1 de Enero de 2020</v>
          </cell>
        </row>
        <row r="8">
          <cell r="A8" t="str">
            <v>Al   31 de Diciembre de 2020</v>
          </cell>
        </row>
        <row r="10">
          <cell r="A10" t="str">
            <v>Cuenta Contable</v>
          </cell>
          <cell r="B10" t="str">
            <v>Nombre de la Cuenta</v>
          </cell>
          <cell r="C10" t="str">
            <v>Enero</v>
          </cell>
          <cell r="D10" t="str">
            <v>Febrero</v>
          </cell>
          <cell r="E10" t="str">
            <v>Marzo</v>
          </cell>
          <cell r="F10" t="str">
            <v>Abril</v>
          </cell>
          <cell r="G10" t="str">
            <v>Mayo</v>
          </cell>
          <cell r="H10" t="str">
            <v>Junio</v>
          </cell>
          <cell r="I10" t="str">
            <v>Julio</v>
          </cell>
          <cell r="J10" t="str">
            <v>Agosto</v>
          </cell>
          <cell r="K10" t="str">
            <v>Septiembre</v>
          </cell>
          <cell r="L10" t="str">
            <v>Octubre</v>
          </cell>
          <cell r="M10" t="str">
            <v>Noviembre</v>
          </cell>
          <cell r="N10" t="str">
            <v>Diciembre</v>
          </cell>
        </row>
        <row r="11">
          <cell r="A11">
            <v>4</v>
          </cell>
          <cell r="B11" t="str">
            <v xml:space="preserve">INGRESOS                                                              </v>
          </cell>
          <cell r="C11">
            <v>2035987.71</v>
          </cell>
          <cell r="D11">
            <v>1904704.22</v>
          </cell>
          <cell r="E11">
            <v>1435240.11</v>
          </cell>
          <cell r="F11">
            <v>2297522.48</v>
          </cell>
          <cell r="G11">
            <v>2360582.48</v>
          </cell>
          <cell r="H11">
            <v>2059846.94</v>
          </cell>
          <cell r="I11">
            <v>1362300.54</v>
          </cell>
          <cell r="J11">
            <v>1543638.63</v>
          </cell>
          <cell r="K11">
            <v>1930650.12</v>
          </cell>
          <cell r="L11">
            <v>1778313.72</v>
          </cell>
          <cell r="M11">
            <v>2081969.31</v>
          </cell>
          <cell r="N11">
            <v>1568527.64</v>
          </cell>
          <cell r="P11">
            <v>22359283.899999999</v>
          </cell>
        </row>
        <row r="12">
          <cell r="A12">
            <v>41</v>
          </cell>
          <cell r="B12" t="str">
            <v xml:space="preserve">INGRESOS OPERACIONALES                                                </v>
          </cell>
          <cell r="C12">
            <v>2035987.71</v>
          </cell>
          <cell r="D12">
            <v>1904704.22</v>
          </cell>
          <cell r="E12">
            <v>1435240.11</v>
          </cell>
          <cell r="F12">
            <v>2297522.48</v>
          </cell>
          <cell r="G12">
            <v>2360582.48</v>
          </cell>
          <cell r="H12">
            <v>2059846.94</v>
          </cell>
          <cell r="I12">
            <v>1362300.54</v>
          </cell>
          <cell r="J12">
            <v>1543638.63</v>
          </cell>
          <cell r="K12">
            <v>1930650.12</v>
          </cell>
          <cell r="L12">
            <v>1778313.72</v>
          </cell>
          <cell r="M12">
            <v>2081969.31</v>
          </cell>
          <cell r="N12">
            <v>1568527.64</v>
          </cell>
          <cell r="P12">
            <v>22359283.899999999</v>
          </cell>
        </row>
        <row r="13">
          <cell r="A13">
            <v>4101</v>
          </cell>
          <cell r="B13" t="str">
            <v xml:space="preserve">INGRESO POR VENTAS DE BIENES Y SERVICIOS                              </v>
          </cell>
          <cell r="C13">
            <v>2035987.71</v>
          </cell>
          <cell r="D13">
            <v>1904704.22</v>
          </cell>
          <cell r="E13">
            <v>1435240.11</v>
          </cell>
          <cell r="F13">
            <v>2297522.48</v>
          </cell>
          <cell r="G13">
            <v>2360582.48</v>
          </cell>
          <cell r="H13">
            <v>2059846.94</v>
          </cell>
          <cell r="I13">
            <v>1362300.54</v>
          </cell>
          <cell r="J13">
            <v>1543638.63</v>
          </cell>
          <cell r="K13">
            <v>1930650.12</v>
          </cell>
          <cell r="L13">
            <v>1778313.72</v>
          </cell>
          <cell r="M13">
            <v>2081969.31</v>
          </cell>
          <cell r="N13">
            <v>1568527.64</v>
          </cell>
          <cell r="P13">
            <v>22359283.899999999</v>
          </cell>
        </row>
        <row r="14">
          <cell r="A14">
            <v>410101</v>
          </cell>
          <cell r="B14" t="str">
            <v xml:space="preserve">VENTAS DE BIENES                                                      </v>
          </cell>
          <cell r="C14">
            <v>2036008.86</v>
          </cell>
          <cell r="D14">
            <v>1904224.22</v>
          </cell>
          <cell r="E14">
            <v>1435240.11</v>
          </cell>
          <cell r="F14">
            <v>2297522.48</v>
          </cell>
          <cell r="G14">
            <v>2360582.48</v>
          </cell>
          <cell r="H14">
            <v>2059846.94</v>
          </cell>
          <cell r="I14">
            <v>1362313.54</v>
          </cell>
          <cell r="J14">
            <v>1543638.63</v>
          </cell>
          <cell r="K14">
            <v>1930650.12</v>
          </cell>
          <cell r="L14">
            <v>1778313.72</v>
          </cell>
          <cell r="M14">
            <v>2081969.31</v>
          </cell>
          <cell r="N14">
            <v>1567922.22</v>
          </cell>
          <cell r="P14">
            <v>22358232.629999995</v>
          </cell>
        </row>
        <row r="15">
          <cell r="A15">
            <v>41010101</v>
          </cell>
          <cell r="B15" t="str">
            <v xml:space="preserve">VENTA DE BIENES LOCALES                                               </v>
          </cell>
          <cell r="C15">
            <v>1914591.77</v>
          </cell>
          <cell r="D15">
            <v>1777092.63</v>
          </cell>
          <cell r="E15">
            <v>1313572.07</v>
          </cell>
          <cell r="F15">
            <v>1993654.8</v>
          </cell>
          <cell r="G15">
            <v>2060190.74</v>
          </cell>
          <cell r="H15">
            <v>1862211.75</v>
          </cell>
          <cell r="I15">
            <v>1202965.18</v>
          </cell>
          <cell r="J15">
            <v>1492136.39</v>
          </cell>
          <cell r="K15">
            <v>1576963.5</v>
          </cell>
          <cell r="L15">
            <v>1640053.73</v>
          </cell>
          <cell r="M15">
            <v>1966986.67</v>
          </cell>
          <cell r="N15">
            <v>1508797.08</v>
          </cell>
          <cell r="P15">
            <v>20309216.309999995</v>
          </cell>
        </row>
        <row r="16">
          <cell r="A16">
            <v>410101010001</v>
          </cell>
          <cell r="B16" t="str">
            <v xml:space="preserve">Venta Etiquetas                                                       </v>
          </cell>
          <cell r="C16">
            <v>47171.99</v>
          </cell>
          <cell r="D16">
            <v>41821.65</v>
          </cell>
          <cell r="E16">
            <v>22100.83</v>
          </cell>
          <cell r="F16">
            <v>51224.160000000003</v>
          </cell>
          <cell r="G16">
            <v>55015.56</v>
          </cell>
          <cell r="H16">
            <v>51104.21</v>
          </cell>
          <cell r="I16">
            <v>31324.31</v>
          </cell>
          <cell r="J16">
            <v>39408.660000000003</v>
          </cell>
          <cell r="K16">
            <v>38747.86</v>
          </cell>
          <cell r="L16">
            <v>47713.26</v>
          </cell>
          <cell r="M16">
            <v>19934.05</v>
          </cell>
          <cell r="N16">
            <v>33091.03</v>
          </cell>
          <cell r="P16">
            <v>478657.56999999995</v>
          </cell>
        </row>
        <row r="17">
          <cell r="A17">
            <v>410101010002</v>
          </cell>
          <cell r="B17" t="str">
            <v xml:space="preserve">Venta Cajas                                                           </v>
          </cell>
          <cell r="C17">
            <v>91632.95</v>
          </cell>
          <cell r="D17">
            <v>152541.17000000001</v>
          </cell>
          <cell r="E17">
            <v>104225.07</v>
          </cell>
          <cell r="F17">
            <v>158649.57999999999</v>
          </cell>
          <cell r="G17">
            <v>203882.26</v>
          </cell>
          <cell r="H17">
            <v>241771.71</v>
          </cell>
          <cell r="I17">
            <v>92798.98</v>
          </cell>
          <cell r="J17">
            <v>158999.20000000001</v>
          </cell>
          <cell r="K17">
            <v>110570.19</v>
          </cell>
          <cell r="L17">
            <v>117355.2</v>
          </cell>
          <cell r="M17">
            <v>133771.82</v>
          </cell>
          <cell r="N17">
            <v>157998.82</v>
          </cell>
          <cell r="P17">
            <v>1724196.95</v>
          </cell>
        </row>
        <row r="18">
          <cell r="A18">
            <v>410101010003</v>
          </cell>
          <cell r="B18" t="str">
            <v xml:space="preserve">Venta Material POP                                                    </v>
          </cell>
          <cell r="C18">
            <v>25939.47</v>
          </cell>
          <cell r="D18">
            <v>21119.96</v>
          </cell>
          <cell r="E18">
            <v>16175.68</v>
          </cell>
          <cell r="F18">
            <v>37408.1</v>
          </cell>
          <cell r="G18">
            <v>0</v>
          </cell>
          <cell r="H18">
            <v>2904.45</v>
          </cell>
          <cell r="I18">
            <v>7146</v>
          </cell>
          <cell r="J18">
            <v>303</v>
          </cell>
          <cell r="K18">
            <v>21780</v>
          </cell>
          <cell r="L18">
            <v>868.44</v>
          </cell>
          <cell r="M18">
            <v>33330</v>
          </cell>
          <cell r="N18">
            <v>7703.5</v>
          </cell>
          <cell r="P18">
            <v>174678.59999999998</v>
          </cell>
        </row>
        <row r="19">
          <cell r="A19">
            <v>410101010004</v>
          </cell>
          <cell r="B19" t="str">
            <v xml:space="preserve">Venta Papeleria                                                       </v>
          </cell>
          <cell r="C19">
            <v>5080</v>
          </cell>
          <cell r="D19">
            <v>1780.17</v>
          </cell>
          <cell r="E19">
            <v>665.48</v>
          </cell>
          <cell r="F19">
            <v>0</v>
          </cell>
          <cell r="G19">
            <v>28.44</v>
          </cell>
          <cell r="H19">
            <v>185</v>
          </cell>
          <cell r="I19">
            <v>1984.14</v>
          </cell>
          <cell r="J19">
            <v>3047.3</v>
          </cell>
          <cell r="K19">
            <v>3333.9</v>
          </cell>
          <cell r="L19">
            <v>1968.31</v>
          </cell>
          <cell r="M19">
            <v>3351.63</v>
          </cell>
          <cell r="N19">
            <v>5798.86</v>
          </cell>
          <cell r="P19">
            <v>27223.23</v>
          </cell>
        </row>
        <row r="20">
          <cell r="A20">
            <v>410101010005</v>
          </cell>
          <cell r="B20" t="str">
            <v xml:space="preserve">Venta Folletos                                                        </v>
          </cell>
          <cell r="C20">
            <v>0</v>
          </cell>
          <cell r="D20">
            <v>1407.2</v>
          </cell>
          <cell r="E20">
            <v>3038.1</v>
          </cell>
          <cell r="F20">
            <v>5546.33</v>
          </cell>
          <cell r="G20">
            <v>2521.38</v>
          </cell>
          <cell r="H20">
            <v>2478.98</v>
          </cell>
          <cell r="I20">
            <v>1975.6</v>
          </cell>
          <cell r="J20">
            <v>8580.89</v>
          </cell>
          <cell r="K20">
            <v>423.78</v>
          </cell>
          <cell r="L20">
            <v>1225</v>
          </cell>
          <cell r="M20">
            <v>1744.34</v>
          </cell>
          <cell r="N20">
            <v>299.7</v>
          </cell>
          <cell r="P20">
            <v>29241.3</v>
          </cell>
        </row>
        <row r="21">
          <cell r="A21">
            <v>410101010006</v>
          </cell>
          <cell r="B21" t="str">
            <v xml:space="preserve">Venta Revistas                                                        </v>
          </cell>
          <cell r="C21">
            <v>1166.4000000000001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1575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P21">
            <v>2741.4</v>
          </cell>
        </row>
        <row r="22">
          <cell r="A22">
            <v>410101010007</v>
          </cell>
          <cell r="B22" t="str">
            <v xml:space="preserve">Venta Libros                                                          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928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P22">
            <v>928</v>
          </cell>
        </row>
        <row r="23">
          <cell r="A23">
            <v>410101010008</v>
          </cell>
          <cell r="B23" t="str">
            <v xml:space="preserve">Venta Agendas                                                         </v>
          </cell>
          <cell r="C23">
            <v>5653.51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1212.2</v>
          </cell>
          <cell r="I23">
            <v>82.2</v>
          </cell>
          <cell r="J23">
            <v>0</v>
          </cell>
          <cell r="K23">
            <v>230</v>
          </cell>
          <cell r="L23">
            <v>2556.25</v>
          </cell>
          <cell r="M23">
            <v>0</v>
          </cell>
          <cell r="N23">
            <v>2569.5</v>
          </cell>
          <cell r="P23">
            <v>12303.66</v>
          </cell>
        </row>
        <row r="24">
          <cell r="A24">
            <v>410101010009</v>
          </cell>
          <cell r="B24" t="str">
            <v xml:space="preserve">Venta Cajas Camaron                                                   </v>
          </cell>
          <cell r="C24">
            <v>1322464.93</v>
          </cell>
          <cell r="D24">
            <v>1417599.43</v>
          </cell>
          <cell r="E24">
            <v>1093952.1000000001</v>
          </cell>
          <cell r="F24">
            <v>1516566.68</v>
          </cell>
          <cell r="G24">
            <v>1586059.77</v>
          </cell>
          <cell r="H24">
            <v>1340686.33</v>
          </cell>
          <cell r="I24">
            <v>970680.34</v>
          </cell>
          <cell r="J24">
            <v>889184.57</v>
          </cell>
          <cell r="K24">
            <v>946888.67</v>
          </cell>
          <cell r="L24">
            <v>1205295.1399999999</v>
          </cell>
          <cell r="M24">
            <v>1534092.23</v>
          </cell>
          <cell r="N24">
            <v>849636.52</v>
          </cell>
          <cell r="P24">
            <v>14673106.710000001</v>
          </cell>
        </row>
        <row r="25">
          <cell r="A25">
            <v>410101010011</v>
          </cell>
          <cell r="B25" t="str">
            <v xml:space="preserve">Venta Productos Reciclaje                                             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603.87</v>
          </cell>
          <cell r="M25">
            <v>0</v>
          </cell>
          <cell r="N25">
            <v>0</v>
          </cell>
          <cell r="P25">
            <v>603.87</v>
          </cell>
        </row>
        <row r="26">
          <cell r="A26">
            <v>410101010012</v>
          </cell>
          <cell r="B26" t="str">
            <v xml:space="preserve">Ventas Corrugado                                                      </v>
          </cell>
          <cell r="C26">
            <v>64671.27</v>
          </cell>
          <cell r="D26">
            <v>35715</v>
          </cell>
          <cell r="E26">
            <v>12555.88</v>
          </cell>
          <cell r="F26">
            <v>97102.1</v>
          </cell>
          <cell r="G26">
            <v>98715.66</v>
          </cell>
          <cell r="H26">
            <v>29540.89</v>
          </cell>
          <cell r="I26">
            <v>21095.51</v>
          </cell>
          <cell r="J26">
            <v>124101.13</v>
          </cell>
          <cell r="K26">
            <v>145451.70000000001</v>
          </cell>
          <cell r="L26">
            <v>60393.96</v>
          </cell>
          <cell r="M26">
            <v>67758.350000000006</v>
          </cell>
          <cell r="N26">
            <v>111932.43</v>
          </cell>
          <cell r="P26">
            <v>869033.88000000012</v>
          </cell>
        </row>
        <row r="27">
          <cell r="A27">
            <v>410101010013</v>
          </cell>
          <cell r="B27" t="str">
            <v xml:space="preserve">Venta Mat. Prima, Empaq, Suministros                                  </v>
          </cell>
          <cell r="C27">
            <v>0</v>
          </cell>
          <cell r="D27">
            <v>2547.1999999999998</v>
          </cell>
          <cell r="E27">
            <v>-1500</v>
          </cell>
          <cell r="F27">
            <v>-4</v>
          </cell>
          <cell r="G27">
            <v>0.1</v>
          </cell>
          <cell r="H27">
            <v>0</v>
          </cell>
          <cell r="I27">
            <v>80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P27">
            <v>1123.2999999999997</v>
          </cell>
        </row>
        <row r="28">
          <cell r="A28">
            <v>410101010014</v>
          </cell>
          <cell r="B28" t="str">
            <v xml:space="preserve">Venta Cajas de Segunda                                                </v>
          </cell>
          <cell r="C28">
            <v>0</v>
          </cell>
          <cell r="D28">
            <v>5417.1</v>
          </cell>
          <cell r="E28">
            <v>0</v>
          </cell>
          <cell r="F28">
            <v>27067.5</v>
          </cell>
          <cell r="G28">
            <v>-173.93</v>
          </cell>
          <cell r="H28">
            <v>7850.4</v>
          </cell>
          <cell r="I28">
            <v>0</v>
          </cell>
          <cell r="J28">
            <v>7286.7</v>
          </cell>
          <cell r="K28">
            <v>4609.8</v>
          </cell>
          <cell r="L28">
            <v>3551</v>
          </cell>
          <cell r="M28">
            <v>8359.2999999999993</v>
          </cell>
          <cell r="N28">
            <v>3244.8</v>
          </cell>
          <cell r="P28">
            <v>67212.67</v>
          </cell>
        </row>
        <row r="29">
          <cell r="A29">
            <v>410101010030</v>
          </cell>
          <cell r="B29" t="str">
            <v xml:space="preserve">Venta Productos de Terceros                                           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346.5</v>
          </cell>
          <cell r="I29">
            <v>0</v>
          </cell>
          <cell r="J29">
            <v>0</v>
          </cell>
          <cell r="K29">
            <v>0</v>
          </cell>
          <cell r="L29">
            <v>346.5</v>
          </cell>
          <cell r="M29">
            <v>0</v>
          </cell>
          <cell r="N29">
            <v>0</v>
          </cell>
          <cell r="P29">
            <v>693</v>
          </cell>
        </row>
        <row r="30">
          <cell r="A30">
            <v>410101010031</v>
          </cell>
          <cell r="B30" t="str">
            <v xml:space="preserve">Venta Congelados Canastillas                                          </v>
          </cell>
          <cell r="C30">
            <v>262501.34000000003</v>
          </cell>
          <cell r="D30">
            <v>68558</v>
          </cell>
          <cell r="E30">
            <v>55053.21</v>
          </cell>
          <cell r="F30">
            <v>79628.899999999994</v>
          </cell>
          <cell r="G30">
            <v>84043</v>
          </cell>
          <cell r="H30">
            <v>150362.20000000001</v>
          </cell>
          <cell r="I30">
            <v>33376</v>
          </cell>
          <cell r="J30">
            <v>197316.69</v>
          </cell>
          <cell r="K30">
            <v>265144.2</v>
          </cell>
          <cell r="L30">
            <v>180480.8</v>
          </cell>
          <cell r="M30">
            <v>129306.1</v>
          </cell>
          <cell r="N30">
            <v>283468.2</v>
          </cell>
          <cell r="P30">
            <v>1789238.6400000001</v>
          </cell>
        </row>
        <row r="31">
          <cell r="A31">
            <v>410101010032</v>
          </cell>
          <cell r="B31" t="str">
            <v xml:space="preserve">Venta Congelados Otros                                                </v>
          </cell>
          <cell r="C31">
            <v>88309.91</v>
          </cell>
          <cell r="D31">
            <v>28585.75</v>
          </cell>
          <cell r="E31">
            <v>7305.72</v>
          </cell>
          <cell r="F31">
            <v>20465.45</v>
          </cell>
          <cell r="G31">
            <v>30098.5</v>
          </cell>
          <cell r="H31">
            <v>33768.879999999997</v>
          </cell>
          <cell r="I31">
            <v>39919.1</v>
          </cell>
          <cell r="J31">
            <v>63908.25</v>
          </cell>
          <cell r="K31">
            <v>39783.4</v>
          </cell>
          <cell r="L31">
            <v>17696</v>
          </cell>
          <cell r="M31">
            <v>35338.85</v>
          </cell>
          <cell r="N31">
            <v>53053.72</v>
          </cell>
          <cell r="P31">
            <v>458233.53</v>
          </cell>
        </row>
        <row r="32">
          <cell r="A32">
            <v>41010103</v>
          </cell>
          <cell r="B32" t="str">
            <v xml:space="preserve">EXPORTACIONES                                                         </v>
          </cell>
          <cell r="C32">
            <v>121417.09</v>
          </cell>
          <cell r="D32">
            <v>127131.59</v>
          </cell>
          <cell r="E32">
            <v>121668.04</v>
          </cell>
          <cell r="F32">
            <v>303867.68</v>
          </cell>
          <cell r="G32">
            <v>300391.74</v>
          </cell>
          <cell r="H32">
            <v>197635.19</v>
          </cell>
          <cell r="I32">
            <v>159348.35999999999</v>
          </cell>
          <cell r="J32">
            <v>51502.239999999998</v>
          </cell>
          <cell r="K32">
            <v>353686.62</v>
          </cell>
          <cell r="L32">
            <v>138259.99</v>
          </cell>
          <cell r="M32">
            <v>114982.64</v>
          </cell>
          <cell r="N32">
            <v>59125.14</v>
          </cell>
          <cell r="P32">
            <v>2049016.3199999996</v>
          </cell>
        </row>
        <row r="33">
          <cell r="A33">
            <v>410101030010</v>
          </cell>
          <cell r="B33" t="str">
            <v xml:space="preserve">Venta Caja de Camaron Exportacion                                     </v>
          </cell>
          <cell r="C33">
            <v>118195.94</v>
          </cell>
          <cell r="D33">
            <v>127131.59</v>
          </cell>
          <cell r="E33">
            <v>109074.55</v>
          </cell>
          <cell r="F33">
            <v>181663.98</v>
          </cell>
          <cell r="G33">
            <v>179551.89</v>
          </cell>
          <cell r="H33">
            <v>128878.36</v>
          </cell>
          <cell r="I33">
            <v>118318.53</v>
          </cell>
          <cell r="J33">
            <v>50939.02</v>
          </cell>
          <cell r="K33">
            <v>125045.9</v>
          </cell>
          <cell r="L33">
            <v>108371.17</v>
          </cell>
          <cell r="M33">
            <v>114982.64</v>
          </cell>
          <cell r="N33">
            <v>20352.18</v>
          </cell>
          <cell r="P33">
            <v>1382505.7499999998</v>
          </cell>
        </row>
        <row r="34">
          <cell r="A34">
            <v>410101030031</v>
          </cell>
          <cell r="B34" t="str">
            <v xml:space="preserve">Venta Prod. de Terceros Exportación                                   </v>
          </cell>
          <cell r="C34">
            <v>21.15</v>
          </cell>
          <cell r="D34">
            <v>0</v>
          </cell>
          <cell r="E34">
            <v>8284.43</v>
          </cell>
          <cell r="F34">
            <v>89808.7</v>
          </cell>
          <cell r="G34">
            <v>88394.85</v>
          </cell>
          <cell r="H34">
            <v>50181.120000000003</v>
          </cell>
          <cell r="I34">
            <v>36914.53</v>
          </cell>
          <cell r="J34">
            <v>0</v>
          </cell>
          <cell r="K34">
            <v>225090.72</v>
          </cell>
          <cell r="L34">
            <v>29296.080000000002</v>
          </cell>
          <cell r="M34">
            <v>0</v>
          </cell>
          <cell r="N34">
            <v>37950.32</v>
          </cell>
          <cell r="P34">
            <v>565941.89999999991</v>
          </cell>
        </row>
        <row r="35">
          <cell r="A35">
            <v>410101030032</v>
          </cell>
          <cell r="B35" t="str">
            <v xml:space="preserve">Venta Fletes y Otros Servicios de Exportacion                         </v>
          </cell>
          <cell r="C35">
            <v>3200</v>
          </cell>
          <cell r="D35">
            <v>0</v>
          </cell>
          <cell r="E35">
            <v>3700</v>
          </cell>
          <cell r="F35">
            <v>32395</v>
          </cell>
          <cell r="G35">
            <v>32445</v>
          </cell>
          <cell r="H35">
            <v>17950</v>
          </cell>
          <cell r="I35">
            <v>3545</v>
          </cell>
          <cell r="J35">
            <v>0</v>
          </cell>
          <cell r="K35">
            <v>3550</v>
          </cell>
          <cell r="L35">
            <v>0</v>
          </cell>
          <cell r="M35">
            <v>0</v>
          </cell>
          <cell r="N35">
            <v>0</v>
          </cell>
          <cell r="P35">
            <v>96785</v>
          </cell>
        </row>
        <row r="36">
          <cell r="A36">
            <v>410101030033</v>
          </cell>
          <cell r="B36" t="str">
            <v xml:space="preserve">Venta Export de Productos Reciclaje                                   </v>
          </cell>
          <cell r="C36">
            <v>0</v>
          </cell>
          <cell r="D36">
            <v>0</v>
          </cell>
          <cell r="E36">
            <v>609.05999999999995</v>
          </cell>
          <cell r="F36">
            <v>0</v>
          </cell>
          <cell r="G36">
            <v>0</v>
          </cell>
          <cell r="H36">
            <v>625.71</v>
          </cell>
          <cell r="I36">
            <v>570.29999999999995</v>
          </cell>
          <cell r="J36">
            <v>563.22</v>
          </cell>
          <cell r="K36">
            <v>0</v>
          </cell>
          <cell r="L36">
            <v>592.74</v>
          </cell>
          <cell r="M36">
            <v>0</v>
          </cell>
          <cell r="N36">
            <v>822.64</v>
          </cell>
          <cell r="P36">
            <v>3783.6699999999996</v>
          </cell>
        </row>
        <row r="37">
          <cell r="A37">
            <v>410102</v>
          </cell>
          <cell r="B37" t="str">
            <v xml:space="preserve">VENTAS DE SERVICIO                                                    </v>
          </cell>
          <cell r="C37">
            <v>-21.15</v>
          </cell>
          <cell r="D37">
            <v>480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-13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605.41999999999996</v>
          </cell>
          <cell r="P37">
            <v>1051.27</v>
          </cell>
        </row>
        <row r="38">
          <cell r="A38">
            <v>41010201</v>
          </cell>
          <cell r="B38" t="str">
            <v xml:space="preserve">VENTAS DE SERVICIOS                                                   </v>
          </cell>
          <cell r="C38">
            <v>-21.15</v>
          </cell>
          <cell r="D38">
            <v>480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-13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605.41999999999996</v>
          </cell>
          <cell r="P38">
            <v>1051.27</v>
          </cell>
        </row>
        <row r="39">
          <cell r="A39">
            <v>410102010001</v>
          </cell>
          <cell r="B39" t="str">
            <v xml:space="preserve">Venta Fletes locales y otros servicios                                </v>
          </cell>
          <cell r="C39">
            <v>-21.15</v>
          </cell>
          <cell r="D39">
            <v>480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-13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605.41999999999996</v>
          </cell>
          <cell r="P39">
            <v>1051.27</v>
          </cell>
        </row>
        <row r="40">
          <cell r="A40">
            <v>5</v>
          </cell>
          <cell r="B40" t="str">
            <v xml:space="preserve">COSTOS Y GASTOS                                                       </v>
          </cell>
          <cell r="C40">
            <v>1726001.27</v>
          </cell>
          <cell r="D40">
            <v>1561325.83</v>
          </cell>
          <cell r="E40">
            <v>1310233.8700000001</v>
          </cell>
          <cell r="F40">
            <v>1798405.13</v>
          </cell>
          <cell r="G40">
            <v>2127208.71</v>
          </cell>
          <cell r="H40">
            <v>1612159.03</v>
          </cell>
          <cell r="I40">
            <v>1215718.81</v>
          </cell>
          <cell r="J40">
            <v>1384933.9</v>
          </cell>
          <cell r="K40">
            <v>3131164.62</v>
          </cell>
          <cell r="L40">
            <v>74612.19</v>
          </cell>
          <cell r="M40">
            <v>2441025.19</v>
          </cell>
          <cell r="N40">
            <v>2491382.9</v>
          </cell>
          <cell r="P40">
            <v>20874171.449999999</v>
          </cell>
        </row>
        <row r="41">
          <cell r="A41">
            <v>51</v>
          </cell>
          <cell r="B41" t="str">
            <v xml:space="preserve">COSTOS DE VENTA Y PRODUCCIÓN                                          </v>
          </cell>
          <cell r="C41">
            <v>1513513.44</v>
          </cell>
          <cell r="D41">
            <v>1411459.52</v>
          </cell>
          <cell r="E41">
            <v>1179938.55</v>
          </cell>
          <cell r="F41">
            <v>1660194.94</v>
          </cell>
          <cell r="G41">
            <v>1926101.66</v>
          </cell>
          <cell r="H41">
            <v>1473536.07</v>
          </cell>
          <cell r="I41">
            <v>1054063.23</v>
          </cell>
          <cell r="J41">
            <v>1245691.22</v>
          </cell>
          <cell r="K41">
            <v>2886944.33</v>
          </cell>
          <cell r="L41">
            <v>-185966.4</v>
          </cell>
          <cell r="M41">
            <v>2187911.14</v>
          </cell>
          <cell r="N41">
            <v>2082208.6</v>
          </cell>
          <cell r="P41">
            <v>18435596.300000001</v>
          </cell>
        </row>
        <row r="42">
          <cell r="A42">
            <v>5101</v>
          </cell>
          <cell r="B42" t="str">
            <v xml:space="preserve">COSTO DE VENTA                                                        </v>
          </cell>
          <cell r="C42">
            <v>1512751.07</v>
          </cell>
          <cell r="D42">
            <v>1411464.38</v>
          </cell>
          <cell r="E42">
            <v>1181327.1200000001</v>
          </cell>
          <cell r="F42">
            <v>1672574.39</v>
          </cell>
          <cell r="G42">
            <v>1870206.29</v>
          </cell>
          <cell r="H42">
            <v>1473333.69</v>
          </cell>
          <cell r="I42">
            <v>1097150.3899999999</v>
          </cell>
          <cell r="J42">
            <v>1245691.22</v>
          </cell>
          <cell r="K42">
            <v>193769.06</v>
          </cell>
          <cell r="L42">
            <v>82097.789999999994</v>
          </cell>
          <cell r="M42">
            <v>0</v>
          </cell>
          <cell r="N42">
            <v>6699426.3600000003</v>
          </cell>
          <cell r="P42">
            <v>18439791.760000002</v>
          </cell>
        </row>
        <row r="43">
          <cell r="A43">
            <v>510101</v>
          </cell>
          <cell r="B43" t="str">
            <v xml:space="preserve">COSTO DE VENTA DE PRODUCTOS VENDIDOS                                  </v>
          </cell>
          <cell r="C43">
            <v>1512751.07</v>
          </cell>
          <cell r="D43">
            <v>1411464.38</v>
          </cell>
          <cell r="E43">
            <v>1181327.1200000001</v>
          </cell>
          <cell r="F43">
            <v>1672574.39</v>
          </cell>
          <cell r="G43">
            <v>1870206.29</v>
          </cell>
          <cell r="H43">
            <v>1473333.69</v>
          </cell>
          <cell r="I43">
            <v>1097150.3899999999</v>
          </cell>
          <cell r="J43">
            <v>1245691.22</v>
          </cell>
          <cell r="K43">
            <v>193769.06</v>
          </cell>
          <cell r="L43">
            <v>82097.789999999994</v>
          </cell>
          <cell r="M43">
            <v>0</v>
          </cell>
          <cell r="N43">
            <v>6699426.3600000003</v>
          </cell>
          <cell r="P43">
            <v>18439791.760000002</v>
          </cell>
        </row>
        <row r="44">
          <cell r="A44">
            <v>51010101</v>
          </cell>
          <cell r="B44" t="str">
            <v xml:space="preserve">COSTO DE VENTA DE PRODUCTOS TERMINADOS                                </v>
          </cell>
          <cell r="C44">
            <v>1512751.07</v>
          </cell>
          <cell r="D44">
            <v>1411464.38</v>
          </cell>
          <cell r="E44">
            <v>1181327.1200000001</v>
          </cell>
          <cell r="F44">
            <v>1672574.39</v>
          </cell>
          <cell r="G44">
            <v>1870206.29</v>
          </cell>
          <cell r="H44">
            <v>1473333.69</v>
          </cell>
          <cell r="I44">
            <v>1097150.3899999999</v>
          </cell>
          <cell r="J44">
            <v>1245691.22</v>
          </cell>
          <cell r="K44">
            <v>193769.06</v>
          </cell>
          <cell r="L44">
            <v>82097.789999999994</v>
          </cell>
          <cell r="M44">
            <v>0</v>
          </cell>
          <cell r="N44">
            <v>6699426.3600000003</v>
          </cell>
          <cell r="P44">
            <v>18439791.760000002</v>
          </cell>
        </row>
        <row r="45">
          <cell r="A45">
            <v>510101010001</v>
          </cell>
          <cell r="B45" t="str">
            <v xml:space="preserve">Costo de Venta Etiquetas                                              </v>
          </cell>
          <cell r="C45">
            <v>43456.639999999999</v>
          </cell>
          <cell r="D45">
            <v>34028.46</v>
          </cell>
          <cell r="E45">
            <v>17198.900000000001</v>
          </cell>
          <cell r="F45">
            <v>35374.69</v>
          </cell>
          <cell r="G45">
            <v>42426.46</v>
          </cell>
          <cell r="H45">
            <v>33853.089999999997</v>
          </cell>
          <cell r="I45">
            <v>42662.18</v>
          </cell>
          <cell r="J45">
            <v>28671.85</v>
          </cell>
          <cell r="K45">
            <v>0</v>
          </cell>
          <cell r="L45">
            <v>0</v>
          </cell>
          <cell r="M45">
            <v>0</v>
          </cell>
          <cell r="N45">
            <v>156326.17000000001</v>
          </cell>
          <cell r="P45">
            <v>433998.43999999994</v>
          </cell>
        </row>
        <row r="46">
          <cell r="A46">
            <v>510101010002</v>
          </cell>
          <cell r="B46" t="str">
            <v xml:space="preserve">Costo de Venta Cajas                                                  </v>
          </cell>
          <cell r="C46">
            <v>95507.61</v>
          </cell>
          <cell r="D46">
            <v>140468.22</v>
          </cell>
          <cell r="E46">
            <v>98683.41</v>
          </cell>
          <cell r="F46">
            <v>96733.77</v>
          </cell>
          <cell r="G46">
            <v>146239.66</v>
          </cell>
          <cell r="H46">
            <v>200935.03</v>
          </cell>
          <cell r="I46">
            <v>116206.48</v>
          </cell>
          <cell r="J46">
            <v>170936.74</v>
          </cell>
          <cell r="K46">
            <v>0</v>
          </cell>
          <cell r="L46">
            <v>0</v>
          </cell>
          <cell r="M46">
            <v>0</v>
          </cell>
          <cell r="N46">
            <v>591111.93999999994</v>
          </cell>
          <cell r="P46">
            <v>1656822.8599999999</v>
          </cell>
        </row>
        <row r="47">
          <cell r="A47">
            <v>510101010003</v>
          </cell>
          <cell r="B47" t="str">
            <v xml:space="preserve">Costo de Venta Material POP                                           </v>
          </cell>
          <cell r="C47">
            <v>16033.3</v>
          </cell>
          <cell r="D47">
            <v>11658.85</v>
          </cell>
          <cell r="E47">
            <v>10021</v>
          </cell>
          <cell r="F47">
            <v>21466.58</v>
          </cell>
          <cell r="G47">
            <v>0</v>
          </cell>
          <cell r="H47">
            <v>11658.85</v>
          </cell>
          <cell r="I47">
            <v>6432.23</v>
          </cell>
          <cell r="J47">
            <v>69.3</v>
          </cell>
          <cell r="K47">
            <v>0</v>
          </cell>
          <cell r="L47">
            <v>0</v>
          </cell>
          <cell r="M47">
            <v>0</v>
          </cell>
          <cell r="N47">
            <v>48265.1</v>
          </cell>
          <cell r="P47">
            <v>125605.20999999999</v>
          </cell>
        </row>
        <row r="48">
          <cell r="A48">
            <v>510101010004</v>
          </cell>
          <cell r="B48" t="str">
            <v xml:space="preserve">Costo Venta Papeleria                                                 </v>
          </cell>
          <cell r="C48">
            <v>3264.95</v>
          </cell>
          <cell r="D48">
            <v>1248.5</v>
          </cell>
          <cell r="E48">
            <v>1681.81</v>
          </cell>
          <cell r="F48">
            <v>0</v>
          </cell>
          <cell r="G48">
            <v>33.71</v>
          </cell>
          <cell r="H48">
            <v>1248.5</v>
          </cell>
          <cell r="I48">
            <v>3835.62</v>
          </cell>
          <cell r="J48">
            <v>2860.88</v>
          </cell>
          <cell r="K48">
            <v>0</v>
          </cell>
          <cell r="L48">
            <v>0</v>
          </cell>
          <cell r="M48">
            <v>0</v>
          </cell>
          <cell r="N48">
            <v>14514.2</v>
          </cell>
          <cell r="P48">
            <v>28688.170000000002</v>
          </cell>
        </row>
        <row r="49">
          <cell r="A49">
            <v>510101010005</v>
          </cell>
          <cell r="B49" t="str">
            <v xml:space="preserve">Costo Venta Folletos                                                  </v>
          </cell>
          <cell r="C49">
            <v>0</v>
          </cell>
          <cell r="D49">
            <v>1326.86</v>
          </cell>
          <cell r="E49">
            <v>1319.97</v>
          </cell>
          <cell r="F49">
            <v>2292.5100000000002</v>
          </cell>
          <cell r="G49">
            <v>1569.31</v>
          </cell>
          <cell r="H49">
            <v>1326.86</v>
          </cell>
          <cell r="I49">
            <v>2184.2399999999998</v>
          </cell>
          <cell r="J49">
            <v>9168.81</v>
          </cell>
          <cell r="K49">
            <v>0</v>
          </cell>
          <cell r="L49">
            <v>0</v>
          </cell>
          <cell r="M49">
            <v>0</v>
          </cell>
          <cell r="N49">
            <v>5158.83</v>
          </cell>
          <cell r="P49">
            <v>24347.39</v>
          </cell>
        </row>
        <row r="50">
          <cell r="A50">
            <v>510101010006</v>
          </cell>
          <cell r="B50" t="str">
            <v xml:space="preserve">Costo Venta Revistas                                                  </v>
          </cell>
          <cell r="C50">
            <v>496.68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258.07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P50">
            <v>754.75</v>
          </cell>
        </row>
        <row r="51">
          <cell r="A51">
            <v>510101010007</v>
          </cell>
          <cell r="B51" t="str">
            <v xml:space="preserve">Costo Venta Libros                                                    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494.23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P51">
            <v>494.23</v>
          </cell>
        </row>
        <row r="52">
          <cell r="A52">
            <v>510101010008</v>
          </cell>
          <cell r="B52" t="str">
            <v xml:space="preserve">Costo Venta Agendas                                                   </v>
          </cell>
          <cell r="C52">
            <v>1263.01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82.2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1984.47</v>
          </cell>
          <cell r="P52">
            <v>3329.6800000000003</v>
          </cell>
        </row>
        <row r="53">
          <cell r="A53">
            <v>510101010009</v>
          </cell>
          <cell r="B53" t="str">
            <v xml:space="preserve">Costo Venta Cajas Camarón                                             </v>
          </cell>
          <cell r="C53">
            <v>1007808.75</v>
          </cell>
          <cell r="D53">
            <v>1062973.48</v>
          </cell>
          <cell r="E53">
            <v>919322.56</v>
          </cell>
          <cell r="F53">
            <v>1140749.1000000001</v>
          </cell>
          <cell r="G53">
            <v>1282100.04</v>
          </cell>
          <cell r="H53">
            <v>1058044.5</v>
          </cell>
          <cell r="I53">
            <v>740971.58</v>
          </cell>
          <cell r="J53">
            <v>727191.97</v>
          </cell>
          <cell r="K53">
            <v>-18389.7</v>
          </cell>
          <cell r="L53">
            <v>35825.79</v>
          </cell>
          <cell r="M53">
            <v>0</v>
          </cell>
          <cell r="N53">
            <v>4398048.26</v>
          </cell>
          <cell r="P53">
            <v>12354646.329999998</v>
          </cell>
        </row>
        <row r="54">
          <cell r="A54">
            <v>510101010010</v>
          </cell>
          <cell r="B54" t="str">
            <v xml:space="preserve">Costo Venta Cajas Camaron Exportación                                 </v>
          </cell>
          <cell r="C54">
            <v>80470.13</v>
          </cell>
          <cell r="D54">
            <v>74891.67</v>
          </cell>
          <cell r="E54">
            <v>89709.55</v>
          </cell>
          <cell r="F54">
            <v>141107.6</v>
          </cell>
          <cell r="G54">
            <v>161029.53</v>
          </cell>
          <cell r="H54">
            <v>74891.67</v>
          </cell>
          <cell r="I54">
            <v>97777.99</v>
          </cell>
          <cell r="J54">
            <v>39749.839999999997</v>
          </cell>
          <cell r="K54">
            <v>0</v>
          </cell>
          <cell r="L54">
            <v>0</v>
          </cell>
          <cell r="M54">
            <v>0</v>
          </cell>
          <cell r="N54">
            <v>241478.47</v>
          </cell>
          <cell r="P54">
            <v>1001106.45</v>
          </cell>
        </row>
        <row r="55">
          <cell r="A55">
            <v>510101010012</v>
          </cell>
          <cell r="B55" t="str">
            <v xml:space="preserve">Costo Venta Corrugados                                                </v>
          </cell>
          <cell r="C55">
            <v>52427.08</v>
          </cell>
          <cell r="D55">
            <v>24576.89</v>
          </cell>
          <cell r="E55">
            <v>3304.91</v>
          </cell>
          <cell r="F55">
            <v>67747.5</v>
          </cell>
          <cell r="G55">
            <v>57850.67</v>
          </cell>
          <cell r="H55">
            <v>24576.89</v>
          </cell>
          <cell r="I55">
            <v>14559.91</v>
          </cell>
          <cell r="J55">
            <v>67465.100000000006</v>
          </cell>
          <cell r="K55">
            <v>0</v>
          </cell>
          <cell r="L55">
            <v>0</v>
          </cell>
          <cell r="M55">
            <v>0</v>
          </cell>
          <cell r="N55">
            <v>334831.06</v>
          </cell>
          <cell r="P55">
            <v>647340.01</v>
          </cell>
        </row>
        <row r="56">
          <cell r="A56">
            <v>510101010030</v>
          </cell>
          <cell r="B56" t="str">
            <v xml:space="preserve">Costo de venta  Prod. de Terceros                                     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346.5</v>
          </cell>
          <cell r="I56">
            <v>0</v>
          </cell>
          <cell r="J56">
            <v>0</v>
          </cell>
          <cell r="K56">
            <v>0</v>
          </cell>
          <cell r="L56">
            <v>346.5</v>
          </cell>
          <cell r="M56">
            <v>0</v>
          </cell>
          <cell r="N56">
            <v>0</v>
          </cell>
          <cell r="P56">
            <v>693</v>
          </cell>
        </row>
        <row r="57">
          <cell r="A57">
            <v>510101010031</v>
          </cell>
          <cell r="B57" t="str">
            <v xml:space="preserve">Costo de Venta Prod y serv. Terceros  al Exterior                     </v>
          </cell>
          <cell r="C57">
            <v>0</v>
          </cell>
          <cell r="D57">
            <v>0</v>
          </cell>
          <cell r="E57">
            <v>7755.25</v>
          </cell>
          <cell r="F57">
            <v>78586.2</v>
          </cell>
          <cell r="G57">
            <v>78412.350000000006</v>
          </cell>
          <cell r="H57">
            <v>44371.8</v>
          </cell>
          <cell r="I57">
            <v>35751.199999999997</v>
          </cell>
          <cell r="J57">
            <v>9137</v>
          </cell>
          <cell r="K57">
            <v>212158.76</v>
          </cell>
          <cell r="L57">
            <v>41888.21</v>
          </cell>
          <cell r="M57">
            <v>0</v>
          </cell>
          <cell r="N57">
            <v>37726.6</v>
          </cell>
          <cell r="P57">
            <v>545787.37</v>
          </cell>
        </row>
        <row r="58">
          <cell r="A58">
            <v>510101010032</v>
          </cell>
          <cell r="B58" t="str">
            <v xml:space="preserve">Costo de Venta Congelados Canastilla                                  </v>
          </cell>
          <cell r="C58">
            <v>212022.92</v>
          </cell>
          <cell r="D58">
            <v>60291.45</v>
          </cell>
          <cell r="E58">
            <v>32329.759999999998</v>
          </cell>
          <cell r="F58">
            <v>67201.440000000002</v>
          </cell>
          <cell r="G58">
            <v>64194.559999999998</v>
          </cell>
          <cell r="H58">
            <v>0</v>
          </cell>
          <cell r="I58">
            <v>35934.46</v>
          </cell>
          <cell r="J58">
            <v>190439.73</v>
          </cell>
          <cell r="K58">
            <v>0</v>
          </cell>
          <cell r="L58">
            <v>0</v>
          </cell>
          <cell r="M58">
            <v>0</v>
          </cell>
          <cell r="N58">
            <v>869714.82</v>
          </cell>
          <cell r="P58">
            <v>1532129.1400000001</v>
          </cell>
        </row>
        <row r="59">
          <cell r="A59">
            <v>510101010033</v>
          </cell>
          <cell r="B59" t="str">
            <v xml:space="preserve">Costo de Venta Fletes y Otros Servicios de Exportacion                </v>
          </cell>
          <cell r="C59">
            <v>0</v>
          </cell>
          <cell r="D59">
            <v>0</v>
          </cell>
          <cell r="E59">
            <v>0</v>
          </cell>
          <cell r="F59">
            <v>21315</v>
          </cell>
          <cell r="G59">
            <v>36350</v>
          </cell>
          <cell r="H59">
            <v>22080</v>
          </cell>
          <cell r="I59">
            <v>0</v>
          </cell>
          <cell r="J59">
            <v>0</v>
          </cell>
          <cell r="K59">
            <v>0</v>
          </cell>
          <cell r="L59">
            <v>4037.29</v>
          </cell>
          <cell r="M59">
            <v>0</v>
          </cell>
          <cell r="N59">
            <v>266.44</v>
          </cell>
          <cell r="P59">
            <v>84048.73</v>
          </cell>
        </row>
        <row r="60">
          <cell r="A60">
            <v>5102</v>
          </cell>
          <cell r="B60" t="str">
            <v xml:space="preserve">COSTO DE FABRICACION                                                  </v>
          </cell>
          <cell r="C60">
            <v>16.07</v>
          </cell>
          <cell r="D60">
            <v>0</v>
          </cell>
          <cell r="E60">
            <v>-235.33</v>
          </cell>
          <cell r="F60">
            <v>-252.71</v>
          </cell>
          <cell r="G60">
            <v>488.04</v>
          </cell>
          <cell r="H60">
            <v>0</v>
          </cell>
          <cell r="I60">
            <v>-16.07</v>
          </cell>
          <cell r="J60">
            <v>0</v>
          </cell>
          <cell r="K60">
            <v>507829.56</v>
          </cell>
          <cell r="L60">
            <v>330962.89</v>
          </cell>
          <cell r="M60">
            <v>422758.58</v>
          </cell>
          <cell r="N60">
            <v>-1261551.03</v>
          </cell>
          <cell r="P60">
            <v>0</v>
          </cell>
        </row>
        <row r="61">
          <cell r="A61">
            <v>510201</v>
          </cell>
          <cell r="B61" t="str">
            <v xml:space="preserve">COSTOS DIRECTOS DE FABRICACION                                        </v>
          </cell>
          <cell r="C61">
            <v>16.07</v>
          </cell>
          <cell r="D61">
            <v>0</v>
          </cell>
          <cell r="E61">
            <v>-0.03</v>
          </cell>
          <cell r="F61">
            <v>-252.71</v>
          </cell>
          <cell r="G61">
            <v>252.74</v>
          </cell>
          <cell r="H61">
            <v>0</v>
          </cell>
          <cell r="I61">
            <v>-16.07</v>
          </cell>
          <cell r="J61">
            <v>0</v>
          </cell>
          <cell r="K61">
            <v>183026.02</v>
          </cell>
          <cell r="L61">
            <v>168021.5</v>
          </cell>
          <cell r="M61">
            <v>187030.11</v>
          </cell>
          <cell r="N61">
            <v>-538077.63</v>
          </cell>
          <cell r="P61">
            <v>0</v>
          </cell>
        </row>
        <row r="62">
          <cell r="A62">
            <v>51020101</v>
          </cell>
          <cell r="B62" t="str">
            <v xml:space="preserve">MANO DE OBRA                                                          </v>
          </cell>
          <cell r="C62">
            <v>70651.64</v>
          </cell>
          <cell r="D62">
            <v>74750.84</v>
          </cell>
          <cell r="E62">
            <v>71228.789999999994</v>
          </cell>
          <cell r="F62">
            <v>65657.490000000005</v>
          </cell>
          <cell r="G62">
            <v>77352.37</v>
          </cell>
          <cell r="H62">
            <v>72501.070000000007</v>
          </cell>
          <cell r="I62">
            <v>68593.399999999994</v>
          </cell>
          <cell r="J62">
            <v>72436.55</v>
          </cell>
          <cell r="K62">
            <v>68655.89</v>
          </cell>
          <cell r="L62">
            <v>68320.87</v>
          </cell>
          <cell r="M62">
            <v>78417.509999999995</v>
          </cell>
          <cell r="N62">
            <v>100833.37</v>
          </cell>
          <cell r="P62">
            <v>889399.79</v>
          </cell>
        </row>
        <row r="63">
          <cell r="A63">
            <v>510201010001</v>
          </cell>
          <cell r="B63" t="str">
            <v xml:space="preserve">Sueldos                                                               </v>
          </cell>
          <cell r="C63">
            <v>35381.660000000003</v>
          </cell>
          <cell r="D63">
            <v>34621.660000000003</v>
          </cell>
          <cell r="E63">
            <v>34321.67</v>
          </cell>
          <cell r="F63">
            <v>35850</v>
          </cell>
          <cell r="G63">
            <v>35326.33</v>
          </cell>
          <cell r="H63">
            <v>35450</v>
          </cell>
          <cell r="I63">
            <v>35380</v>
          </cell>
          <cell r="J63">
            <v>35016.67</v>
          </cell>
          <cell r="K63">
            <v>34470</v>
          </cell>
          <cell r="L63">
            <v>35046.67</v>
          </cell>
          <cell r="M63">
            <v>34860</v>
          </cell>
          <cell r="N63">
            <v>34166.660000000003</v>
          </cell>
          <cell r="P63">
            <v>419891.31999999995</v>
          </cell>
        </row>
        <row r="64">
          <cell r="A64">
            <v>510201010002</v>
          </cell>
          <cell r="B64" t="str">
            <v xml:space="preserve">Sobretiempo                                                           </v>
          </cell>
          <cell r="C64">
            <v>14584.66</v>
          </cell>
          <cell r="D64">
            <v>18812.62</v>
          </cell>
          <cell r="E64">
            <v>16247.49</v>
          </cell>
          <cell r="F64">
            <v>11307.82</v>
          </cell>
          <cell r="G64">
            <v>18528.009999999998</v>
          </cell>
          <cell r="H64">
            <v>15799.35</v>
          </cell>
          <cell r="I64">
            <v>12255.63</v>
          </cell>
          <cell r="J64">
            <v>15701.67</v>
          </cell>
          <cell r="K64">
            <v>13352.11</v>
          </cell>
          <cell r="L64">
            <v>12485.52</v>
          </cell>
          <cell r="M64">
            <v>20509.38</v>
          </cell>
          <cell r="N64">
            <v>11476.44</v>
          </cell>
          <cell r="P64">
            <v>181060.69999999998</v>
          </cell>
        </row>
        <row r="65">
          <cell r="A65">
            <v>510201010003</v>
          </cell>
          <cell r="B65" t="str">
            <v xml:space="preserve">Aporte Patronal 12.15%                                                </v>
          </cell>
          <cell r="C65">
            <v>6115.61</v>
          </cell>
          <cell r="D65">
            <v>6497.14</v>
          </cell>
          <cell r="E65">
            <v>6127.86</v>
          </cell>
          <cell r="F65">
            <v>5729.65</v>
          </cell>
          <cell r="G65">
            <v>6543.28</v>
          </cell>
          <cell r="H65">
            <v>6226.87</v>
          </cell>
          <cell r="I65">
            <v>5787.69</v>
          </cell>
          <cell r="J65">
            <v>6151.97</v>
          </cell>
          <cell r="K65">
            <v>5777.25</v>
          </cell>
          <cell r="L65">
            <v>5752.66</v>
          </cell>
          <cell r="M65">
            <v>6727.48</v>
          </cell>
          <cell r="N65">
            <v>5545.81</v>
          </cell>
          <cell r="P65">
            <v>72983.27</v>
          </cell>
        </row>
        <row r="66">
          <cell r="A66">
            <v>510201010005</v>
          </cell>
          <cell r="B66" t="str">
            <v xml:space="preserve">Fondo de Reserva                                                      </v>
          </cell>
          <cell r="C66">
            <v>3560.76</v>
          </cell>
          <cell r="D66">
            <v>3812.89</v>
          </cell>
          <cell r="E66">
            <v>3648.65</v>
          </cell>
          <cell r="F66">
            <v>3519.94</v>
          </cell>
          <cell r="G66">
            <v>4208.74</v>
          </cell>
          <cell r="H66">
            <v>3990.05</v>
          </cell>
          <cell r="I66">
            <v>3774.4</v>
          </cell>
          <cell r="J66">
            <v>3955.93</v>
          </cell>
          <cell r="K66">
            <v>3749.35</v>
          </cell>
          <cell r="L66">
            <v>3701.67</v>
          </cell>
          <cell r="M66">
            <v>4355.5600000000004</v>
          </cell>
          <cell r="N66">
            <v>3594.41</v>
          </cell>
          <cell r="P66">
            <v>45872.349999999991</v>
          </cell>
        </row>
        <row r="67">
          <cell r="A67">
            <v>510201010006</v>
          </cell>
          <cell r="B67" t="str">
            <v xml:space="preserve">Decimo Tercer Sueldo                                                  </v>
          </cell>
          <cell r="C67">
            <v>4163.93</v>
          </cell>
          <cell r="D67">
            <v>4436.4399999999996</v>
          </cell>
          <cell r="E67">
            <v>4230.6000000000004</v>
          </cell>
          <cell r="F67">
            <v>3929.87</v>
          </cell>
          <cell r="G67">
            <v>4487.8900000000003</v>
          </cell>
          <cell r="H67">
            <v>4270.83</v>
          </cell>
          <cell r="I67">
            <v>3969.68</v>
          </cell>
          <cell r="J67">
            <v>4219.46</v>
          </cell>
          <cell r="K67">
            <v>3962.43</v>
          </cell>
          <cell r="L67">
            <v>3945.59</v>
          </cell>
          <cell r="M67">
            <v>4614.1099999999997</v>
          </cell>
          <cell r="N67">
            <v>3803.6</v>
          </cell>
          <cell r="P67">
            <v>50034.43</v>
          </cell>
        </row>
        <row r="68">
          <cell r="A68">
            <v>510201010007</v>
          </cell>
          <cell r="B68" t="str">
            <v xml:space="preserve">Decimo Cuarto Sueldo                                                  </v>
          </cell>
          <cell r="C68">
            <v>2783.06</v>
          </cell>
          <cell r="D68">
            <v>2690.85</v>
          </cell>
          <cell r="E68">
            <v>2635.29</v>
          </cell>
          <cell r="F68">
            <v>2733.06</v>
          </cell>
          <cell r="G68">
            <v>2705.29</v>
          </cell>
          <cell r="H68">
            <v>2699.73</v>
          </cell>
          <cell r="I68">
            <v>2686.4</v>
          </cell>
          <cell r="J68">
            <v>2666.4</v>
          </cell>
          <cell r="K68">
            <v>2643.07</v>
          </cell>
          <cell r="L68">
            <v>2663.07</v>
          </cell>
          <cell r="M68">
            <v>2633.07</v>
          </cell>
          <cell r="N68">
            <v>2564.19</v>
          </cell>
          <cell r="P68">
            <v>32103.48</v>
          </cell>
        </row>
        <row r="69">
          <cell r="A69">
            <v>510201010008</v>
          </cell>
          <cell r="B69" t="str">
            <v xml:space="preserve">Vacaciones                                                            </v>
          </cell>
          <cell r="C69">
            <v>1474.81</v>
          </cell>
          <cell r="D69">
            <v>1292.0899999999999</v>
          </cell>
          <cell r="E69">
            <v>1430.08</v>
          </cell>
          <cell r="F69">
            <v>0</v>
          </cell>
          <cell r="G69">
            <v>2965.68</v>
          </cell>
          <cell r="H69">
            <v>1477.09</v>
          </cell>
          <cell r="I69">
            <v>1474.17</v>
          </cell>
          <cell r="J69">
            <v>1459.02</v>
          </cell>
          <cell r="K69">
            <v>1436.25</v>
          </cell>
          <cell r="L69">
            <v>1460.26</v>
          </cell>
          <cell r="M69">
            <v>1452.48</v>
          </cell>
          <cell r="N69">
            <v>34166.660000000003</v>
          </cell>
          <cell r="P69">
            <v>50088.590000000004</v>
          </cell>
        </row>
        <row r="70">
          <cell r="A70">
            <v>510201010009</v>
          </cell>
          <cell r="B70" t="str">
            <v xml:space="preserve">Desahucio Planta Directos                                             </v>
          </cell>
          <cell r="C70">
            <v>609.71</v>
          </cell>
          <cell r="D70">
            <v>609.71</v>
          </cell>
          <cell r="E70">
            <v>609.71</v>
          </cell>
          <cell r="F70">
            <v>609.71</v>
          </cell>
          <cell r="G70">
            <v>609.71</v>
          </cell>
          <cell r="H70">
            <v>609.71</v>
          </cell>
          <cell r="I70">
            <v>833.53</v>
          </cell>
          <cell r="J70">
            <v>833.53</v>
          </cell>
          <cell r="K70">
            <v>833.53</v>
          </cell>
          <cell r="L70">
            <v>833.53</v>
          </cell>
          <cell r="M70">
            <v>833.53</v>
          </cell>
          <cell r="N70">
            <v>1484.04</v>
          </cell>
          <cell r="P70">
            <v>9309.9499999999989</v>
          </cell>
        </row>
        <row r="71">
          <cell r="A71">
            <v>510201010011</v>
          </cell>
          <cell r="B71" t="str">
            <v xml:space="preserve">Jubilación Patronal Planta Directos                                   </v>
          </cell>
          <cell r="C71">
            <v>1977.44</v>
          </cell>
          <cell r="D71">
            <v>1977.44</v>
          </cell>
          <cell r="E71">
            <v>1977.44</v>
          </cell>
          <cell r="F71">
            <v>1977.44</v>
          </cell>
          <cell r="G71">
            <v>1977.44</v>
          </cell>
          <cell r="H71">
            <v>1977.44</v>
          </cell>
          <cell r="I71">
            <v>2431.9</v>
          </cell>
          <cell r="J71">
            <v>2431.9</v>
          </cell>
          <cell r="K71">
            <v>2431.9</v>
          </cell>
          <cell r="L71">
            <v>2431.9</v>
          </cell>
          <cell r="M71">
            <v>2431.9</v>
          </cell>
          <cell r="N71">
            <v>4031.56</v>
          </cell>
          <cell r="P71">
            <v>28055.700000000008</v>
          </cell>
        </row>
        <row r="72">
          <cell r="A72">
            <v>51020103</v>
          </cell>
          <cell r="B72" t="str">
            <v xml:space="preserve">DEPRECIACIONES DE PLANTAS Y EQUIPOS                                   </v>
          </cell>
          <cell r="C72">
            <v>43000.62</v>
          </cell>
          <cell r="D72">
            <v>43000.62</v>
          </cell>
          <cell r="E72">
            <v>43000.62</v>
          </cell>
          <cell r="F72">
            <v>43000.62</v>
          </cell>
          <cell r="G72">
            <v>43000.62</v>
          </cell>
          <cell r="H72">
            <v>43000.62</v>
          </cell>
          <cell r="I72">
            <v>43394.28</v>
          </cell>
          <cell r="J72">
            <v>43394.28</v>
          </cell>
          <cell r="K72">
            <v>43394.28</v>
          </cell>
          <cell r="L72">
            <v>43394.28</v>
          </cell>
          <cell r="M72">
            <v>43394.28</v>
          </cell>
          <cell r="N72">
            <v>42649.36</v>
          </cell>
          <cell r="P72">
            <v>517624.4800000001</v>
          </cell>
        </row>
        <row r="73">
          <cell r="A73">
            <v>510201030001</v>
          </cell>
          <cell r="B73" t="str">
            <v xml:space="preserve">Costo de Depreciación Maquinarias y Equipos                           </v>
          </cell>
          <cell r="C73">
            <v>42904.91</v>
          </cell>
          <cell r="D73">
            <v>42904.91</v>
          </cell>
          <cell r="E73">
            <v>42904.91</v>
          </cell>
          <cell r="F73">
            <v>42904.91</v>
          </cell>
          <cell r="G73">
            <v>42904.91</v>
          </cell>
          <cell r="H73">
            <v>42904.91</v>
          </cell>
          <cell r="I73">
            <v>43298.57</v>
          </cell>
          <cell r="J73">
            <v>43298.57</v>
          </cell>
          <cell r="K73">
            <v>43298.57</v>
          </cell>
          <cell r="L73">
            <v>43298.57</v>
          </cell>
          <cell r="M73">
            <v>43298.57</v>
          </cell>
          <cell r="N73">
            <v>42553.65</v>
          </cell>
          <cell r="P73">
            <v>516475.96000000008</v>
          </cell>
        </row>
        <row r="74">
          <cell r="A74">
            <v>510201030002</v>
          </cell>
          <cell r="B74" t="str">
            <v xml:space="preserve">Costo de Depreciación Muebles y Enseres                               </v>
          </cell>
          <cell r="C74">
            <v>95.71</v>
          </cell>
          <cell r="D74">
            <v>95.71</v>
          </cell>
          <cell r="E74">
            <v>95.71</v>
          </cell>
          <cell r="F74">
            <v>95.71</v>
          </cell>
          <cell r="G74">
            <v>95.71</v>
          </cell>
          <cell r="H74">
            <v>95.71</v>
          </cell>
          <cell r="I74">
            <v>95.71</v>
          </cell>
          <cell r="J74">
            <v>95.71</v>
          </cell>
          <cell r="K74">
            <v>95.71</v>
          </cell>
          <cell r="L74">
            <v>95.71</v>
          </cell>
          <cell r="M74">
            <v>95.71</v>
          </cell>
          <cell r="N74">
            <v>95.71</v>
          </cell>
          <cell r="P74">
            <v>1148.5200000000002</v>
          </cell>
        </row>
        <row r="75">
          <cell r="A75">
            <v>51020105</v>
          </cell>
          <cell r="B75" t="str">
            <v xml:space="preserve">OTROS COSTOS DIRECTOS DE FABRICACION                                  </v>
          </cell>
          <cell r="C75">
            <v>55413.37</v>
          </cell>
          <cell r="D75">
            <v>125494.45</v>
          </cell>
          <cell r="E75">
            <v>49124.1</v>
          </cell>
          <cell r="F75">
            <v>25502.13</v>
          </cell>
          <cell r="G75">
            <v>49956.43</v>
          </cell>
          <cell r="H75">
            <v>61677.15</v>
          </cell>
          <cell r="I75">
            <v>76931.53</v>
          </cell>
          <cell r="J75">
            <v>62070.44</v>
          </cell>
          <cell r="K75">
            <v>70975.850000000006</v>
          </cell>
          <cell r="L75">
            <v>56306.35</v>
          </cell>
          <cell r="M75">
            <v>65218.32</v>
          </cell>
          <cell r="N75">
            <v>195741.68</v>
          </cell>
          <cell r="P75">
            <v>894411.8</v>
          </cell>
        </row>
        <row r="76">
          <cell r="A76">
            <v>510201050001</v>
          </cell>
          <cell r="B76" t="str">
            <v xml:space="preserve">Mantenimiento de Maq y Equipos Directos                               </v>
          </cell>
          <cell r="C76">
            <v>6567.31</v>
          </cell>
          <cell r="D76">
            <v>5629.85</v>
          </cell>
          <cell r="E76">
            <v>2235.58</v>
          </cell>
          <cell r="F76">
            <v>1025</v>
          </cell>
          <cell r="G76">
            <v>6390.76</v>
          </cell>
          <cell r="H76">
            <v>7591.17</v>
          </cell>
          <cell r="I76">
            <v>11863.2</v>
          </cell>
          <cell r="J76">
            <v>8047.4</v>
          </cell>
          <cell r="K76">
            <v>5514.62</v>
          </cell>
          <cell r="L76">
            <v>9443.2099999999991</v>
          </cell>
          <cell r="M76">
            <v>3290.6</v>
          </cell>
          <cell r="N76">
            <v>14594.52</v>
          </cell>
          <cell r="P76">
            <v>82193.22</v>
          </cell>
        </row>
        <row r="77">
          <cell r="A77">
            <v>510201050002</v>
          </cell>
          <cell r="B77" t="str">
            <v xml:space="preserve">Suministros, Materiales y Repuestos Directos                          </v>
          </cell>
          <cell r="C77">
            <v>15373.57</v>
          </cell>
          <cell r="D77">
            <v>82206.75</v>
          </cell>
          <cell r="E77">
            <v>19186.689999999999</v>
          </cell>
          <cell r="F77">
            <v>8559.9500000000007</v>
          </cell>
          <cell r="G77">
            <v>16604.95</v>
          </cell>
          <cell r="H77">
            <v>21146.17</v>
          </cell>
          <cell r="I77">
            <v>40619.9</v>
          </cell>
          <cell r="J77">
            <v>27776.240000000002</v>
          </cell>
          <cell r="K77">
            <v>28347.41</v>
          </cell>
          <cell r="L77">
            <v>25758.03</v>
          </cell>
          <cell r="M77">
            <v>39538.46</v>
          </cell>
          <cell r="N77">
            <v>59562.76</v>
          </cell>
          <cell r="P77">
            <v>384680.88000000006</v>
          </cell>
        </row>
        <row r="78">
          <cell r="A78">
            <v>510201050003</v>
          </cell>
          <cell r="B78" t="str">
            <v xml:space="preserve">Troqueles                                                             </v>
          </cell>
          <cell r="C78">
            <v>2936.04</v>
          </cell>
          <cell r="D78">
            <v>3122.96</v>
          </cell>
          <cell r="E78">
            <v>2654.12</v>
          </cell>
          <cell r="F78">
            <v>4127.4799999999996</v>
          </cell>
          <cell r="G78">
            <v>5046.3599999999997</v>
          </cell>
          <cell r="H78">
            <v>4738</v>
          </cell>
          <cell r="I78">
            <v>476</v>
          </cell>
          <cell r="J78">
            <v>351.08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P78">
            <v>23452.04</v>
          </cell>
        </row>
        <row r="79">
          <cell r="A79">
            <v>510201050004</v>
          </cell>
          <cell r="B79" t="str">
            <v xml:space="preserve">Servicio de Manufactura Directos                                      </v>
          </cell>
          <cell r="C79">
            <v>30536.45</v>
          </cell>
          <cell r="D79">
            <v>34534.89</v>
          </cell>
          <cell r="E79">
            <v>25047.71</v>
          </cell>
          <cell r="F79">
            <v>11789.7</v>
          </cell>
          <cell r="G79">
            <v>21914.36</v>
          </cell>
          <cell r="H79">
            <v>28201.81</v>
          </cell>
          <cell r="I79">
            <v>23972.43</v>
          </cell>
          <cell r="J79">
            <v>25895.72</v>
          </cell>
          <cell r="K79">
            <v>37113.82</v>
          </cell>
          <cell r="L79">
            <v>21105.11</v>
          </cell>
          <cell r="M79">
            <v>22389.26</v>
          </cell>
          <cell r="N79">
            <v>121584.4</v>
          </cell>
          <cell r="P79">
            <v>404085.66000000003</v>
          </cell>
        </row>
        <row r="80">
          <cell r="A80">
            <v>51020109</v>
          </cell>
          <cell r="B80" t="str">
            <v xml:space="preserve">TRANSFERENCIA DE GASTOS DIRECTOS A COSTO PRODUCCION                   </v>
          </cell>
          <cell r="C80">
            <v>-169049.56</v>
          </cell>
          <cell r="D80">
            <v>-243245.91</v>
          </cell>
          <cell r="E80">
            <v>-163353.54</v>
          </cell>
          <cell r="F80">
            <v>-134412.95000000001</v>
          </cell>
          <cell r="G80">
            <v>-170056.68</v>
          </cell>
          <cell r="H80">
            <v>-177178.84</v>
          </cell>
          <cell r="I80">
            <v>-188935.28</v>
          </cell>
          <cell r="J80">
            <v>-177901.27</v>
          </cell>
          <cell r="K80">
            <v>0</v>
          </cell>
          <cell r="L80">
            <v>0</v>
          </cell>
          <cell r="M80">
            <v>0</v>
          </cell>
          <cell r="N80">
            <v>-877302.04</v>
          </cell>
          <cell r="P80">
            <v>-2301436.0700000003</v>
          </cell>
        </row>
        <row r="81">
          <cell r="A81">
            <v>510201090001</v>
          </cell>
          <cell r="B81" t="str">
            <v xml:space="preserve">Transferencia Costos Directos a Costo Producción                      </v>
          </cell>
          <cell r="C81">
            <v>-169049.56</v>
          </cell>
          <cell r="D81">
            <v>-243245.91</v>
          </cell>
          <cell r="E81">
            <v>-163353.54</v>
          </cell>
          <cell r="F81">
            <v>-134412.95000000001</v>
          </cell>
          <cell r="G81">
            <v>-170056.68</v>
          </cell>
          <cell r="H81">
            <v>-177178.84</v>
          </cell>
          <cell r="I81">
            <v>-188935.28</v>
          </cell>
          <cell r="J81">
            <v>-177901.27</v>
          </cell>
          <cell r="K81">
            <v>0</v>
          </cell>
          <cell r="L81">
            <v>0</v>
          </cell>
          <cell r="M81">
            <v>0</v>
          </cell>
          <cell r="N81">
            <v>-877302.04</v>
          </cell>
          <cell r="P81">
            <v>-2301436.0700000003</v>
          </cell>
        </row>
        <row r="82">
          <cell r="A82">
            <v>510202</v>
          </cell>
          <cell r="B82" t="str">
            <v xml:space="preserve">COSTOS INDIRECTOS DE FABRICACION                                      </v>
          </cell>
          <cell r="C82">
            <v>0</v>
          </cell>
          <cell r="D82">
            <v>0</v>
          </cell>
          <cell r="E82">
            <v>-235.3</v>
          </cell>
          <cell r="F82">
            <v>0</v>
          </cell>
          <cell r="G82">
            <v>235.3</v>
          </cell>
          <cell r="H82">
            <v>0</v>
          </cell>
          <cell r="I82">
            <v>0</v>
          </cell>
          <cell r="J82">
            <v>0</v>
          </cell>
          <cell r="K82">
            <v>324803.53999999998</v>
          </cell>
          <cell r="L82">
            <v>162941.39000000001</v>
          </cell>
          <cell r="M82">
            <v>235728.47</v>
          </cell>
          <cell r="N82">
            <v>-723473.4</v>
          </cell>
          <cell r="P82">
            <v>0</v>
          </cell>
        </row>
        <row r="83">
          <cell r="A83">
            <v>51020201</v>
          </cell>
          <cell r="B83" t="str">
            <v xml:space="preserve">MANO DE OBRA                                                          </v>
          </cell>
          <cell r="C83">
            <v>36225.5</v>
          </cell>
          <cell r="D83">
            <v>36622.199999999997</v>
          </cell>
          <cell r="E83">
            <v>34767.89</v>
          </cell>
          <cell r="F83">
            <v>32187.99</v>
          </cell>
          <cell r="G83">
            <v>35911.61</v>
          </cell>
          <cell r="H83">
            <v>35127.43</v>
          </cell>
          <cell r="I83">
            <v>32888.31</v>
          </cell>
          <cell r="J83">
            <v>34643.440000000002</v>
          </cell>
          <cell r="K83">
            <v>56771.519999999997</v>
          </cell>
          <cell r="L83">
            <v>37128.559999999998</v>
          </cell>
          <cell r="M83">
            <v>39483.629999999997</v>
          </cell>
          <cell r="N83">
            <v>61589.02</v>
          </cell>
          <cell r="P83">
            <v>473347.10000000003</v>
          </cell>
        </row>
        <row r="84">
          <cell r="A84">
            <v>510202010001</v>
          </cell>
          <cell r="B84" t="str">
            <v xml:space="preserve">Sueldos                                                               </v>
          </cell>
          <cell r="C84">
            <v>19510.03</v>
          </cell>
          <cell r="D84">
            <v>19645.93</v>
          </cell>
          <cell r="E84">
            <v>19347.22</v>
          </cell>
          <cell r="F84">
            <v>19662.22</v>
          </cell>
          <cell r="G84">
            <v>19662.22</v>
          </cell>
          <cell r="H84">
            <v>19662.22</v>
          </cell>
          <cell r="I84">
            <v>19662.22</v>
          </cell>
          <cell r="J84">
            <v>19212.580000000002</v>
          </cell>
          <cell r="K84">
            <v>21088.11</v>
          </cell>
          <cell r="L84">
            <v>21248.11</v>
          </cell>
          <cell r="M84">
            <v>21144.94</v>
          </cell>
          <cell r="N84">
            <v>21873.11</v>
          </cell>
          <cell r="P84">
            <v>241718.90999999997</v>
          </cell>
        </row>
        <row r="85">
          <cell r="A85">
            <v>510202010002</v>
          </cell>
          <cell r="B85" t="str">
            <v xml:space="preserve">Sobretiempo                                                           </v>
          </cell>
          <cell r="C85">
            <v>6066.17</v>
          </cell>
          <cell r="D85">
            <v>6210.79</v>
          </cell>
          <cell r="E85">
            <v>5081.0600000000004</v>
          </cell>
          <cell r="F85">
            <v>3394.52</v>
          </cell>
          <cell r="G85">
            <v>5303.81</v>
          </cell>
          <cell r="H85">
            <v>5055.67</v>
          </cell>
          <cell r="I85">
            <v>3072.89</v>
          </cell>
          <cell r="J85">
            <v>4647.9399999999996</v>
          </cell>
          <cell r="K85">
            <v>4995.1400000000003</v>
          </cell>
          <cell r="L85">
            <v>4886.93</v>
          </cell>
          <cell r="M85">
            <v>6540.55</v>
          </cell>
          <cell r="N85">
            <v>5382.8</v>
          </cell>
          <cell r="P85">
            <v>60638.270000000011</v>
          </cell>
        </row>
        <row r="86">
          <cell r="A86">
            <v>510202010003</v>
          </cell>
          <cell r="B86" t="str">
            <v xml:space="preserve">Aporte Patronal 12.15%                                                </v>
          </cell>
          <cell r="C86">
            <v>3062.94</v>
          </cell>
          <cell r="D86">
            <v>3135.67</v>
          </cell>
          <cell r="E86">
            <v>2968.02</v>
          </cell>
          <cell r="F86">
            <v>2801.44</v>
          </cell>
          <cell r="G86">
            <v>3033.38</v>
          </cell>
          <cell r="H86">
            <v>3003.23</v>
          </cell>
          <cell r="I86">
            <v>2762.32</v>
          </cell>
          <cell r="J86">
            <v>2998.01</v>
          </cell>
          <cell r="K86">
            <v>5018.87</v>
          </cell>
          <cell r="L86">
            <v>3197.9</v>
          </cell>
          <cell r="M86">
            <v>3363.06</v>
          </cell>
          <cell r="N86">
            <v>3311.59</v>
          </cell>
          <cell r="P86">
            <v>38656.430000000008</v>
          </cell>
        </row>
        <row r="87">
          <cell r="A87">
            <v>510202010005</v>
          </cell>
          <cell r="B87" t="str">
            <v xml:space="preserve">Fondo de Reserva                                                      </v>
          </cell>
          <cell r="C87">
            <v>1574.37</v>
          </cell>
          <cell r="D87">
            <v>1560.44</v>
          </cell>
          <cell r="E87">
            <v>1456.5</v>
          </cell>
          <cell r="F87">
            <v>1335.16</v>
          </cell>
          <cell r="G87">
            <v>1498.35</v>
          </cell>
          <cell r="H87">
            <v>1487.3</v>
          </cell>
          <cell r="I87">
            <v>1474.9</v>
          </cell>
          <cell r="J87">
            <v>1823.45</v>
          </cell>
          <cell r="K87">
            <v>3110.89</v>
          </cell>
          <cell r="L87">
            <v>1946.99</v>
          </cell>
          <cell r="M87">
            <v>1964.02</v>
          </cell>
          <cell r="N87">
            <v>1940.82</v>
          </cell>
          <cell r="P87">
            <v>21173.19</v>
          </cell>
        </row>
        <row r="88">
          <cell r="A88">
            <v>510202010006</v>
          </cell>
          <cell r="B88" t="str">
            <v xml:space="preserve">Decimo Tercer Sueldo                                                  </v>
          </cell>
          <cell r="C88">
            <v>2091.87</v>
          </cell>
          <cell r="D88">
            <v>2154.73</v>
          </cell>
          <cell r="E88">
            <v>2035.69</v>
          </cell>
          <cell r="F88">
            <v>1921.39</v>
          </cell>
          <cell r="G88">
            <v>2080.4899999999998</v>
          </cell>
          <cell r="H88">
            <v>2059.8200000000002</v>
          </cell>
          <cell r="I88">
            <v>1894.59</v>
          </cell>
          <cell r="J88">
            <v>1995.47</v>
          </cell>
          <cell r="K88">
            <v>3446.4</v>
          </cell>
          <cell r="L88">
            <v>2193.37</v>
          </cell>
          <cell r="M88">
            <v>2306.58</v>
          </cell>
          <cell r="N88">
            <v>2271.35</v>
          </cell>
          <cell r="P88">
            <v>26451.75</v>
          </cell>
        </row>
        <row r="89">
          <cell r="A89">
            <v>510202010007</v>
          </cell>
          <cell r="B89" t="str">
            <v xml:space="preserve">Decimo Cuarto Sueldo                                                  </v>
          </cell>
          <cell r="C89">
            <v>1067.17</v>
          </cell>
          <cell r="D89">
            <v>1017.63</v>
          </cell>
          <cell r="E89">
            <v>1033.23</v>
          </cell>
          <cell r="F89">
            <v>1033.23</v>
          </cell>
          <cell r="G89">
            <v>999.9</v>
          </cell>
          <cell r="H89">
            <v>999.9</v>
          </cell>
          <cell r="I89">
            <v>999.9</v>
          </cell>
          <cell r="J89">
            <v>963.23</v>
          </cell>
          <cell r="K89">
            <v>1033.23</v>
          </cell>
          <cell r="L89">
            <v>1066.56</v>
          </cell>
          <cell r="M89">
            <v>1067.67</v>
          </cell>
          <cell r="N89">
            <v>1091</v>
          </cell>
          <cell r="P89">
            <v>12372.649999999998</v>
          </cell>
        </row>
        <row r="90">
          <cell r="A90">
            <v>510202010008</v>
          </cell>
          <cell r="B90" t="str">
            <v xml:space="preserve">Vacaciones                                                            </v>
          </cell>
          <cell r="C90">
            <v>812.92</v>
          </cell>
          <cell r="D90">
            <v>856.98</v>
          </cell>
          <cell r="E90">
            <v>806.14</v>
          </cell>
          <cell r="F90">
            <v>0</v>
          </cell>
          <cell r="G90">
            <v>1293.43</v>
          </cell>
          <cell r="H90">
            <v>819.26</v>
          </cell>
          <cell r="I90">
            <v>819.26</v>
          </cell>
          <cell r="J90">
            <v>800.53</v>
          </cell>
          <cell r="K90">
            <v>876.65</v>
          </cell>
          <cell r="L90">
            <v>386.47</v>
          </cell>
          <cell r="M90">
            <v>881.05</v>
          </cell>
          <cell r="N90">
            <v>21873.11</v>
          </cell>
          <cell r="P90">
            <v>30225.800000000003</v>
          </cell>
        </row>
        <row r="91">
          <cell r="A91">
            <v>510202010009</v>
          </cell>
          <cell r="B91" t="str">
            <v xml:space="preserve">Desahucio Planta Indirectos                                           </v>
          </cell>
          <cell r="C91">
            <v>465.18</v>
          </cell>
          <cell r="D91">
            <v>465.18</v>
          </cell>
          <cell r="E91">
            <v>465.18</v>
          </cell>
          <cell r="F91">
            <v>465.18</v>
          </cell>
          <cell r="G91">
            <v>465.18</v>
          </cell>
          <cell r="H91">
            <v>465.18</v>
          </cell>
          <cell r="I91">
            <v>593.04</v>
          </cell>
          <cell r="J91">
            <v>593.04</v>
          </cell>
          <cell r="K91">
            <v>593.04</v>
          </cell>
          <cell r="L91">
            <v>593.04</v>
          </cell>
          <cell r="M91">
            <v>593.04</v>
          </cell>
          <cell r="N91">
            <v>1070.47</v>
          </cell>
          <cell r="P91">
            <v>6826.75</v>
          </cell>
        </row>
        <row r="92">
          <cell r="A92">
            <v>510202010011</v>
          </cell>
          <cell r="B92" t="str">
            <v xml:space="preserve">Jubilación Patronal Planta Indirectos                                 </v>
          </cell>
          <cell r="C92">
            <v>1574.85</v>
          </cell>
          <cell r="D92">
            <v>1574.85</v>
          </cell>
          <cell r="E92">
            <v>1574.85</v>
          </cell>
          <cell r="F92">
            <v>1574.85</v>
          </cell>
          <cell r="G92">
            <v>1574.85</v>
          </cell>
          <cell r="H92">
            <v>1574.85</v>
          </cell>
          <cell r="I92">
            <v>1609.19</v>
          </cell>
          <cell r="J92">
            <v>1609.19</v>
          </cell>
          <cell r="K92">
            <v>1609.19</v>
          </cell>
          <cell r="L92">
            <v>1609.19</v>
          </cell>
          <cell r="M92">
            <v>1609.19</v>
          </cell>
          <cell r="N92">
            <v>2761.24</v>
          </cell>
          <cell r="P92">
            <v>20256.29</v>
          </cell>
        </row>
        <row r="93">
          <cell r="A93">
            <v>510202010012</v>
          </cell>
          <cell r="B93" t="str">
            <v xml:space="preserve">Bonificaciones Voluntarias Planta Indirectos                          </v>
          </cell>
          <cell r="C93">
            <v>0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15000</v>
          </cell>
          <cell r="L93">
            <v>0</v>
          </cell>
          <cell r="M93">
            <v>0</v>
          </cell>
          <cell r="N93">
            <v>0</v>
          </cell>
          <cell r="P93">
            <v>15000</v>
          </cell>
        </row>
        <row r="94">
          <cell r="A94">
            <v>510202010014</v>
          </cell>
          <cell r="B94" t="str">
            <v xml:space="preserve">Aporte Seguro Salud - Tiempo Parcial                                  </v>
          </cell>
          <cell r="C94">
            <v>0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13.53</v>
          </cell>
          <cell r="N94">
            <v>13.53</v>
          </cell>
          <cell r="P94">
            <v>27.06</v>
          </cell>
        </row>
        <row r="95">
          <cell r="A95">
            <v>51020202</v>
          </cell>
          <cell r="B95" t="str">
            <v xml:space="preserve">OTROS BENEFICIOS DEL PERSONAL                                         </v>
          </cell>
          <cell r="C95">
            <v>8257.75</v>
          </cell>
          <cell r="D95">
            <v>8458.09</v>
          </cell>
          <cell r="E95">
            <v>6990.51</v>
          </cell>
          <cell r="F95">
            <v>3823.17</v>
          </cell>
          <cell r="G95">
            <v>4453.8999999999996</v>
          </cell>
          <cell r="H95">
            <v>8562.4599999999991</v>
          </cell>
          <cell r="I95">
            <v>9077.23</v>
          </cell>
          <cell r="J95">
            <v>6922.74</v>
          </cell>
          <cell r="K95">
            <v>8226.43</v>
          </cell>
          <cell r="L95">
            <v>5746.28</v>
          </cell>
          <cell r="M95">
            <v>7303.27</v>
          </cell>
          <cell r="N95">
            <v>13208.92</v>
          </cell>
          <cell r="P95">
            <v>91030.75</v>
          </cell>
        </row>
        <row r="96">
          <cell r="A96">
            <v>510202020001</v>
          </cell>
          <cell r="B96" t="str">
            <v xml:space="preserve">Agasajo al Personal Planta                                            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3316.89</v>
          </cell>
          <cell r="P96">
            <v>3316.89</v>
          </cell>
        </row>
        <row r="97">
          <cell r="A97">
            <v>510202020003</v>
          </cell>
          <cell r="B97" t="str">
            <v xml:space="preserve">Alimentación Planta                                                   </v>
          </cell>
          <cell r="C97">
            <v>7837.15</v>
          </cell>
          <cell r="D97">
            <v>8074.5</v>
          </cell>
          <cell r="E97">
            <v>5797.84</v>
          </cell>
          <cell r="F97">
            <v>3107.21</v>
          </cell>
          <cell r="G97">
            <v>4255.75</v>
          </cell>
          <cell r="H97">
            <v>7683.79</v>
          </cell>
          <cell r="I97">
            <v>6582.47</v>
          </cell>
          <cell r="J97">
            <v>6890.94</v>
          </cell>
          <cell r="K97">
            <v>7593.05</v>
          </cell>
          <cell r="L97">
            <v>5731.2</v>
          </cell>
          <cell r="M97">
            <v>7207.2</v>
          </cell>
          <cell r="N97">
            <v>7597.48</v>
          </cell>
          <cell r="P97">
            <v>78358.58</v>
          </cell>
        </row>
        <row r="98">
          <cell r="A98">
            <v>510202020005</v>
          </cell>
          <cell r="B98" t="str">
            <v xml:space="preserve">Gastos Médicos Planta                                                 </v>
          </cell>
          <cell r="C98">
            <v>0</v>
          </cell>
          <cell r="D98">
            <v>224.72</v>
          </cell>
          <cell r="E98">
            <v>0</v>
          </cell>
          <cell r="F98">
            <v>188.25</v>
          </cell>
          <cell r="G98">
            <v>185</v>
          </cell>
          <cell r="H98">
            <v>634.6</v>
          </cell>
          <cell r="I98">
            <v>2.2000000000000002</v>
          </cell>
          <cell r="J98">
            <v>26.52</v>
          </cell>
          <cell r="K98">
            <v>208.38</v>
          </cell>
          <cell r="L98">
            <v>0</v>
          </cell>
          <cell r="M98">
            <v>0</v>
          </cell>
          <cell r="N98">
            <v>614.6</v>
          </cell>
          <cell r="P98">
            <v>2084.27</v>
          </cell>
        </row>
        <row r="99">
          <cell r="A99">
            <v>510202020007</v>
          </cell>
          <cell r="B99" t="str">
            <v xml:space="preserve">Capacitación y Seminarios Planta                                      </v>
          </cell>
          <cell r="C99">
            <v>0</v>
          </cell>
          <cell r="D99">
            <v>100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2220</v>
          </cell>
          <cell r="J99">
            <v>0</v>
          </cell>
          <cell r="K99">
            <v>425</v>
          </cell>
          <cell r="L99">
            <v>0</v>
          </cell>
          <cell r="M99">
            <v>70</v>
          </cell>
          <cell r="N99">
            <v>850</v>
          </cell>
          <cell r="P99">
            <v>3665</v>
          </cell>
        </row>
        <row r="100">
          <cell r="A100">
            <v>510202020008</v>
          </cell>
          <cell r="B100" t="str">
            <v xml:space="preserve">Otros gastos del personal Planta                                      </v>
          </cell>
          <cell r="C100">
            <v>135</v>
          </cell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P100">
            <v>135</v>
          </cell>
        </row>
        <row r="101">
          <cell r="A101">
            <v>510202020009</v>
          </cell>
          <cell r="B101" t="str">
            <v xml:space="preserve">Utiles de limpieza, cafeteria y varios planta                         </v>
          </cell>
          <cell r="C101">
            <v>285.60000000000002</v>
          </cell>
          <cell r="D101">
            <v>58.87</v>
          </cell>
          <cell r="E101">
            <v>1192.67</v>
          </cell>
          <cell r="F101">
            <v>527.71</v>
          </cell>
          <cell r="G101">
            <v>13.15</v>
          </cell>
          <cell r="H101">
            <v>244.07</v>
          </cell>
          <cell r="I101">
            <v>272.56</v>
          </cell>
          <cell r="J101">
            <v>5.28</v>
          </cell>
          <cell r="K101">
            <v>0</v>
          </cell>
          <cell r="L101">
            <v>15.08</v>
          </cell>
          <cell r="M101">
            <v>26.07</v>
          </cell>
          <cell r="N101">
            <v>829.95</v>
          </cell>
          <cell r="P101">
            <v>3471.0100000000011</v>
          </cell>
        </row>
        <row r="102">
          <cell r="A102">
            <v>51020203</v>
          </cell>
          <cell r="B102" t="str">
            <v xml:space="preserve">DEPRECIACIONES DE PLANTAS Y EQUIPOS                                   </v>
          </cell>
          <cell r="C102">
            <v>2975.54</v>
          </cell>
          <cell r="D102">
            <v>2968.04</v>
          </cell>
          <cell r="E102">
            <v>2890.31</v>
          </cell>
          <cell r="F102">
            <v>2940.03</v>
          </cell>
          <cell r="G102">
            <v>2961.92</v>
          </cell>
          <cell r="H102">
            <v>3411</v>
          </cell>
          <cell r="I102">
            <v>3425.28</v>
          </cell>
          <cell r="J102">
            <v>3434.36</v>
          </cell>
          <cell r="K102">
            <v>3434.36</v>
          </cell>
          <cell r="L102">
            <v>3445.24</v>
          </cell>
          <cell r="M102">
            <v>3452.49</v>
          </cell>
          <cell r="N102">
            <v>6857.08</v>
          </cell>
          <cell r="P102">
            <v>42195.65</v>
          </cell>
        </row>
        <row r="103">
          <cell r="A103">
            <v>510202030002</v>
          </cell>
          <cell r="B103" t="str">
            <v xml:space="preserve">Costo de Depreciacion Maquinarias y Equipos                           </v>
          </cell>
          <cell r="C103">
            <v>1491.3</v>
          </cell>
          <cell r="D103">
            <v>1491.3</v>
          </cell>
          <cell r="E103">
            <v>1491.3</v>
          </cell>
          <cell r="F103">
            <v>1491.3</v>
          </cell>
          <cell r="G103">
            <v>1491.3</v>
          </cell>
          <cell r="H103">
            <v>1693.87</v>
          </cell>
          <cell r="I103">
            <v>1693.87</v>
          </cell>
          <cell r="J103">
            <v>1693.87</v>
          </cell>
          <cell r="K103">
            <v>1693.87</v>
          </cell>
          <cell r="L103">
            <v>1693.87</v>
          </cell>
          <cell r="M103">
            <v>1693.87</v>
          </cell>
          <cell r="N103">
            <v>5100.6400000000003</v>
          </cell>
          <cell r="P103">
            <v>22720.359999999993</v>
          </cell>
        </row>
        <row r="104">
          <cell r="A104">
            <v>510202030003</v>
          </cell>
          <cell r="B104" t="str">
            <v xml:space="preserve">Costo de Depreciación Muebles y Enseres                               </v>
          </cell>
          <cell r="C104">
            <v>212.36</v>
          </cell>
          <cell r="D104">
            <v>212.36</v>
          </cell>
          <cell r="E104">
            <v>212.36</v>
          </cell>
          <cell r="F104">
            <v>212.36</v>
          </cell>
          <cell r="G104">
            <v>212.36</v>
          </cell>
          <cell r="H104">
            <v>212.36</v>
          </cell>
          <cell r="I104">
            <v>212.36</v>
          </cell>
          <cell r="J104">
            <v>212.36</v>
          </cell>
          <cell r="K104">
            <v>212.36</v>
          </cell>
          <cell r="L104">
            <v>212.36</v>
          </cell>
          <cell r="M104">
            <v>212.36</v>
          </cell>
          <cell r="N104">
            <v>210.18</v>
          </cell>
          <cell r="P104">
            <v>2546.1400000000008</v>
          </cell>
        </row>
        <row r="105">
          <cell r="A105">
            <v>510202030004</v>
          </cell>
          <cell r="B105" t="str">
            <v xml:space="preserve">Costo de Depreciación Equipos de Computación                          </v>
          </cell>
          <cell r="C105">
            <v>121.47</v>
          </cell>
          <cell r="D105">
            <v>113.97</v>
          </cell>
          <cell r="E105">
            <v>110.82</v>
          </cell>
          <cell r="F105">
            <v>110.82</v>
          </cell>
          <cell r="G105">
            <v>107.85</v>
          </cell>
          <cell r="H105">
            <v>54.36</v>
          </cell>
          <cell r="I105">
            <v>68.64</v>
          </cell>
          <cell r="J105">
            <v>77.72</v>
          </cell>
          <cell r="K105">
            <v>77.72</v>
          </cell>
          <cell r="L105">
            <v>88.6</v>
          </cell>
          <cell r="M105">
            <v>95.85</v>
          </cell>
          <cell r="N105">
            <v>95.85</v>
          </cell>
          <cell r="P105">
            <v>1123.6699999999998</v>
          </cell>
        </row>
        <row r="106">
          <cell r="A106">
            <v>510202030005</v>
          </cell>
          <cell r="B106" t="str">
            <v xml:space="preserve">Costo de Depreciación de Vehículos                                    </v>
          </cell>
          <cell r="C106">
            <v>1122.8699999999999</v>
          </cell>
          <cell r="D106">
            <v>1122.8699999999999</v>
          </cell>
          <cell r="E106">
            <v>1122.8699999999999</v>
          </cell>
          <cell r="F106">
            <v>1122.8699999999999</v>
          </cell>
          <cell r="G106">
            <v>1122.8699999999999</v>
          </cell>
          <cell r="H106">
            <v>1422.87</v>
          </cell>
          <cell r="I106">
            <v>1422.87</v>
          </cell>
          <cell r="J106">
            <v>1422.87</v>
          </cell>
          <cell r="K106">
            <v>1422.87</v>
          </cell>
          <cell r="L106">
            <v>1422.87</v>
          </cell>
          <cell r="M106">
            <v>1422.87</v>
          </cell>
          <cell r="N106">
            <v>1422.87</v>
          </cell>
          <cell r="P106">
            <v>15574.439999999995</v>
          </cell>
        </row>
        <row r="107">
          <cell r="A107">
            <v>510202030008</v>
          </cell>
          <cell r="B107" t="str">
            <v xml:space="preserve">Costo de Depreciación Equipos de seguridad                            </v>
          </cell>
          <cell r="C107">
            <v>27.54</v>
          </cell>
          <cell r="D107">
            <v>27.54</v>
          </cell>
          <cell r="E107">
            <v>-47.04</v>
          </cell>
          <cell r="F107">
            <v>2.68</v>
          </cell>
          <cell r="G107">
            <v>27.54</v>
          </cell>
          <cell r="H107">
            <v>27.54</v>
          </cell>
          <cell r="I107">
            <v>27.54</v>
          </cell>
          <cell r="J107">
            <v>27.54</v>
          </cell>
          <cell r="K107">
            <v>27.54</v>
          </cell>
          <cell r="L107">
            <v>27.54</v>
          </cell>
          <cell r="M107">
            <v>27.54</v>
          </cell>
          <cell r="N107">
            <v>27.54</v>
          </cell>
          <cell r="P107">
            <v>231.03999999999996</v>
          </cell>
        </row>
        <row r="108">
          <cell r="A108">
            <v>51020205</v>
          </cell>
          <cell r="B108" t="str">
            <v xml:space="preserve">OTROS COSTOS INDIRECTOS DE FABRICACION                                </v>
          </cell>
          <cell r="C108">
            <v>72348.27</v>
          </cell>
          <cell r="D108">
            <v>106008.62</v>
          </cell>
          <cell r="E108">
            <v>31133.58</v>
          </cell>
          <cell r="F108">
            <v>54741.17</v>
          </cell>
          <cell r="G108">
            <v>57500.82</v>
          </cell>
          <cell r="H108">
            <v>174612.85</v>
          </cell>
          <cell r="I108">
            <v>229894.06</v>
          </cell>
          <cell r="J108">
            <v>50048.480000000003</v>
          </cell>
          <cell r="K108">
            <v>256371.23</v>
          </cell>
          <cell r="L108">
            <v>116621.31</v>
          </cell>
          <cell r="M108">
            <v>185489.08</v>
          </cell>
          <cell r="N108">
            <v>174157.52</v>
          </cell>
          <cell r="P108">
            <v>1508926.9900000002</v>
          </cell>
        </row>
        <row r="109">
          <cell r="A109">
            <v>510202050001</v>
          </cell>
          <cell r="B109" t="str">
            <v xml:space="preserve">Mantenimiento de Maq y Equipos Indirectos                             </v>
          </cell>
          <cell r="C109">
            <v>800.39</v>
          </cell>
          <cell r="D109">
            <v>1233</v>
          </cell>
          <cell r="E109">
            <v>835.5</v>
          </cell>
          <cell r="F109">
            <v>0</v>
          </cell>
          <cell r="G109">
            <v>200</v>
          </cell>
          <cell r="H109">
            <v>1065.79</v>
          </cell>
          <cell r="I109">
            <v>328.76</v>
          </cell>
          <cell r="J109">
            <v>480</v>
          </cell>
          <cell r="K109">
            <v>1290.95</v>
          </cell>
          <cell r="L109">
            <v>305</v>
          </cell>
          <cell r="M109">
            <v>15811.4</v>
          </cell>
          <cell r="N109">
            <v>21160.1</v>
          </cell>
          <cell r="P109">
            <v>43510.89</v>
          </cell>
        </row>
        <row r="110">
          <cell r="A110">
            <v>510202050002</v>
          </cell>
          <cell r="B110" t="str">
            <v xml:space="preserve">Mantenimiento de Edificio Planta                                      </v>
          </cell>
          <cell r="C110">
            <v>0</v>
          </cell>
          <cell r="D110">
            <v>153.06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P110">
            <v>153.06</v>
          </cell>
        </row>
        <row r="111">
          <cell r="A111">
            <v>510202050003</v>
          </cell>
          <cell r="B111" t="str">
            <v xml:space="preserve">Mantenimiento de Muebles y Equipo Planta                              </v>
          </cell>
          <cell r="C111">
            <v>0</v>
          </cell>
          <cell r="D111">
            <v>390</v>
          </cell>
          <cell r="E111">
            <v>0</v>
          </cell>
          <cell r="F111">
            <v>0</v>
          </cell>
          <cell r="G111">
            <v>0</v>
          </cell>
          <cell r="H111">
            <v>1064</v>
          </cell>
          <cell r="I111">
            <v>1095</v>
          </cell>
          <cell r="J111">
            <v>1407</v>
          </cell>
          <cell r="K111">
            <v>90</v>
          </cell>
          <cell r="L111">
            <v>1254</v>
          </cell>
          <cell r="M111">
            <v>1442</v>
          </cell>
          <cell r="N111">
            <v>1162</v>
          </cell>
          <cell r="P111">
            <v>7904</v>
          </cell>
        </row>
        <row r="112">
          <cell r="A112">
            <v>510202050004</v>
          </cell>
          <cell r="B112" t="str">
            <v xml:space="preserve">Combustibles Bodega                                                   </v>
          </cell>
          <cell r="C112">
            <v>1512.02</v>
          </cell>
          <cell r="D112">
            <v>1520.71</v>
          </cell>
          <cell r="E112">
            <v>1380.2</v>
          </cell>
          <cell r="F112">
            <v>1687.98</v>
          </cell>
          <cell r="G112">
            <v>1810.83</v>
          </cell>
          <cell r="H112">
            <v>1756.91</v>
          </cell>
          <cell r="I112">
            <v>1506.19</v>
          </cell>
          <cell r="J112">
            <v>1536.06</v>
          </cell>
          <cell r="K112">
            <v>1338.02</v>
          </cell>
          <cell r="L112">
            <v>1563.37</v>
          </cell>
          <cell r="M112">
            <v>1535.97</v>
          </cell>
          <cell r="N112">
            <v>1557.58</v>
          </cell>
          <cell r="P112">
            <v>18705.840000000004</v>
          </cell>
        </row>
        <row r="113">
          <cell r="A113">
            <v>510202050005</v>
          </cell>
          <cell r="B113" t="str">
            <v xml:space="preserve">Artículos de Seguridad                                                </v>
          </cell>
          <cell r="C113">
            <v>102.6</v>
          </cell>
          <cell r="D113">
            <v>0</v>
          </cell>
          <cell r="E113">
            <v>0</v>
          </cell>
          <cell r="F113">
            <v>0</v>
          </cell>
          <cell r="G113">
            <v>152.5</v>
          </cell>
          <cell r="H113">
            <v>0</v>
          </cell>
          <cell r="I113">
            <v>0</v>
          </cell>
          <cell r="J113">
            <v>0</v>
          </cell>
          <cell r="K113">
            <v>1327.5</v>
          </cell>
          <cell r="L113">
            <v>0</v>
          </cell>
          <cell r="M113">
            <v>20000</v>
          </cell>
          <cell r="N113">
            <v>0</v>
          </cell>
          <cell r="P113">
            <v>21582.6</v>
          </cell>
        </row>
        <row r="114">
          <cell r="A114">
            <v>510202050006</v>
          </cell>
          <cell r="B114" t="str">
            <v xml:space="preserve">Agua Planta                                                           </v>
          </cell>
          <cell r="C114">
            <v>716.06</v>
          </cell>
          <cell r="D114">
            <v>737.38</v>
          </cell>
          <cell r="E114">
            <v>867.74</v>
          </cell>
          <cell r="F114">
            <v>333.27</v>
          </cell>
          <cell r="G114">
            <v>1026.3800000000001</v>
          </cell>
          <cell r="H114">
            <v>1363.12</v>
          </cell>
          <cell r="I114">
            <v>380.54</v>
          </cell>
          <cell r="J114">
            <v>318.02</v>
          </cell>
          <cell r="K114">
            <v>477.95</v>
          </cell>
          <cell r="L114">
            <v>880.27</v>
          </cell>
          <cell r="M114">
            <v>786.31</v>
          </cell>
          <cell r="N114">
            <v>1205.5</v>
          </cell>
          <cell r="P114">
            <v>9092.5399999999991</v>
          </cell>
        </row>
        <row r="115">
          <cell r="A115">
            <v>510202050007</v>
          </cell>
          <cell r="B115" t="str">
            <v xml:space="preserve">Energía Eléctrica Planta                                              </v>
          </cell>
          <cell r="C115">
            <v>7753.74</v>
          </cell>
          <cell r="D115">
            <v>9505.6299999999992</v>
          </cell>
          <cell r="E115">
            <v>7689.49</v>
          </cell>
          <cell r="F115">
            <v>7256.62</v>
          </cell>
          <cell r="G115">
            <v>9122.98</v>
          </cell>
          <cell r="H115">
            <v>7483.93</v>
          </cell>
          <cell r="I115">
            <v>8007.42</v>
          </cell>
          <cell r="J115">
            <v>7300.46</v>
          </cell>
          <cell r="K115">
            <v>7814.9</v>
          </cell>
          <cell r="L115">
            <v>7299.68</v>
          </cell>
          <cell r="M115">
            <v>8496.2199999999993</v>
          </cell>
          <cell r="N115">
            <v>7155.2</v>
          </cell>
          <cell r="P115">
            <v>94886.27</v>
          </cell>
        </row>
        <row r="116">
          <cell r="A116">
            <v>510202050010</v>
          </cell>
          <cell r="B116" t="str">
            <v xml:space="preserve">Fletes                                                                </v>
          </cell>
          <cell r="C116">
            <v>7030</v>
          </cell>
          <cell r="D116">
            <v>7500</v>
          </cell>
          <cell r="E116">
            <v>0</v>
          </cell>
          <cell r="F116">
            <v>7855</v>
          </cell>
          <cell r="G116">
            <v>0</v>
          </cell>
          <cell r="H116">
            <v>12590</v>
          </cell>
          <cell r="I116">
            <v>5880</v>
          </cell>
          <cell r="J116">
            <v>0</v>
          </cell>
          <cell r="K116">
            <v>0</v>
          </cell>
          <cell r="L116">
            <v>12430</v>
          </cell>
          <cell r="M116">
            <v>6665</v>
          </cell>
          <cell r="N116">
            <v>0</v>
          </cell>
          <cell r="P116">
            <v>59950</v>
          </cell>
        </row>
        <row r="117">
          <cell r="A117">
            <v>510202050011</v>
          </cell>
          <cell r="B117" t="str">
            <v xml:space="preserve">Otros Costo de Producción                                             </v>
          </cell>
          <cell r="C117">
            <v>0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31.35</v>
          </cell>
          <cell r="J117">
            <v>0</v>
          </cell>
          <cell r="K117">
            <v>0</v>
          </cell>
          <cell r="L117">
            <v>240</v>
          </cell>
          <cell r="M117">
            <v>0</v>
          </cell>
          <cell r="N117">
            <v>0</v>
          </cell>
          <cell r="P117">
            <v>271.35000000000002</v>
          </cell>
        </row>
        <row r="118">
          <cell r="A118">
            <v>510202050013</v>
          </cell>
          <cell r="B118" t="str">
            <v xml:space="preserve">Servicio de Manufactura Indirectos                                    </v>
          </cell>
          <cell r="C118">
            <v>2505.96</v>
          </cell>
          <cell r="D118">
            <v>2024.75</v>
          </cell>
          <cell r="E118">
            <v>0</v>
          </cell>
          <cell r="F118">
            <v>0</v>
          </cell>
          <cell r="G118">
            <v>6071.52</v>
          </cell>
          <cell r="H118">
            <v>2034.5</v>
          </cell>
          <cell r="I118">
            <v>2039.15</v>
          </cell>
          <cell r="J118">
            <v>2034.42</v>
          </cell>
          <cell r="K118">
            <v>2009.4</v>
          </cell>
          <cell r="L118">
            <v>1002</v>
          </cell>
          <cell r="M118">
            <v>1001</v>
          </cell>
          <cell r="N118">
            <v>1001.6</v>
          </cell>
          <cell r="P118">
            <v>21724.3</v>
          </cell>
        </row>
        <row r="119">
          <cell r="A119">
            <v>510202050014</v>
          </cell>
          <cell r="B119" t="str">
            <v xml:space="preserve">Gastos de control de calidad                                          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194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P119">
            <v>194</v>
          </cell>
        </row>
        <row r="120">
          <cell r="A120">
            <v>510202050015</v>
          </cell>
          <cell r="B120" t="str">
            <v xml:space="preserve">Mant.  Vehiculos Bodega                                               </v>
          </cell>
          <cell r="C120">
            <v>5731.13</v>
          </cell>
          <cell r="D120">
            <v>2983.86</v>
          </cell>
          <cell r="E120">
            <v>1918.58</v>
          </cell>
          <cell r="F120">
            <v>971.48</v>
          </cell>
          <cell r="G120">
            <v>5060.04</v>
          </cell>
          <cell r="H120">
            <v>7125.84</v>
          </cell>
          <cell r="I120">
            <v>2078.4699999999998</v>
          </cell>
          <cell r="J120">
            <v>7036.89</v>
          </cell>
          <cell r="K120">
            <v>2759.6</v>
          </cell>
          <cell r="L120">
            <v>4981.87</v>
          </cell>
          <cell r="M120">
            <v>2733.36</v>
          </cell>
          <cell r="N120">
            <v>4875.3599999999997</v>
          </cell>
          <cell r="P120">
            <v>48256.480000000003</v>
          </cell>
        </row>
        <row r="121">
          <cell r="A121">
            <v>510202050016</v>
          </cell>
          <cell r="B121" t="str">
            <v xml:space="preserve">Suministros, Materiales y Repuestos Indirectos                        </v>
          </cell>
          <cell r="C121">
            <v>19171.79</v>
          </cell>
          <cell r="D121">
            <v>21422.39</v>
          </cell>
          <cell r="E121">
            <v>-525.71</v>
          </cell>
          <cell r="F121">
            <v>5375.43</v>
          </cell>
          <cell r="G121">
            <v>9343.14</v>
          </cell>
          <cell r="H121">
            <v>32005.99</v>
          </cell>
          <cell r="I121">
            <v>17827.63</v>
          </cell>
          <cell r="J121">
            <v>12633.08</v>
          </cell>
          <cell r="K121">
            <v>9411.6299999999992</v>
          </cell>
          <cell r="L121">
            <v>13268.97</v>
          </cell>
          <cell r="M121">
            <v>8282.86</v>
          </cell>
          <cell r="N121">
            <v>14319.76</v>
          </cell>
          <cell r="P121">
            <v>162536.96000000002</v>
          </cell>
        </row>
        <row r="122">
          <cell r="A122">
            <v>510202050017</v>
          </cell>
          <cell r="B122" t="str">
            <v xml:space="preserve">Servicio de Afilada de Cuchillas                                      </v>
          </cell>
          <cell r="C122">
            <v>479.16</v>
          </cell>
          <cell r="D122">
            <v>544.32000000000005</v>
          </cell>
          <cell r="E122">
            <v>173.88</v>
          </cell>
          <cell r="F122">
            <v>380</v>
          </cell>
          <cell r="G122">
            <v>538.63</v>
          </cell>
          <cell r="H122">
            <v>652.79</v>
          </cell>
          <cell r="I122">
            <v>297.16000000000003</v>
          </cell>
          <cell r="J122">
            <v>327.75</v>
          </cell>
          <cell r="K122">
            <v>510.86</v>
          </cell>
          <cell r="L122">
            <v>838.04</v>
          </cell>
          <cell r="M122">
            <v>402.04</v>
          </cell>
          <cell r="N122">
            <v>279.68</v>
          </cell>
          <cell r="P122">
            <v>5424.31</v>
          </cell>
        </row>
        <row r="123">
          <cell r="A123">
            <v>510202050020</v>
          </cell>
          <cell r="B123" t="str">
            <v xml:space="preserve">Seguro contra incendios                                               </v>
          </cell>
          <cell r="C123">
            <v>445.84</v>
          </cell>
          <cell r="D123">
            <v>89.17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P123">
            <v>535.01</v>
          </cell>
        </row>
        <row r="124">
          <cell r="A124">
            <v>510202050022</v>
          </cell>
          <cell r="B124" t="str">
            <v xml:space="preserve">Seguro de Vehiculos                                                   </v>
          </cell>
          <cell r="C124">
            <v>234.91</v>
          </cell>
          <cell r="D124">
            <v>93.38</v>
          </cell>
          <cell r="E124">
            <v>58</v>
          </cell>
          <cell r="F124">
            <v>58</v>
          </cell>
          <cell r="G124">
            <v>58</v>
          </cell>
          <cell r="H124">
            <v>58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P124">
            <v>560.29</v>
          </cell>
        </row>
        <row r="125">
          <cell r="A125">
            <v>510202050023</v>
          </cell>
          <cell r="B125" t="str">
            <v xml:space="preserve">Seguro SENAE                                                          </v>
          </cell>
          <cell r="C125">
            <v>2248.96</v>
          </cell>
          <cell r="D125">
            <v>2248.96</v>
          </cell>
          <cell r="E125">
            <v>2156.84</v>
          </cell>
          <cell r="F125">
            <v>4509.25</v>
          </cell>
          <cell r="G125">
            <v>3792.18</v>
          </cell>
          <cell r="H125">
            <v>7439.14</v>
          </cell>
          <cell r="I125">
            <v>6699.16</v>
          </cell>
          <cell r="J125">
            <v>1287.57</v>
          </cell>
          <cell r="K125">
            <v>1287.51</v>
          </cell>
          <cell r="L125">
            <v>1397.19</v>
          </cell>
          <cell r="M125">
            <v>1277.19</v>
          </cell>
          <cell r="N125">
            <v>1275.6400000000001</v>
          </cell>
          <cell r="P125">
            <v>35619.590000000004</v>
          </cell>
        </row>
        <row r="126">
          <cell r="A126">
            <v>510202050024</v>
          </cell>
          <cell r="B126" t="str">
            <v xml:space="preserve">Gastos viaticos planta                                                </v>
          </cell>
          <cell r="C126">
            <v>0</v>
          </cell>
          <cell r="D126">
            <v>0</v>
          </cell>
          <cell r="E126">
            <v>0</v>
          </cell>
          <cell r="F126">
            <v>0</v>
          </cell>
          <cell r="G126">
            <v>0</v>
          </cell>
          <cell r="H126">
            <v>106.05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P126">
            <v>106.05</v>
          </cell>
        </row>
        <row r="127">
          <cell r="A127">
            <v>510202050025</v>
          </cell>
          <cell r="B127" t="str">
            <v xml:space="preserve">Asesorías                                                             </v>
          </cell>
          <cell r="C127">
            <v>0</v>
          </cell>
          <cell r="D127">
            <v>0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12300</v>
          </cell>
          <cell r="N127">
            <v>0</v>
          </cell>
          <cell r="P127">
            <v>12300</v>
          </cell>
        </row>
        <row r="128">
          <cell r="A128">
            <v>510202050027</v>
          </cell>
          <cell r="B128" t="str">
            <v xml:space="preserve">Suministros de seguridad industrial (EPP Y OTROS )                    </v>
          </cell>
          <cell r="C128">
            <v>47.95</v>
          </cell>
          <cell r="D128">
            <v>123.48</v>
          </cell>
          <cell r="E128">
            <v>2680.53</v>
          </cell>
          <cell r="F128">
            <v>11523.57</v>
          </cell>
          <cell r="G128">
            <v>4227.5</v>
          </cell>
          <cell r="H128">
            <v>662</v>
          </cell>
          <cell r="I128">
            <v>683.9</v>
          </cell>
          <cell r="J128">
            <v>1168.78</v>
          </cell>
          <cell r="K128">
            <v>577.5</v>
          </cell>
          <cell r="L128">
            <v>531.23</v>
          </cell>
          <cell r="M128">
            <v>120</v>
          </cell>
          <cell r="N128">
            <v>57.8</v>
          </cell>
          <cell r="P128">
            <v>22404.239999999998</v>
          </cell>
        </row>
        <row r="129">
          <cell r="A129">
            <v>510202050028</v>
          </cell>
          <cell r="B129" t="str">
            <v xml:space="preserve">Gastos movilizacion planta                                            </v>
          </cell>
          <cell r="C129">
            <v>640.5</v>
          </cell>
          <cell r="D129">
            <v>565.75</v>
          </cell>
          <cell r="E129">
            <v>520.5</v>
          </cell>
          <cell r="F129">
            <v>4232.5</v>
          </cell>
          <cell r="G129">
            <v>7578.92</v>
          </cell>
          <cell r="H129">
            <v>2982.75</v>
          </cell>
          <cell r="I129">
            <v>669</v>
          </cell>
          <cell r="J129">
            <v>332.5</v>
          </cell>
          <cell r="K129">
            <v>365.5</v>
          </cell>
          <cell r="L129">
            <v>442</v>
          </cell>
          <cell r="M129">
            <v>348</v>
          </cell>
          <cell r="N129">
            <v>174</v>
          </cell>
          <cell r="P129">
            <v>18851.919999999998</v>
          </cell>
        </row>
        <row r="130">
          <cell r="A130">
            <v>510202050029</v>
          </cell>
          <cell r="B130" t="str">
            <v xml:space="preserve">Honorarios profesionales planta                                       </v>
          </cell>
          <cell r="C130">
            <v>550</v>
          </cell>
          <cell r="D130">
            <v>550</v>
          </cell>
          <cell r="E130">
            <v>950</v>
          </cell>
          <cell r="F130">
            <v>550</v>
          </cell>
          <cell r="G130">
            <v>550</v>
          </cell>
          <cell r="H130">
            <v>550</v>
          </cell>
          <cell r="I130">
            <v>550</v>
          </cell>
          <cell r="J130">
            <v>1050</v>
          </cell>
          <cell r="K130">
            <v>19150</v>
          </cell>
          <cell r="L130">
            <v>1992.22</v>
          </cell>
          <cell r="M130">
            <v>550</v>
          </cell>
          <cell r="N130">
            <v>1250</v>
          </cell>
          <cell r="P130">
            <v>28242.22</v>
          </cell>
        </row>
        <row r="131">
          <cell r="A131">
            <v>510202050030</v>
          </cell>
          <cell r="B131" t="str">
            <v xml:space="preserve">Mantenimiento de instalaciones planta                                 </v>
          </cell>
          <cell r="C131">
            <v>11193.41</v>
          </cell>
          <cell r="D131">
            <v>40749.839999999997</v>
          </cell>
          <cell r="E131">
            <v>2820.66</v>
          </cell>
          <cell r="F131">
            <v>208.29</v>
          </cell>
          <cell r="G131">
            <v>0</v>
          </cell>
          <cell r="H131">
            <v>73610.009999999995</v>
          </cell>
          <cell r="I131">
            <v>153690.64000000001</v>
          </cell>
          <cell r="J131">
            <v>963.45</v>
          </cell>
          <cell r="K131">
            <v>178187.81</v>
          </cell>
          <cell r="L131">
            <v>49565</v>
          </cell>
          <cell r="M131">
            <v>76964.13</v>
          </cell>
          <cell r="N131">
            <v>87417.38</v>
          </cell>
          <cell r="P131">
            <v>675370.62</v>
          </cell>
        </row>
        <row r="132">
          <cell r="A132">
            <v>510202050032</v>
          </cell>
          <cell r="B132" t="str">
            <v xml:space="preserve">Alquiler maquinarias y otros                                          </v>
          </cell>
          <cell r="C132">
            <v>0</v>
          </cell>
          <cell r="D132">
            <v>0</v>
          </cell>
          <cell r="E132">
            <v>0</v>
          </cell>
          <cell r="F132">
            <v>800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P132">
            <v>800</v>
          </cell>
        </row>
        <row r="133">
          <cell r="A133">
            <v>510202050033</v>
          </cell>
          <cell r="B133" t="str">
            <v xml:space="preserve">Destrucción desechos - medio ambiente                                 </v>
          </cell>
          <cell r="C133">
            <v>0</v>
          </cell>
          <cell r="D133">
            <v>0</v>
          </cell>
          <cell r="E133">
            <v>0</v>
          </cell>
          <cell r="F133">
            <v>0</v>
          </cell>
          <cell r="G133">
            <v>606.24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639.64</v>
          </cell>
          <cell r="P133">
            <v>1245.8800000000001</v>
          </cell>
        </row>
        <row r="134">
          <cell r="A134">
            <v>510202050034</v>
          </cell>
          <cell r="B134" t="str">
            <v xml:space="preserve">Iva costo                                                             </v>
          </cell>
          <cell r="C134">
            <v>5264.07</v>
          </cell>
          <cell r="D134">
            <v>8668.94</v>
          </cell>
          <cell r="E134">
            <v>3030.23</v>
          </cell>
          <cell r="F134">
            <v>2751.74</v>
          </cell>
          <cell r="G134">
            <v>3182.17</v>
          </cell>
          <cell r="H134">
            <v>15769.58</v>
          </cell>
          <cell r="I134">
            <v>23228.3</v>
          </cell>
          <cell r="J134">
            <v>4946.76</v>
          </cell>
          <cell r="K134">
            <v>25540.04</v>
          </cell>
          <cell r="L134">
            <v>15034.93</v>
          </cell>
          <cell r="M134">
            <v>20417.93</v>
          </cell>
          <cell r="N134">
            <v>17741.39</v>
          </cell>
          <cell r="P134">
            <v>145576.07999999996</v>
          </cell>
        </row>
        <row r="135">
          <cell r="A135">
            <v>510202050035</v>
          </cell>
          <cell r="B135" t="str">
            <v xml:space="preserve">Matrícula e impuestos Vehicular bodega                                </v>
          </cell>
          <cell r="C135">
            <v>40</v>
          </cell>
          <cell r="D135">
            <v>0</v>
          </cell>
          <cell r="E135">
            <v>0</v>
          </cell>
          <cell r="F135">
            <v>0</v>
          </cell>
          <cell r="G135">
            <v>7.5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581.27</v>
          </cell>
          <cell r="N135">
            <v>0</v>
          </cell>
          <cell r="P135">
            <v>628.77</v>
          </cell>
        </row>
        <row r="136">
          <cell r="A136">
            <v>510202050036</v>
          </cell>
          <cell r="B136" t="str">
            <v xml:space="preserve">Otros pagos bienes y servicios planta                                 </v>
          </cell>
          <cell r="C136">
            <v>422.62</v>
          </cell>
          <cell r="D136">
            <v>1116.71</v>
          </cell>
          <cell r="E136">
            <v>301.16000000000003</v>
          </cell>
          <cell r="F136">
            <v>2626.31</v>
          </cell>
          <cell r="G136">
            <v>159</v>
          </cell>
          <cell r="H136">
            <v>1850.38</v>
          </cell>
          <cell r="I136">
            <v>474.67</v>
          </cell>
          <cell r="J136">
            <v>1629.52</v>
          </cell>
          <cell r="K136">
            <v>1401.52</v>
          </cell>
          <cell r="L136">
            <v>789.13</v>
          </cell>
          <cell r="M136">
            <v>1519.62</v>
          </cell>
          <cell r="N136">
            <v>1287.94</v>
          </cell>
          <cell r="P136">
            <v>13578.58</v>
          </cell>
        </row>
        <row r="137">
          <cell r="A137">
            <v>510202050037</v>
          </cell>
          <cell r="B137" t="str">
            <v xml:space="preserve">Tasa de recolección de basura                                         </v>
          </cell>
          <cell r="C137">
            <v>1088.3</v>
          </cell>
          <cell r="D137">
            <v>0</v>
          </cell>
          <cell r="E137">
            <v>2123.9899999999998</v>
          </cell>
          <cell r="F137">
            <v>944.47</v>
          </cell>
          <cell r="G137">
            <v>890.36</v>
          </cell>
          <cell r="H137">
            <v>1123.6600000000001</v>
          </cell>
          <cell r="I137">
            <v>918.77</v>
          </cell>
          <cell r="J137">
            <v>984.21</v>
          </cell>
          <cell r="K137">
            <v>895.84</v>
          </cell>
          <cell r="L137">
            <v>960.14</v>
          </cell>
          <cell r="M137">
            <v>895.74</v>
          </cell>
          <cell r="N137">
            <v>1045.3399999999999</v>
          </cell>
          <cell r="P137">
            <v>11870.819999999998</v>
          </cell>
        </row>
        <row r="138">
          <cell r="A138">
            <v>510202050039</v>
          </cell>
          <cell r="B138" t="str">
            <v xml:space="preserve">Accesorios y herramientas                                             </v>
          </cell>
          <cell r="C138">
            <v>13.84</v>
          </cell>
          <cell r="D138">
            <v>0</v>
          </cell>
          <cell r="E138">
            <v>0</v>
          </cell>
          <cell r="F138">
            <v>0</v>
          </cell>
          <cell r="G138">
            <v>37.49</v>
          </cell>
          <cell r="H138">
            <v>350.01</v>
          </cell>
          <cell r="I138">
            <v>66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P138">
            <v>467.34</v>
          </cell>
        </row>
        <row r="139">
          <cell r="A139">
            <v>510202050040</v>
          </cell>
          <cell r="B139" t="str">
            <v xml:space="preserve">Gastos de licencias - software y mant  ERP                            </v>
          </cell>
          <cell r="C139">
            <v>2147.2199999999998</v>
          </cell>
          <cell r="D139">
            <v>2147.2199999999998</v>
          </cell>
          <cell r="E139">
            <v>3329.22</v>
          </cell>
          <cell r="F139">
            <v>2147.2199999999998</v>
          </cell>
          <cell r="G139">
            <v>2147.2199999999998</v>
          </cell>
          <cell r="H139">
            <v>2147.2199999999998</v>
          </cell>
          <cell r="I139">
            <v>2147.2199999999998</v>
          </cell>
          <cell r="J139">
            <v>1434.72</v>
          </cell>
          <cell r="K139">
            <v>1434.72</v>
          </cell>
          <cell r="L139">
            <v>1434.72</v>
          </cell>
          <cell r="M139">
            <v>1434.72</v>
          </cell>
          <cell r="N139">
            <v>8382.7199999999993</v>
          </cell>
          <cell r="P139">
            <v>30334.14</v>
          </cell>
        </row>
        <row r="140">
          <cell r="A140">
            <v>510202050041</v>
          </cell>
          <cell r="B140" t="str">
            <v xml:space="preserve">Servicios de fumigación y control de plagas                           </v>
          </cell>
          <cell r="C140">
            <v>400</v>
          </cell>
          <cell r="D140">
            <v>400</v>
          </cell>
          <cell r="E140">
            <v>400</v>
          </cell>
          <cell r="F140">
            <v>400</v>
          </cell>
          <cell r="G140">
            <v>400</v>
          </cell>
          <cell r="H140">
            <v>300</v>
          </cell>
          <cell r="I140">
            <v>300</v>
          </cell>
          <cell r="J140">
            <v>300</v>
          </cell>
          <cell r="K140">
            <v>300</v>
          </cell>
          <cell r="L140">
            <v>300</v>
          </cell>
          <cell r="M140">
            <v>300</v>
          </cell>
          <cell r="N140">
            <v>300</v>
          </cell>
          <cell r="P140">
            <v>4100</v>
          </cell>
        </row>
        <row r="141">
          <cell r="A141">
            <v>510202050042</v>
          </cell>
          <cell r="B141" t="str">
            <v xml:space="preserve">Mant equipos de computo                                               </v>
          </cell>
          <cell r="C141">
            <v>1016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550</v>
          </cell>
          <cell r="P141">
            <v>1566</v>
          </cell>
        </row>
        <row r="142">
          <cell r="A142">
            <v>510202050043</v>
          </cell>
          <cell r="B142" t="str">
            <v xml:space="preserve">suministros y otros  (autoconsumo)                                    </v>
          </cell>
          <cell r="C142">
            <v>0</v>
          </cell>
          <cell r="D142">
            <v>0</v>
          </cell>
          <cell r="E142">
            <v>264.98</v>
          </cell>
          <cell r="F142">
            <v>0</v>
          </cell>
          <cell r="G142">
            <v>129.12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P142">
            <v>394.1</v>
          </cell>
        </row>
        <row r="143">
          <cell r="A143">
            <v>510202050044</v>
          </cell>
          <cell r="B143" t="str">
            <v xml:space="preserve">Suministros deoficina y computación planta                            </v>
          </cell>
          <cell r="C143">
            <v>61.46</v>
          </cell>
          <cell r="D143">
            <v>991.37</v>
          </cell>
          <cell r="E143">
            <v>0</v>
          </cell>
          <cell r="F143">
            <v>0</v>
          </cell>
          <cell r="G143">
            <v>280.06</v>
          </cell>
          <cell r="H143">
            <v>120</v>
          </cell>
          <cell r="I143">
            <v>884.03</v>
          </cell>
          <cell r="J143">
            <v>1256.01</v>
          </cell>
          <cell r="K143">
            <v>0</v>
          </cell>
          <cell r="L143">
            <v>0.85</v>
          </cell>
          <cell r="M143">
            <v>1515.4</v>
          </cell>
          <cell r="N143">
            <v>1201.5</v>
          </cell>
          <cell r="P143">
            <v>6310.68</v>
          </cell>
        </row>
        <row r="144">
          <cell r="A144">
            <v>510202050046</v>
          </cell>
          <cell r="B144" t="str">
            <v xml:space="preserve">Seguro ambiental                                                      </v>
          </cell>
          <cell r="C144">
            <v>0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  <cell r="H144">
            <v>89.28</v>
          </cell>
          <cell r="I144">
            <v>0</v>
          </cell>
          <cell r="J144">
            <v>0</v>
          </cell>
          <cell r="K144">
            <v>89.28</v>
          </cell>
          <cell r="L144">
            <v>0</v>
          </cell>
          <cell r="M144">
            <v>0</v>
          </cell>
          <cell r="N144">
            <v>7.43</v>
          </cell>
          <cell r="P144">
            <v>185.99</v>
          </cell>
        </row>
        <row r="145">
          <cell r="A145">
            <v>510202050048</v>
          </cell>
          <cell r="B145" t="str">
            <v xml:space="preserve">Seguro Rotura Maquinaria                                              </v>
          </cell>
          <cell r="C145">
            <v>598.34</v>
          </cell>
          <cell r="D145">
            <v>119.66</v>
          </cell>
          <cell r="E145">
            <v>0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1510.57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P145">
            <v>2228.5699999999997</v>
          </cell>
        </row>
        <row r="146">
          <cell r="A146">
            <v>510202050049</v>
          </cell>
          <cell r="B146" t="str">
            <v xml:space="preserve">Telefonia Celular                                                     </v>
          </cell>
          <cell r="C146">
            <v>60.46</v>
          </cell>
          <cell r="D146">
            <v>57.5</v>
          </cell>
          <cell r="E146">
            <v>86.25</v>
          </cell>
          <cell r="F146">
            <v>58.5</v>
          </cell>
          <cell r="G146">
            <v>57.5</v>
          </cell>
          <cell r="H146">
            <v>46.36</v>
          </cell>
          <cell r="I146">
            <v>39.159999999999997</v>
          </cell>
          <cell r="J146">
            <v>39.17</v>
          </cell>
          <cell r="K146">
            <v>39.159999999999997</v>
          </cell>
          <cell r="L146">
            <v>39.159999999999997</v>
          </cell>
          <cell r="M146">
            <v>37.380000000000003</v>
          </cell>
          <cell r="N146">
            <v>38.42</v>
          </cell>
          <cell r="P146">
            <v>599.02</v>
          </cell>
        </row>
        <row r="147">
          <cell r="A147">
            <v>510202050050</v>
          </cell>
          <cell r="B147" t="str">
            <v xml:space="preserve">Rastreo Satelital                                                     </v>
          </cell>
          <cell r="C147">
            <v>71.540000000000006</v>
          </cell>
          <cell r="D147">
            <v>71.540000000000006</v>
          </cell>
          <cell r="E147">
            <v>71.540000000000006</v>
          </cell>
          <cell r="F147">
            <v>71.540000000000006</v>
          </cell>
          <cell r="G147">
            <v>71.540000000000006</v>
          </cell>
          <cell r="H147">
            <v>71.540000000000006</v>
          </cell>
          <cell r="I147">
            <v>71.540000000000006</v>
          </cell>
          <cell r="J147">
            <v>71.540000000000006</v>
          </cell>
          <cell r="K147">
            <v>71.540000000000006</v>
          </cell>
          <cell r="L147">
            <v>71.540000000000006</v>
          </cell>
          <cell r="M147">
            <v>71.540000000000006</v>
          </cell>
          <cell r="N147">
            <v>71.540000000000006</v>
          </cell>
          <cell r="P147">
            <v>858.4799999999999</v>
          </cell>
        </row>
        <row r="148">
          <cell r="A148">
            <v>51020209</v>
          </cell>
          <cell r="B148" t="str">
            <v xml:space="preserve">TRANSFERENCIA COSTOS INDIRECTOS A COSTO PROD.                         </v>
          </cell>
          <cell r="C148">
            <v>-119807.06</v>
          </cell>
          <cell r="D148">
            <v>-154056.95000000001</v>
          </cell>
          <cell r="E148">
            <v>-76017.59</v>
          </cell>
          <cell r="F148">
            <v>-93692.36</v>
          </cell>
          <cell r="G148">
            <v>-100592.95</v>
          </cell>
          <cell r="H148">
            <v>-221713.74</v>
          </cell>
          <cell r="I148">
            <v>-275284.88</v>
          </cell>
          <cell r="J148">
            <v>-95049.02</v>
          </cell>
          <cell r="K148">
            <v>0</v>
          </cell>
          <cell r="L148">
            <v>0</v>
          </cell>
          <cell r="M148">
            <v>0</v>
          </cell>
          <cell r="N148">
            <v>-979285.94</v>
          </cell>
          <cell r="P148">
            <v>-2115500.4899999998</v>
          </cell>
        </row>
        <row r="149">
          <cell r="A149">
            <v>510202090001</v>
          </cell>
          <cell r="B149" t="str">
            <v xml:space="preserve">Transferencia Costos Indirectos a Costo Producción                    </v>
          </cell>
          <cell r="C149">
            <v>-119807.06</v>
          </cell>
          <cell r="D149">
            <v>-154056.95000000001</v>
          </cell>
          <cell r="E149">
            <v>-76017.59</v>
          </cell>
          <cell r="F149">
            <v>-93692.36</v>
          </cell>
          <cell r="G149">
            <v>-100592.95</v>
          </cell>
          <cell r="H149">
            <v>-221713.74</v>
          </cell>
          <cell r="I149">
            <v>-275284.88</v>
          </cell>
          <cell r="J149">
            <v>-95049.02</v>
          </cell>
          <cell r="K149">
            <v>0</v>
          </cell>
          <cell r="L149">
            <v>0</v>
          </cell>
          <cell r="M149">
            <v>0</v>
          </cell>
          <cell r="N149">
            <v>-979285.94</v>
          </cell>
          <cell r="P149">
            <v>-2115500.4899999998</v>
          </cell>
        </row>
        <row r="150">
          <cell r="A150">
            <v>5103</v>
          </cell>
          <cell r="B150" t="str">
            <v xml:space="preserve">COSTO DE PRODUCCION                                                   </v>
          </cell>
          <cell r="C150">
            <v>746.3</v>
          </cell>
          <cell r="D150">
            <v>-4.8600000000000003</v>
          </cell>
          <cell r="E150">
            <v>-1153.24</v>
          </cell>
          <cell r="F150">
            <v>-12126.74</v>
          </cell>
          <cell r="G150">
            <v>55407.33</v>
          </cell>
          <cell r="H150">
            <v>202.38</v>
          </cell>
          <cell r="I150">
            <v>-43071.09</v>
          </cell>
          <cell r="J150">
            <v>0</v>
          </cell>
          <cell r="K150">
            <v>2185345.71</v>
          </cell>
          <cell r="L150">
            <v>-599027.07999999996</v>
          </cell>
          <cell r="M150">
            <v>1765152.56</v>
          </cell>
          <cell r="N150">
            <v>-3355666.73</v>
          </cell>
          <cell r="P150">
            <v>-4195.4599999999627</v>
          </cell>
        </row>
        <row r="151">
          <cell r="A151">
            <v>510301</v>
          </cell>
          <cell r="B151" t="str">
            <v xml:space="preserve">COSTO DE PRODUCCION PROD TERMINADO                                    </v>
          </cell>
          <cell r="C151">
            <v>1192759.1399999999</v>
          </cell>
          <cell r="D151">
            <v>662627.67000000004</v>
          </cell>
          <cell r="E151">
            <v>125321.35</v>
          </cell>
          <cell r="F151">
            <v>128159.89</v>
          </cell>
          <cell r="G151">
            <v>185004.81</v>
          </cell>
          <cell r="H151">
            <v>1741422.2</v>
          </cell>
          <cell r="I151">
            <v>2227077.96</v>
          </cell>
          <cell r="J151">
            <v>1064334.32</v>
          </cell>
          <cell r="K151">
            <v>2182037.66</v>
          </cell>
          <cell r="L151">
            <v>-599859.72</v>
          </cell>
          <cell r="M151">
            <v>1762580.21</v>
          </cell>
          <cell r="N151">
            <v>217611.48</v>
          </cell>
          <cell r="P151">
            <v>10889076.969999999</v>
          </cell>
        </row>
        <row r="152">
          <cell r="A152">
            <v>51030101</v>
          </cell>
          <cell r="B152" t="str">
            <v xml:space="preserve">COSTO DE PRODUCCION PROD TERMINADO                                    </v>
          </cell>
          <cell r="C152">
            <v>1192759.1399999999</v>
          </cell>
          <cell r="D152">
            <v>662627.67000000004</v>
          </cell>
          <cell r="E152">
            <v>125321.35</v>
          </cell>
          <cell r="F152">
            <v>128159.89</v>
          </cell>
          <cell r="G152">
            <v>185004.81</v>
          </cell>
          <cell r="H152">
            <v>1741422.2</v>
          </cell>
          <cell r="I152">
            <v>2227077.96</v>
          </cell>
          <cell r="J152">
            <v>1064334.32</v>
          </cell>
          <cell r="K152">
            <v>2182037.66</v>
          </cell>
          <cell r="L152">
            <v>-599859.72</v>
          </cell>
          <cell r="M152">
            <v>1762580.21</v>
          </cell>
          <cell r="N152">
            <v>217611.48</v>
          </cell>
          <cell r="P152">
            <v>10889076.969999999</v>
          </cell>
        </row>
        <row r="153">
          <cell r="A153">
            <v>510301010002</v>
          </cell>
          <cell r="B153" t="str">
            <v xml:space="preserve">Costo de Producción Prod. Terminado                                   </v>
          </cell>
          <cell r="C153">
            <v>1192759.1399999999</v>
          </cell>
          <cell r="D153">
            <v>662627.67000000004</v>
          </cell>
          <cell r="E153">
            <v>125321.35</v>
          </cell>
          <cell r="F153">
            <v>128159.89</v>
          </cell>
          <cell r="G153">
            <v>185004.81</v>
          </cell>
          <cell r="H153">
            <v>1741422.2</v>
          </cell>
          <cell r="I153">
            <v>2227077.96</v>
          </cell>
          <cell r="J153">
            <v>1064334.32</v>
          </cell>
          <cell r="K153">
            <v>2182037.66</v>
          </cell>
          <cell r="L153">
            <v>-599859.72</v>
          </cell>
          <cell r="M153">
            <v>1762580.21</v>
          </cell>
          <cell r="N153">
            <v>217611.48</v>
          </cell>
          <cell r="P153">
            <v>10889076.969999999</v>
          </cell>
        </row>
        <row r="154">
          <cell r="A154">
            <v>510302</v>
          </cell>
          <cell r="B154" t="str">
            <v xml:space="preserve">COSTO DE PRODUCCION CONVERSION                                        </v>
          </cell>
          <cell r="C154">
            <v>-1192012.8400000001</v>
          </cell>
          <cell r="D154">
            <v>-662632.53</v>
          </cell>
          <cell r="E154">
            <v>-126474.59</v>
          </cell>
          <cell r="F154">
            <v>-140286.63</v>
          </cell>
          <cell r="G154">
            <v>-129597.48</v>
          </cell>
          <cell r="H154">
            <v>-1741219.82</v>
          </cell>
          <cell r="I154">
            <v>-2270149.0499999998</v>
          </cell>
          <cell r="J154">
            <v>-1064334.32</v>
          </cell>
          <cell r="K154">
            <v>3308.05</v>
          </cell>
          <cell r="L154">
            <v>832.64</v>
          </cell>
          <cell r="M154">
            <v>2572.35</v>
          </cell>
          <cell r="N154">
            <v>-3573278.21</v>
          </cell>
          <cell r="P154">
            <v>-10893272.430000002</v>
          </cell>
        </row>
        <row r="155">
          <cell r="A155">
            <v>51030201</v>
          </cell>
          <cell r="B155" t="str">
            <v xml:space="preserve">COSTO DE PRODUCCION CONVERSION                                        </v>
          </cell>
          <cell r="C155">
            <v>-1192012.8400000001</v>
          </cell>
          <cell r="D155">
            <v>-662632.53</v>
          </cell>
          <cell r="E155">
            <v>-126474.59</v>
          </cell>
          <cell r="F155">
            <v>-140286.63</v>
          </cell>
          <cell r="G155">
            <v>-129597.48</v>
          </cell>
          <cell r="H155">
            <v>-1741219.82</v>
          </cell>
          <cell r="I155">
            <v>-2270149.0499999998</v>
          </cell>
          <cell r="J155">
            <v>-1064334.32</v>
          </cell>
          <cell r="K155">
            <v>3308.05</v>
          </cell>
          <cell r="L155">
            <v>832.64</v>
          </cell>
          <cell r="M155">
            <v>2572.35</v>
          </cell>
          <cell r="N155">
            <v>-3573278.21</v>
          </cell>
          <cell r="P155">
            <v>-10893272.430000002</v>
          </cell>
        </row>
        <row r="156">
          <cell r="A156">
            <v>510302010002</v>
          </cell>
          <cell r="B156" t="str">
            <v xml:space="preserve">Consumo de MP bobinas para conversion                                 </v>
          </cell>
          <cell r="C156">
            <v>751.56</v>
          </cell>
          <cell r="D156">
            <v>0</v>
          </cell>
          <cell r="E156">
            <v>-13290.18</v>
          </cell>
          <cell r="F156">
            <v>0</v>
          </cell>
          <cell r="G156">
            <v>27608.43</v>
          </cell>
          <cell r="H156">
            <v>212.15</v>
          </cell>
          <cell r="I156">
            <v>-0.01</v>
          </cell>
          <cell r="J156">
            <v>0</v>
          </cell>
          <cell r="K156">
            <v>3308.05</v>
          </cell>
          <cell r="L156">
            <v>832.64</v>
          </cell>
          <cell r="M156">
            <v>2572.35</v>
          </cell>
          <cell r="N156">
            <v>-7432.94</v>
          </cell>
          <cell r="P156">
            <v>14562.05</v>
          </cell>
        </row>
        <row r="157">
          <cell r="A157">
            <v>510302010099</v>
          </cell>
          <cell r="B157" t="str">
            <v xml:space="preserve">Transferencia Costo Produccion Materia Prima                          </v>
          </cell>
          <cell r="C157">
            <v>-1192764.3999999999</v>
          </cell>
          <cell r="D157">
            <v>-662632.53</v>
          </cell>
          <cell r="E157">
            <v>-113184.41</v>
          </cell>
          <cell r="F157">
            <v>-140286.63</v>
          </cell>
          <cell r="G157">
            <v>-157205.91</v>
          </cell>
          <cell r="H157">
            <v>-1741431.97</v>
          </cell>
          <cell r="I157">
            <v>-2270149.04</v>
          </cell>
          <cell r="J157">
            <v>-1064334.32</v>
          </cell>
          <cell r="K157">
            <v>0</v>
          </cell>
          <cell r="L157">
            <v>0</v>
          </cell>
          <cell r="M157">
            <v>0</v>
          </cell>
          <cell r="N157">
            <v>-3565845.27</v>
          </cell>
          <cell r="P157">
            <v>-10907834.48</v>
          </cell>
        </row>
        <row r="158">
          <cell r="A158">
            <v>52</v>
          </cell>
          <cell r="B158" t="str">
            <v xml:space="preserve">GASTOS DE ADMINISTRACION &amp; VENTAS                                     </v>
          </cell>
          <cell r="C158">
            <v>212657.21</v>
          </cell>
          <cell r="D158">
            <v>149918.85</v>
          </cell>
          <cell r="E158">
            <v>130330.49</v>
          </cell>
          <cell r="F158">
            <v>138254.12</v>
          </cell>
          <cell r="G158">
            <v>201508.97</v>
          </cell>
          <cell r="H158">
            <v>139232.44</v>
          </cell>
          <cell r="I158">
            <v>170460.57</v>
          </cell>
          <cell r="J158">
            <v>140393.9</v>
          </cell>
          <cell r="K158">
            <v>244964.25</v>
          </cell>
          <cell r="L158">
            <v>172125.97</v>
          </cell>
          <cell r="M158">
            <v>195985.97</v>
          </cell>
          <cell r="N158">
            <v>344143.53</v>
          </cell>
          <cell r="P158">
            <v>2239976.2699999996</v>
          </cell>
        </row>
        <row r="159">
          <cell r="A159">
            <v>5201</v>
          </cell>
          <cell r="B159" t="str">
            <v xml:space="preserve">GASTOS DE VENTA                                                       </v>
          </cell>
          <cell r="C159">
            <v>55735.99</v>
          </cell>
          <cell r="D159">
            <v>48770.11</v>
          </cell>
          <cell r="E159">
            <v>40055.43</v>
          </cell>
          <cell r="F159">
            <v>39705.46</v>
          </cell>
          <cell r="G159">
            <v>47841.4</v>
          </cell>
          <cell r="H159">
            <v>40804.11</v>
          </cell>
          <cell r="I159">
            <v>62077.94</v>
          </cell>
          <cell r="J159">
            <v>42292.65</v>
          </cell>
          <cell r="K159">
            <v>69863.210000000006</v>
          </cell>
          <cell r="L159">
            <v>40646.639999999999</v>
          </cell>
          <cell r="M159">
            <v>40446.379999999997</v>
          </cell>
          <cell r="N159">
            <v>42684.1</v>
          </cell>
          <cell r="P159">
            <v>570923.42000000004</v>
          </cell>
        </row>
        <row r="160">
          <cell r="A160">
            <v>520101</v>
          </cell>
          <cell r="B160" t="str">
            <v xml:space="preserve">SUELDOS, SALARIOS Y DEMÁS REMUNERACIONES                              </v>
          </cell>
          <cell r="C160">
            <v>55735.99</v>
          </cell>
          <cell r="D160">
            <v>48770.11</v>
          </cell>
          <cell r="E160">
            <v>40055.43</v>
          </cell>
          <cell r="F160">
            <v>39705.46</v>
          </cell>
          <cell r="G160">
            <v>47841.4</v>
          </cell>
          <cell r="H160">
            <v>40804.11</v>
          </cell>
          <cell r="I160">
            <v>62077.94</v>
          </cell>
          <cell r="J160">
            <v>42292.65</v>
          </cell>
          <cell r="K160">
            <v>69863.210000000006</v>
          </cell>
          <cell r="L160">
            <v>40646.639999999999</v>
          </cell>
          <cell r="M160">
            <v>40446.379999999997</v>
          </cell>
          <cell r="N160">
            <v>42684.1</v>
          </cell>
          <cell r="P160">
            <v>570923.42000000004</v>
          </cell>
        </row>
        <row r="161">
          <cell r="A161">
            <v>52010101</v>
          </cell>
          <cell r="B161" t="str">
            <v xml:space="preserve">GASTOS DE NOMINA DE VENTAS                                            </v>
          </cell>
          <cell r="C161">
            <v>36426.04</v>
          </cell>
          <cell r="D161">
            <v>33170.199999999997</v>
          </cell>
          <cell r="E161">
            <v>29721.62</v>
          </cell>
          <cell r="F161">
            <v>27266.78</v>
          </cell>
          <cell r="G161">
            <v>31772.7</v>
          </cell>
          <cell r="H161">
            <v>27301.78</v>
          </cell>
          <cell r="I161">
            <v>30711.119999999999</v>
          </cell>
          <cell r="J161">
            <v>30555.759999999998</v>
          </cell>
          <cell r="K161">
            <v>49319.64</v>
          </cell>
          <cell r="L161">
            <v>27136.28</v>
          </cell>
          <cell r="M161">
            <v>24547.29</v>
          </cell>
          <cell r="N161">
            <v>35727.550000000003</v>
          </cell>
          <cell r="P161">
            <v>383656.76</v>
          </cell>
        </row>
        <row r="162">
          <cell r="A162">
            <v>520101010001</v>
          </cell>
          <cell r="B162" t="str">
            <v xml:space="preserve">Sueldos                                                               </v>
          </cell>
          <cell r="C162">
            <v>13941.67</v>
          </cell>
          <cell r="D162">
            <v>13416.33</v>
          </cell>
          <cell r="E162">
            <v>14728.34</v>
          </cell>
          <cell r="F162">
            <v>14285</v>
          </cell>
          <cell r="G162">
            <v>14268.33</v>
          </cell>
          <cell r="H162">
            <v>13785</v>
          </cell>
          <cell r="I162">
            <v>13648.33</v>
          </cell>
          <cell r="J162">
            <v>14541.67</v>
          </cell>
          <cell r="K162">
            <v>14500.83</v>
          </cell>
          <cell r="L162">
            <v>13045.83</v>
          </cell>
          <cell r="M162">
            <v>11166.67</v>
          </cell>
          <cell r="N162">
            <v>12047.78</v>
          </cell>
          <cell r="P162">
            <v>163375.78</v>
          </cell>
        </row>
        <row r="163">
          <cell r="A163">
            <v>520101010002</v>
          </cell>
          <cell r="B163" t="str">
            <v xml:space="preserve">Sobretiempos                                                          </v>
          </cell>
          <cell r="C163">
            <v>1279.73</v>
          </cell>
          <cell r="D163">
            <v>1381.05</v>
          </cell>
          <cell r="E163">
            <v>836.59</v>
          </cell>
          <cell r="F163">
            <v>0</v>
          </cell>
          <cell r="G163">
            <v>112.04</v>
          </cell>
          <cell r="H163">
            <v>324.23</v>
          </cell>
          <cell r="I163">
            <v>865.9</v>
          </cell>
          <cell r="J163">
            <v>945.94</v>
          </cell>
          <cell r="K163">
            <v>1182.6500000000001</v>
          </cell>
          <cell r="L163">
            <v>1322.33</v>
          </cell>
          <cell r="M163">
            <v>1242.95</v>
          </cell>
          <cell r="N163">
            <v>961.72</v>
          </cell>
          <cell r="P163">
            <v>10455.129999999999</v>
          </cell>
        </row>
        <row r="164">
          <cell r="A164">
            <v>520101010003</v>
          </cell>
          <cell r="B164" t="str">
            <v xml:space="preserve">Comisiones                                                            </v>
          </cell>
          <cell r="C164">
            <v>9221.43</v>
          </cell>
          <cell r="D164">
            <v>7255.22</v>
          </cell>
          <cell r="E164">
            <v>4871.3599999999997</v>
          </cell>
          <cell r="F164">
            <v>3415.24</v>
          </cell>
          <cell r="G164">
            <v>6724.91</v>
          </cell>
          <cell r="H164">
            <v>5259.33</v>
          </cell>
          <cell r="I164">
            <v>5849.28</v>
          </cell>
          <cell r="J164">
            <v>5949.06</v>
          </cell>
          <cell r="K164">
            <v>5558.87</v>
          </cell>
          <cell r="L164">
            <v>4673.79</v>
          </cell>
          <cell r="M164">
            <v>4697.55</v>
          </cell>
          <cell r="N164">
            <v>2913.64</v>
          </cell>
          <cell r="P164">
            <v>66389.680000000008</v>
          </cell>
        </row>
        <row r="165">
          <cell r="A165">
            <v>520101010004</v>
          </cell>
          <cell r="B165" t="str">
            <v xml:space="preserve">Aporte Patronal 12.15%                                                </v>
          </cell>
          <cell r="C165">
            <v>3224.81</v>
          </cell>
          <cell r="D165">
            <v>2908.65</v>
          </cell>
          <cell r="E165">
            <v>2577.2399999999998</v>
          </cell>
          <cell r="F165">
            <v>2398.94</v>
          </cell>
          <cell r="G165">
            <v>2712.53</v>
          </cell>
          <cell r="H165">
            <v>2353.3000000000002</v>
          </cell>
          <cell r="I165">
            <v>2655.95</v>
          </cell>
          <cell r="J165">
            <v>2641.01</v>
          </cell>
          <cell r="K165">
            <v>4419.7</v>
          </cell>
          <cell r="L165">
            <v>2313.59</v>
          </cell>
          <cell r="M165">
            <v>2078.52</v>
          </cell>
          <cell r="N165">
            <v>1974.43</v>
          </cell>
          <cell r="P165">
            <v>32258.670000000002</v>
          </cell>
        </row>
        <row r="166">
          <cell r="A166">
            <v>520101010005</v>
          </cell>
          <cell r="B166" t="str">
            <v xml:space="preserve">Fondo de Reserva                                                      </v>
          </cell>
          <cell r="C166">
            <v>1894.31</v>
          </cell>
          <cell r="D166">
            <v>1827.81</v>
          </cell>
          <cell r="E166">
            <v>1533.87</v>
          </cell>
          <cell r="F166">
            <v>1490.3</v>
          </cell>
          <cell r="G166">
            <v>1697.89</v>
          </cell>
          <cell r="H166">
            <v>1436.89</v>
          </cell>
          <cell r="I166">
            <v>1612.02</v>
          </cell>
          <cell r="J166">
            <v>1511.88</v>
          </cell>
          <cell r="K166">
            <v>2788.18</v>
          </cell>
          <cell r="L166">
            <v>1420.29</v>
          </cell>
          <cell r="M166">
            <v>1285.1600000000001</v>
          </cell>
          <cell r="N166">
            <v>1072.26</v>
          </cell>
          <cell r="P166">
            <v>19570.86</v>
          </cell>
        </row>
        <row r="167">
          <cell r="A167">
            <v>520101010006</v>
          </cell>
          <cell r="B167" t="str">
            <v xml:space="preserve">Decimo Tercer Sueldo                                                  </v>
          </cell>
          <cell r="C167">
            <v>2211.83</v>
          </cell>
          <cell r="D167">
            <v>1994.97</v>
          </cell>
          <cell r="E167">
            <v>1767.63</v>
          </cell>
          <cell r="F167">
            <v>1645.37</v>
          </cell>
          <cell r="G167">
            <v>1860.45</v>
          </cell>
          <cell r="H167">
            <v>1614.06</v>
          </cell>
          <cell r="I167">
            <v>1821.63</v>
          </cell>
          <cell r="J167">
            <v>1811.4</v>
          </cell>
          <cell r="K167">
            <v>3016.89</v>
          </cell>
          <cell r="L167">
            <v>1586.86</v>
          </cell>
          <cell r="M167">
            <v>1425.6</v>
          </cell>
          <cell r="N167">
            <v>1318.81</v>
          </cell>
          <cell r="P167">
            <v>22075.5</v>
          </cell>
        </row>
        <row r="168">
          <cell r="A168">
            <v>520101010007</v>
          </cell>
          <cell r="B168" t="str">
            <v xml:space="preserve">Decimo Cuarto Sueldo                                                  </v>
          </cell>
          <cell r="C168">
            <v>484.4</v>
          </cell>
          <cell r="D168">
            <v>452.18</v>
          </cell>
          <cell r="E168">
            <v>529.95000000000005</v>
          </cell>
          <cell r="F168">
            <v>499.95</v>
          </cell>
          <cell r="G168">
            <v>498.84</v>
          </cell>
          <cell r="H168">
            <v>466.62</v>
          </cell>
          <cell r="I168">
            <v>455.51</v>
          </cell>
          <cell r="J168">
            <v>511.07</v>
          </cell>
          <cell r="K168">
            <v>512.16999999999996</v>
          </cell>
          <cell r="L168">
            <v>492.18</v>
          </cell>
          <cell r="M168">
            <v>447.73</v>
          </cell>
          <cell r="N168">
            <v>499.95</v>
          </cell>
          <cell r="P168">
            <v>5850.55</v>
          </cell>
        </row>
        <row r="169">
          <cell r="A169">
            <v>520101010008</v>
          </cell>
          <cell r="B169" t="str">
            <v xml:space="preserve">Vacaciones                                                            </v>
          </cell>
          <cell r="C169">
            <v>580.88</v>
          </cell>
          <cell r="D169">
            <v>559.01</v>
          </cell>
          <cell r="E169">
            <v>613.66</v>
          </cell>
          <cell r="F169">
            <v>0</v>
          </cell>
          <cell r="G169">
            <v>1189.73</v>
          </cell>
          <cell r="H169">
            <v>574.37</v>
          </cell>
          <cell r="I169">
            <v>568.66999999999996</v>
          </cell>
          <cell r="J169">
            <v>605.9</v>
          </cell>
          <cell r="K169">
            <v>602.52</v>
          </cell>
          <cell r="L169">
            <v>543.58000000000004</v>
          </cell>
          <cell r="M169">
            <v>465.28</v>
          </cell>
          <cell r="N169">
            <v>11950</v>
          </cell>
          <cell r="P169">
            <v>18253.599999999999</v>
          </cell>
        </row>
        <row r="170">
          <cell r="A170">
            <v>520101010009</v>
          </cell>
          <cell r="B170" t="str">
            <v xml:space="preserve">Desahucio Ventas                                                      </v>
          </cell>
          <cell r="C170">
            <v>398.1</v>
          </cell>
          <cell r="D170">
            <v>398.1</v>
          </cell>
          <cell r="E170">
            <v>398.1</v>
          </cell>
          <cell r="F170">
            <v>398.1</v>
          </cell>
          <cell r="G170">
            <v>398.1</v>
          </cell>
          <cell r="H170">
            <v>398.1</v>
          </cell>
          <cell r="I170">
            <v>504.97</v>
          </cell>
          <cell r="J170">
            <v>504.97</v>
          </cell>
          <cell r="K170">
            <v>504.97</v>
          </cell>
          <cell r="L170">
            <v>504.97</v>
          </cell>
          <cell r="M170">
            <v>504.97</v>
          </cell>
          <cell r="N170">
            <v>910.71</v>
          </cell>
          <cell r="P170">
            <v>5824.1600000000008</v>
          </cell>
        </row>
        <row r="171">
          <cell r="A171">
            <v>520101010011</v>
          </cell>
          <cell r="B171" t="str">
            <v xml:space="preserve">Bonificaciones Voluntarias Ventas                                     </v>
          </cell>
          <cell r="C171">
            <v>2099</v>
          </cell>
          <cell r="D171">
            <v>1887</v>
          </cell>
          <cell r="E171">
            <v>775</v>
          </cell>
          <cell r="F171">
            <v>2044</v>
          </cell>
          <cell r="G171">
            <v>1220</v>
          </cell>
          <cell r="H171">
            <v>0</v>
          </cell>
          <cell r="I171">
            <v>1496</v>
          </cell>
          <cell r="J171">
            <v>300</v>
          </cell>
          <cell r="K171">
            <v>15000</v>
          </cell>
          <cell r="L171">
            <v>0</v>
          </cell>
          <cell r="M171">
            <v>0</v>
          </cell>
          <cell r="N171">
            <v>0</v>
          </cell>
          <cell r="P171">
            <v>24821</v>
          </cell>
        </row>
        <row r="172">
          <cell r="A172">
            <v>520101010012</v>
          </cell>
          <cell r="B172" t="str">
            <v xml:space="preserve">Jubilación Patronal Ventas                                            </v>
          </cell>
          <cell r="C172">
            <v>1089.8800000000001</v>
          </cell>
          <cell r="D172">
            <v>1089.8800000000001</v>
          </cell>
          <cell r="E172">
            <v>1089.8800000000001</v>
          </cell>
          <cell r="F172">
            <v>1089.8800000000001</v>
          </cell>
          <cell r="G172">
            <v>1089.8800000000001</v>
          </cell>
          <cell r="H172">
            <v>1089.8800000000001</v>
          </cell>
          <cell r="I172">
            <v>1232.8599999999999</v>
          </cell>
          <cell r="J172">
            <v>1232.8599999999999</v>
          </cell>
          <cell r="K172">
            <v>1232.8599999999999</v>
          </cell>
          <cell r="L172">
            <v>1232.8599999999999</v>
          </cell>
          <cell r="M172">
            <v>1232.8599999999999</v>
          </cell>
          <cell r="N172">
            <v>2078.25</v>
          </cell>
          <cell r="P172">
            <v>14781.830000000002</v>
          </cell>
        </row>
        <row r="173">
          <cell r="A173">
            <v>52010102</v>
          </cell>
          <cell r="B173" t="str">
            <v xml:space="preserve">OTRAS GASTOS DE PERSONAL                                              </v>
          </cell>
          <cell r="C173">
            <v>975.26</v>
          </cell>
          <cell r="D173">
            <v>351.44</v>
          </cell>
          <cell r="E173">
            <v>1164.8900000000001</v>
          </cell>
          <cell r="F173">
            <v>187.5</v>
          </cell>
          <cell r="G173">
            <v>26.5</v>
          </cell>
          <cell r="H173">
            <v>791.31</v>
          </cell>
          <cell r="I173">
            <v>1035.1099999999999</v>
          </cell>
          <cell r="J173">
            <v>1016.55</v>
          </cell>
          <cell r="K173">
            <v>587.69000000000005</v>
          </cell>
          <cell r="L173">
            <v>1580.77</v>
          </cell>
          <cell r="M173">
            <v>963.58</v>
          </cell>
          <cell r="N173">
            <v>414.88</v>
          </cell>
          <cell r="P173">
            <v>9095.48</v>
          </cell>
        </row>
        <row r="174">
          <cell r="A174">
            <v>520101020002</v>
          </cell>
          <cell r="B174" t="str">
            <v xml:space="preserve">Alimentacion Ventas                                                   </v>
          </cell>
          <cell r="C174">
            <v>975.26</v>
          </cell>
          <cell r="D174">
            <v>351.44</v>
          </cell>
          <cell r="E174">
            <v>404.89</v>
          </cell>
          <cell r="F174">
            <v>187.5</v>
          </cell>
          <cell r="G174">
            <v>26.5</v>
          </cell>
          <cell r="H174">
            <v>637.30999999999995</v>
          </cell>
          <cell r="I174">
            <v>763.11</v>
          </cell>
          <cell r="J174">
            <v>466.55</v>
          </cell>
          <cell r="K174">
            <v>587.69000000000005</v>
          </cell>
          <cell r="L174">
            <v>1175.77</v>
          </cell>
          <cell r="M174">
            <v>963.58</v>
          </cell>
          <cell r="N174">
            <v>348.22</v>
          </cell>
          <cell r="P174">
            <v>6887.8200000000006</v>
          </cell>
        </row>
        <row r="175">
          <cell r="A175">
            <v>520101020006</v>
          </cell>
          <cell r="B175" t="str">
            <v xml:space="preserve">Capacitación y Seminarios Ventas                                      </v>
          </cell>
          <cell r="C175">
            <v>0</v>
          </cell>
          <cell r="D175">
            <v>0</v>
          </cell>
          <cell r="E175">
            <v>760</v>
          </cell>
          <cell r="F175">
            <v>0</v>
          </cell>
          <cell r="G175">
            <v>0</v>
          </cell>
          <cell r="H175">
            <v>154</v>
          </cell>
          <cell r="I175">
            <v>272</v>
          </cell>
          <cell r="J175">
            <v>550</v>
          </cell>
          <cell r="K175">
            <v>0</v>
          </cell>
          <cell r="L175">
            <v>405</v>
          </cell>
          <cell r="M175">
            <v>0</v>
          </cell>
          <cell r="N175">
            <v>0</v>
          </cell>
          <cell r="P175">
            <v>2141</v>
          </cell>
        </row>
        <row r="176">
          <cell r="A176">
            <v>520101020007</v>
          </cell>
          <cell r="B176" t="str">
            <v xml:space="preserve">Agasajo al Personal Ventas                                            </v>
          </cell>
          <cell r="C176">
            <v>0</v>
          </cell>
          <cell r="D176">
            <v>0</v>
          </cell>
          <cell r="E176">
            <v>0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0</v>
          </cell>
          <cell r="M176">
            <v>0</v>
          </cell>
          <cell r="N176">
            <v>66.66</v>
          </cell>
          <cell r="P176">
            <v>66.66</v>
          </cell>
        </row>
        <row r="177">
          <cell r="A177">
            <v>52010103</v>
          </cell>
          <cell r="B177" t="str">
            <v xml:space="preserve">GASTOS  GENERALES  DE VENTA                                           </v>
          </cell>
          <cell r="C177">
            <v>18334.689999999999</v>
          </cell>
          <cell r="D177">
            <v>15248.47</v>
          </cell>
          <cell r="E177">
            <v>9168.92</v>
          </cell>
          <cell r="F177">
            <v>12251.18</v>
          </cell>
          <cell r="G177">
            <v>16042.2</v>
          </cell>
          <cell r="H177">
            <v>12711.02</v>
          </cell>
          <cell r="I177">
            <v>30331.71</v>
          </cell>
          <cell r="J177">
            <v>10720.34</v>
          </cell>
          <cell r="K177">
            <v>19955.88</v>
          </cell>
          <cell r="L177">
            <v>11929.59</v>
          </cell>
          <cell r="M177">
            <v>14935.51</v>
          </cell>
          <cell r="N177">
            <v>6541.67</v>
          </cell>
          <cell r="P177">
            <v>178171.18000000002</v>
          </cell>
        </row>
        <row r="178">
          <cell r="A178">
            <v>520101030002</v>
          </cell>
          <cell r="B178" t="str">
            <v xml:space="preserve">Promoción y Publicidad                                                </v>
          </cell>
          <cell r="C178">
            <v>1178.52</v>
          </cell>
          <cell r="D178">
            <v>938.13</v>
          </cell>
          <cell r="E178">
            <v>1508.13</v>
          </cell>
          <cell r="F178">
            <v>938.13</v>
          </cell>
          <cell r="G178">
            <v>938.13</v>
          </cell>
          <cell r="H178">
            <v>1508.13</v>
          </cell>
          <cell r="I178">
            <v>1508.13</v>
          </cell>
          <cell r="J178">
            <v>0</v>
          </cell>
          <cell r="K178">
            <v>938.13</v>
          </cell>
          <cell r="L178">
            <v>0</v>
          </cell>
          <cell r="M178">
            <v>2000</v>
          </cell>
          <cell r="N178">
            <v>132.5</v>
          </cell>
          <cell r="P178">
            <v>11587.929999999998</v>
          </cell>
        </row>
        <row r="179">
          <cell r="A179">
            <v>520101030003</v>
          </cell>
          <cell r="B179" t="str">
            <v xml:space="preserve">Gastos de Viaje Ventas                                                </v>
          </cell>
          <cell r="C179">
            <v>781</v>
          </cell>
          <cell r="D179">
            <v>1188</v>
          </cell>
          <cell r="E179">
            <v>0</v>
          </cell>
          <cell r="F179">
            <v>0</v>
          </cell>
          <cell r="G179">
            <v>0</v>
          </cell>
          <cell r="H179">
            <v>0</v>
          </cell>
          <cell r="I179">
            <v>0</v>
          </cell>
          <cell r="J179">
            <v>0</v>
          </cell>
          <cell r="K179">
            <v>0</v>
          </cell>
          <cell r="L179">
            <v>0</v>
          </cell>
          <cell r="M179">
            <v>0</v>
          </cell>
          <cell r="N179">
            <v>0</v>
          </cell>
          <cell r="P179">
            <v>1969</v>
          </cell>
        </row>
        <row r="180">
          <cell r="A180">
            <v>520101030004</v>
          </cell>
          <cell r="B180" t="str">
            <v xml:space="preserve">Mant. Vehiculos Ventas                                                </v>
          </cell>
          <cell r="C180">
            <v>146.36000000000001</v>
          </cell>
          <cell r="D180">
            <v>388.05</v>
          </cell>
          <cell r="E180">
            <v>0</v>
          </cell>
          <cell r="F180">
            <v>0</v>
          </cell>
          <cell r="G180">
            <v>0</v>
          </cell>
          <cell r="H180">
            <v>346.5</v>
          </cell>
          <cell r="I180">
            <v>0</v>
          </cell>
          <cell r="J180">
            <v>0</v>
          </cell>
          <cell r="K180">
            <v>87.11</v>
          </cell>
          <cell r="L180">
            <v>0</v>
          </cell>
          <cell r="M180">
            <v>171.5</v>
          </cell>
          <cell r="N180">
            <v>0</v>
          </cell>
          <cell r="P180">
            <v>1139.52</v>
          </cell>
        </row>
        <row r="181">
          <cell r="A181">
            <v>520101030005</v>
          </cell>
          <cell r="B181" t="str">
            <v xml:space="preserve">Combustibles Ventas                                                   </v>
          </cell>
          <cell r="C181">
            <v>1300.54</v>
          </cell>
          <cell r="D181">
            <v>953.31</v>
          </cell>
          <cell r="E181">
            <v>689.95</v>
          </cell>
          <cell r="F181">
            <v>26.79</v>
          </cell>
          <cell r="G181">
            <v>115.88</v>
          </cell>
          <cell r="H181">
            <v>786.88</v>
          </cell>
          <cell r="I181">
            <v>642.52</v>
          </cell>
          <cell r="J181">
            <v>941.17</v>
          </cell>
          <cell r="K181">
            <v>1019.57</v>
          </cell>
          <cell r="L181">
            <v>774.9</v>
          </cell>
          <cell r="M181">
            <v>784.88</v>
          </cell>
          <cell r="N181">
            <v>733.95</v>
          </cell>
          <cell r="P181">
            <v>8770.34</v>
          </cell>
        </row>
        <row r="182">
          <cell r="A182">
            <v>520101030006</v>
          </cell>
          <cell r="B182" t="str">
            <v xml:space="preserve">Gastos de Exportación                                                 </v>
          </cell>
          <cell r="C182">
            <v>6584.14</v>
          </cell>
          <cell r="D182">
            <v>7344.64</v>
          </cell>
          <cell r="E182">
            <v>2474.64</v>
          </cell>
          <cell r="F182">
            <v>5579.44</v>
          </cell>
          <cell r="G182">
            <v>7458.21</v>
          </cell>
          <cell r="H182">
            <v>6357.14</v>
          </cell>
          <cell r="I182">
            <v>9480.93</v>
          </cell>
          <cell r="J182">
            <v>2412.5100000000002</v>
          </cell>
          <cell r="K182">
            <v>4508.93</v>
          </cell>
          <cell r="L182">
            <v>1803.55</v>
          </cell>
          <cell r="M182">
            <v>6550</v>
          </cell>
          <cell r="N182">
            <v>185.7</v>
          </cell>
          <cell r="P182">
            <v>60739.83</v>
          </cell>
        </row>
        <row r="183">
          <cell r="A183">
            <v>520101030007</v>
          </cell>
          <cell r="B183" t="str">
            <v xml:space="preserve">Atención a clientes                                                   </v>
          </cell>
          <cell r="C183">
            <v>201.98</v>
          </cell>
          <cell r="D183">
            <v>152.94999999999999</v>
          </cell>
          <cell r="E183">
            <v>40.99</v>
          </cell>
          <cell r="F183">
            <v>16</v>
          </cell>
          <cell r="G183">
            <v>16</v>
          </cell>
          <cell r="H183">
            <v>56.45</v>
          </cell>
          <cell r="I183">
            <v>39.950000000000003</v>
          </cell>
          <cell r="J183">
            <v>223.98</v>
          </cell>
          <cell r="K183">
            <v>23.4</v>
          </cell>
          <cell r="L183">
            <v>91.5</v>
          </cell>
          <cell r="M183">
            <v>46.44</v>
          </cell>
          <cell r="N183">
            <v>51.9</v>
          </cell>
          <cell r="P183">
            <v>961.53999999999985</v>
          </cell>
        </row>
        <row r="184">
          <cell r="A184">
            <v>520101030008</v>
          </cell>
          <cell r="B184" t="str">
            <v xml:space="preserve">Gastos Viaticos                                                       </v>
          </cell>
          <cell r="C184">
            <v>372.5</v>
          </cell>
          <cell r="D184">
            <v>714.17</v>
          </cell>
          <cell r="E184">
            <v>372.49</v>
          </cell>
          <cell r="F184">
            <v>0</v>
          </cell>
          <cell r="G184">
            <v>0</v>
          </cell>
          <cell r="H184">
            <v>10</v>
          </cell>
          <cell r="I184">
            <v>31.01</v>
          </cell>
          <cell r="J184">
            <v>218.88</v>
          </cell>
          <cell r="K184">
            <v>260.17</v>
          </cell>
          <cell r="L184">
            <v>8</v>
          </cell>
          <cell r="M184">
            <v>228.07</v>
          </cell>
          <cell r="N184">
            <v>6</v>
          </cell>
          <cell r="P184">
            <v>2221.2900000000004</v>
          </cell>
        </row>
        <row r="185">
          <cell r="A185">
            <v>520101030009</v>
          </cell>
          <cell r="B185" t="str">
            <v xml:space="preserve">Telefonía celular ventas                                              </v>
          </cell>
          <cell r="C185">
            <v>194.95</v>
          </cell>
          <cell r="D185">
            <v>217.28</v>
          </cell>
          <cell r="E185">
            <v>347.31</v>
          </cell>
          <cell r="F185">
            <v>218.96</v>
          </cell>
          <cell r="G185">
            <v>224.43</v>
          </cell>
          <cell r="H185">
            <v>216.05</v>
          </cell>
          <cell r="I185">
            <v>227.7</v>
          </cell>
          <cell r="J185">
            <v>250.36</v>
          </cell>
          <cell r="K185">
            <v>250.2</v>
          </cell>
          <cell r="L185">
            <v>257.45</v>
          </cell>
          <cell r="M185">
            <v>266.44</v>
          </cell>
          <cell r="N185">
            <v>335.43</v>
          </cell>
          <cell r="P185">
            <v>3006.5599999999995</v>
          </cell>
        </row>
        <row r="186">
          <cell r="A186">
            <v>520101030010</v>
          </cell>
          <cell r="B186" t="str">
            <v xml:space="preserve">Suministros, materiales y repuestos Ventas                            </v>
          </cell>
          <cell r="C186">
            <v>0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  <cell r="I186">
            <v>124</v>
          </cell>
          <cell r="J186">
            <v>0</v>
          </cell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P186">
            <v>124</v>
          </cell>
        </row>
        <row r="187">
          <cell r="A187">
            <v>520101030011</v>
          </cell>
          <cell r="B187" t="str">
            <v xml:space="preserve">Suministros de oficina y comput ventas y diseño                       </v>
          </cell>
          <cell r="C187">
            <v>309.87</v>
          </cell>
          <cell r="D187">
            <v>0</v>
          </cell>
          <cell r="E187">
            <v>54</v>
          </cell>
          <cell r="F187">
            <v>0</v>
          </cell>
          <cell r="G187">
            <v>0</v>
          </cell>
          <cell r="H187">
            <v>0</v>
          </cell>
          <cell r="I187">
            <v>848.81</v>
          </cell>
          <cell r="J187">
            <v>545</v>
          </cell>
          <cell r="K187">
            <v>5490</v>
          </cell>
          <cell r="L187">
            <v>80.25</v>
          </cell>
          <cell r="M187">
            <v>1031.49</v>
          </cell>
          <cell r="N187">
            <v>108.68</v>
          </cell>
          <cell r="P187">
            <v>8468.1</v>
          </cell>
        </row>
        <row r="188">
          <cell r="A188">
            <v>520101030012</v>
          </cell>
          <cell r="B188" t="str">
            <v xml:space="preserve">Movilizacion Ventas                                                   </v>
          </cell>
          <cell r="C188">
            <v>0</v>
          </cell>
          <cell r="D188">
            <v>0</v>
          </cell>
          <cell r="E188">
            <v>12</v>
          </cell>
          <cell r="F188">
            <v>0</v>
          </cell>
          <cell r="G188">
            <v>0</v>
          </cell>
          <cell r="H188">
            <v>0</v>
          </cell>
          <cell r="I188">
            <v>0</v>
          </cell>
          <cell r="J188">
            <v>0</v>
          </cell>
          <cell r="K188">
            <v>0</v>
          </cell>
          <cell r="L188">
            <v>0</v>
          </cell>
          <cell r="M188">
            <v>10</v>
          </cell>
          <cell r="N188">
            <v>0</v>
          </cell>
          <cell r="P188">
            <v>22</v>
          </cell>
        </row>
        <row r="189">
          <cell r="A189">
            <v>520101030013</v>
          </cell>
          <cell r="B189" t="str">
            <v xml:space="preserve">Obsequios y muestras a clientes (autoconsumo)                         </v>
          </cell>
          <cell r="C189">
            <v>1332.98</v>
          </cell>
          <cell r="D189">
            <v>0</v>
          </cell>
          <cell r="E189">
            <v>330.08</v>
          </cell>
          <cell r="F189">
            <v>0</v>
          </cell>
          <cell r="G189">
            <v>39.07</v>
          </cell>
          <cell r="H189">
            <v>0</v>
          </cell>
          <cell r="I189">
            <v>362.69</v>
          </cell>
          <cell r="J189">
            <v>172.57</v>
          </cell>
          <cell r="K189">
            <v>25</v>
          </cell>
          <cell r="L189">
            <v>107.44</v>
          </cell>
          <cell r="M189">
            <v>29.64</v>
          </cell>
          <cell r="N189">
            <v>273.08</v>
          </cell>
          <cell r="P189">
            <v>2672.5499999999997</v>
          </cell>
        </row>
        <row r="190">
          <cell r="A190">
            <v>520101030014</v>
          </cell>
          <cell r="B190" t="str">
            <v xml:space="preserve">Gastos de depreciación de equipos de computación                      </v>
          </cell>
          <cell r="C190">
            <v>395.23</v>
          </cell>
          <cell r="D190">
            <v>395.23</v>
          </cell>
          <cell r="E190">
            <v>395.23</v>
          </cell>
          <cell r="F190">
            <v>276.70999999999998</v>
          </cell>
          <cell r="G190">
            <v>276.70999999999998</v>
          </cell>
          <cell r="H190">
            <v>276.70999999999998</v>
          </cell>
          <cell r="I190">
            <v>276.70999999999998</v>
          </cell>
          <cell r="J190">
            <v>276.70999999999998</v>
          </cell>
          <cell r="K190">
            <v>276.70999999999998</v>
          </cell>
          <cell r="L190">
            <v>276.70999999999998</v>
          </cell>
          <cell r="M190">
            <v>236.93</v>
          </cell>
          <cell r="N190">
            <v>229.13</v>
          </cell>
          <cell r="P190">
            <v>3588.7200000000003</v>
          </cell>
        </row>
        <row r="191">
          <cell r="A191">
            <v>520101030015</v>
          </cell>
          <cell r="B191" t="str">
            <v xml:space="preserve">Seguros vehículos ventas                                              </v>
          </cell>
          <cell r="C191">
            <v>86.74</v>
          </cell>
          <cell r="D191">
            <v>17.350000000000001</v>
          </cell>
          <cell r="E191">
            <v>0</v>
          </cell>
          <cell r="F191">
            <v>0</v>
          </cell>
          <cell r="G191">
            <v>0</v>
          </cell>
          <cell r="H191">
            <v>0</v>
          </cell>
          <cell r="I191">
            <v>0</v>
          </cell>
          <cell r="J191">
            <v>0</v>
          </cell>
          <cell r="K191">
            <v>0</v>
          </cell>
          <cell r="L191">
            <v>0</v>
          </cell>
          <cell r="M191">
            <v>0</v>
          </cell>
          <cell r="N191">
            <v>0</v>
          </cell>
          <cell r="P191">
            <v>104.09</v>
          </cell>
        </row>
        <row r="192">
          <cell r="A192">
            <v>520101030016</v>
          </cell>
          <cell r="B192" t="str">
            <v xml:space="preserve">Mantenimiento  Instalaciones                                          </v>
          </cell>
          <cell r="C192">
            <v>93.7</v>
          </cell>
          <cell r="D192">
            <v>0</v>
          </cell>
          <cell r="E192">
            <v>0</v>
          </cell>
          <cell r="F192">
            <v>0</v>
          </cell>
          <cell r="G192">
            <v>30</v>
          </cell>
          <cell r="H192">
            <v>1740</v>
          </cell>
          <cell r="I192">
            <v>1410.01</v>
          </cell>
          <cell r="J192">
            <v>0</v>
          </cell>
          <cell r="K192">
            <v>130</v>
          </cell>
          <cell r="L192">
            <v>0</v>
          </cell>
          <cell r="M192">
            <v>73.209999999999994</v>
          </cell>
          <cell r="N192">
            <v>0</v>
          </cell>
          <cell r="P192">
            <v>3476.92</v>
          </cell>
        </row>
        <row r="193">
          <cell r="A193">
            <v>520101030017</v>
          </cell>
          <cell r="B193" t="str">
            <v xml:space="preserve">Mantenimiento Muebles y equipos                                       </v>
          </cell>
          <cell r="C193">
            <v>1015</v>
          </cell>
          <cell r="D193">
            <v>0</v>
          </cell>
          <cell r="E193">
            <v>0</v>
          </cell>
          <cell r="F193">
            <v>0</v>
          </cell>
          <cell r="G193">
            <v>3042</v>
          </cell>
          <cell r="H193">
            <v>244.84</v>
          </cell>
          <cell r="I193">
            <v>1012</v>
          </cell>
          <cell r="J193">
            <v>1105</v>
          </cell>
          <cell r="K193">
            <v>95</v>
          </cell>
          <cell r="L193">
            <v>185</v>
          </cell>
          <cell r="M193">
            <v>90</v>
          </cell>
          <cell r="N193">
            <v>0</v>
          </cell>
          <cell r="P193">
            <v>6788.84</v>
          </cell>
        </row>
        <row r="194">
          <cell r="A194">
            <v>520101030018</v>
          </cell>
          <cell r="B194" t="str">
            <v xml:space="preserve">Gasto de Depreciacion Muebles y Enseres                               </v>
          </cell>
          <cell r="C194">
            <v>19.47</v>
          </cell>
          <cell r="D194">
            <v>19.47</v>
          </cell>
          <cell r="E194">
            <v>19.47</v>
          </cell>
          <cell r="F194">
            <v>19.47</v>
          </cell>
          <cell r="G194">
            <v>19.47</v>
          </cell>
          <cell r="H194">
            <v>19.47</v>
          </cell>
          <cell r="I194">
            <v>19.47</v>
          </cell>
          <cell r="J194">
            <v>19.47</v>
          </cell>
          <cell r="K194">
            <v>19.47</v>
          </cell>
          <cell r="L194">
            <v>19.47</v>
          </cell>
          <cell r="M194">
            <v>19.47</v>
          </cell>
          <cell r="N194">
            <v>16.16</v>
          </cell>
          <cell r="P194">
            <v>230.32999999999998</v>
          </cell>
        </row>
        <row r="195">
          <cell r="A195">
            <v>520101030019</v>
          </cell>
          <cell r="B195" t="str">
            <v xml:space="preserve">Gasto de Depreciacion de Vehiculos                                    </v>
          </cell>
          <cell r="C195">
            <v>414.58</v>
          </cell>
          <cell r="D195">
            <v>414.58</v>
          </cell>
          <cell r="E195">
            <v>414.58</v>
          </cell>
          <cell r="F195">
            <v>414.58</v>
          </cell>
          <cell r="G195">
            <v>414.58</v>
          </cell>
          <cell r="H195">
            <v>414.58</v>
          </cell>
          <cell r="I195">
            <v>414.58</v>
          </cell>
          <cell r="J195">
            <v>414.58</v>
          </cell>
          <cell r="K195">
            <v>414.58</v>
          </cell>
          <cell r="L195">
            <v>414.58</v>
          </cell>
          <cell r="M195">
            <v>414.58</v>
          </cell>
          <cell r="N195">
            <v>0</v>
          </cell>
          <cell r="P195">
            <v>4560.38</v>
          </cell>
        </row>
        <row r="196">
          <cell r="A196">
            <v>520101030020</v>
          </cell>
          <cell r="B196" t="str">
            <v xml:space="preserve">Otros pagos bienes y servicios ventas                                 </v>
          </cell>
          <cell r="C196">
            <v>150.27000000000001</v>
          </cell>
          <cell r="D196">
            <v>74.900000000000006</v>
          </cell>
          <cell r="E196">
            <v>17.86</v>
          </cell>
          <cell r="F196">
            <v>2946.42</v>
          </cell>
          <cell r="G196">
            <v>2095</v>
          </cell>
          <cell r="H196">
            <v>176.22</v>
          </cell>
          <cell r="I196">
            <v>231.3</v>
          </cell>
          <cell r="J196">
            <v>2397.5700000000002</v>
          </cell>
          <cell r="K196">
            <v>1718.12</v>
          </cell>
          <cell r="L196">
            <v>511.35</v>
          </cell>
          <cell r="M196">
            <v>938.25</v>
          </cell>
          <cell r="N196">
            <v>384.81</v>
          </cell>
          <cell r="P196">
            <v>11642.07</v>
          </cell>
        </row>
        <row r="197">
          <cell r="A197">
            <v>520101030021</v>
          </cell>
          <cell r="B197" t="str">
            <v xml:space="preserve">Mant equipos de computo                                               </v>
          </cell>
          <cell r="C197">
            <v>0</v>
          </cell>
          <cell r="D197">
            <v>0</v>
          </cell>
          <cell r="E197">
            <v>0</v>
          </cell>
          <cell r="F197">
            <v>0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  <cell r="K197">
            <v>755</v>
          </cell>
          <cell r="L197">
            <v>0</v>
          </cell>
          <cell r="M197">
            <v>0</v>
          </cell>
          <cell r="N197">
            <v>0</v>
          </cell>
          <cell r="P197">
            <v>755</v>
          </cell>
        </row>
        <row r="198">
          <cell r="A198">
            <v>520101030022</v>
          </cell>
          <cell r="B198" t="str">
            <v xml:space="preserve">Correo y Courrier                                                     </v>
          </cell>
          <cell r="C198">
            <v>2526.67</v>
          </cell>
          <cell r="D198">
            <v>1527.78</v>
          </cell>
          <cell r="E198">
            <v>1506.02</v>
          </cell>
          <cell r="F198">
            <v>739.26</v>
          </cell>
          <cell r="G198">
            <v>37.96</v>
          </cell>
          <cell r="H198">
            <v>5.76</v>
          </cell>
          <cell r="I198">
            <v>4206.53</v>
          </cell>
          <cell r="J198">
            <v>84.78</v>
          </cell>
          <cell r="K198">
            <v>83.05</v>
          </cell>
          <cell r="L198">
            <v>4303.97</v>
          </cell>
          <cell r="M198">
            <v>570.66</v>
          </cell>
          <cell r="N198">
            <v>2506.29</v>
          </cell>
          <cell r="P198">
            <v>18098.73</v>
          </cell>
        </row>
        <row r="199">
          <cell r="A199">
            <v>520101030023</v>
          </cell>
          <cell r="B199" t="str">
            <v xml:space="preserve">Iva No aplicado ( Gasto)                                              </v>
          </cell>
          <cell r="C199">
            <v>659.94</v>
          </cell>
          <cell r="D199">
            <v>332.38</v>
          </cell>
          <cell r="E199">
            <v>415.92</v>
          </cell>
          <cell r="F199">
            <v>505.17</v>
          </cell>
          <cell r="G199">
            <v>764.51</v>
          </cell>
          <cell r="H199">
            <v>552.29</v>
          </cell>
          <cell r="I199">
            <v>2664.99</v>
          </cell>
          <cell r="J199">
            <v>748.49</v>
          </cell>
          <cell r="K199">
            <v>2961.1</v>
          </cell>
          <cell r="L199">
            <v>2195.08</v>
          </cell>
          <cell r="M199">
            <v>573.61</v>
          </cell>
          <cell r="N199">
            <v>627.25</v>
          </cell>
          <cell r="P199">
            <v>13000.73</v>
          </cell>
        </row>
        <row r="200">
          <cell r="A200">
            <v>520101030024</v>
          </cell>
          <cell r="B200" t="str">
            <v xml:space="preserve">Seguros de Exportación                                                </v>
          </cell>
          <cell r="C200">
            <v>570.25</v>
          </cell>
          <cell r="D200">
            <v>570.25</v>
          </cell>
          <cell r="E200">
            <v>570.25</v>
          </cell>
          <cell r="F200">
            <v>570.25</v>
          </cell>
          <cell r="G200">
            <v>570.25</v>
          </cell>
          <cell r="H200">
            <v>0</v>
          </cell>
          <cell r="I200">
            <v>6830.38</v>
          </cell>
          <cell r="J200">
            <v>909.27</v>
          </cell>
          <cell r="K200">
            <v>900.34</v>
          </cell>
          <cell r="L200">
            <v>900.34</v>
          </cell>
          <cell r="M200">
            <v>900.34</v>
          </cell>
          <cell r="N200">
            <v>950.79</v>
          </cell>
          <cell r="P200">
            <v>14242.710000000003</v>
          </cell>
        </row>
        <row r="201">
          <cell r="A201">
            <v>5202</v>
          </cell>
          <cell r="B201" t="str">
            <v xml:space="preserve">GASTOS DE ADMINISTRATIVOS                                             </v>
          </cell>
          <cell r="C201">
            <v>142105.71</v>
          </cell>
          <cell r="D201">
            <v>90855.73</v>
          </cell>
          <cell r="E201">
            <v>80007.649999999994</v>
          </cell>
          <cell r="F201">
            <v>88353.75</v>
          </cell>
          <cell r="G201">
            <v>143873.51</v>
          </cell>
          <cell r="H201">
            <v>90377.72</v>
          </cell>
          <cell r="I201">
            <v>103763.89</v>
          </cell>
          <cell r="J201">
            <v>97631.75</v>
          </cell>
          <cell r="K201">
            <v>173753.63</v>
          </cell>
          <cell r="L201">
            <v>130432.4</v>
          </cell>
          <cell r="M201">
            <v>154703.48000000001</v>
          </cell>
          <cell r="N201">
            <v>300195.37</v>
          </cell>
          <cell r="P201">
            <v>1596054.5899999999</v>
          </cell>
        </row>
        <row r="202">
          <cell r="A202">
            <v>520201</v>
          </cell>
          <cell r="B202" t="str">
            <v xml:space="preserve">SUELDOS, SALARIOS Y DEMÁS REMUNERACIONES                              </v>
          </cell>
          <cell r="C202">
            <v>32714.37</v>
          </cell>
          <cell r="D202">
            <v>31403.43</v>
          </cell>
          <cell r="E202">
            <v>31340.3</v>
          </cell>
          <cell r="F202">
            <v>29586.02</v>
          </cell>
          <cell r="G202">
            <v>32312.16</v>
          </cell>
          <cell r="H202">
            <v>30837.97</v>
          </cell>
          <cell r="I202">
            <v>32081.17</v>
          </cell>
          <cell r="J202">
            <v>33169.25</v>
          </cell>
          <cell r="K202">
            <v>31752.05</v>
          </cell>
          <cell r="L202">
            <v>32114.6</v>
          </cell>
          <cell r="M202">
            <v>31609.360000000001</v>
          </cell>
          <cell r="N202">
            <v>81252.259999999995</v>
          </cell>
          <cell r="P202">
            <v>430172.93999999994</v>
          </cell>
        </row>
        <row r="203">
          <cell r="A203">
            <v>52020101</v>
          </cell>
          <cell r="B203" t="str">
            <v xml:space="preserve">GASTOS DE NOMINA DE ADMINISTRACION                                    </v>
          </cell>
          <cell r="C203">
            <v>31331.62</v>
          </cell>
          <cell r="D203">
            <v>30415.919999999998</v>
          </cell>
          <cell r="E203">
            <v>29808.67</v>
          </cell>
          <cell r="F203">
            <v>26517.31</v>
          </cell>
          <cell r="G203">
            <v>28218.25</v>
          </cell>
          <cell r="H203">
            <v>29813.85</v>
          </cell>
          <cell r="I203">
            <v>31202.85</v>
          </cell>
          <cell r="J203">
            <v>31107.61</v>
          </cell>
          <cell r="K203">
            <v>30730.81</v>
          </cell>
          <cell r="L203">
            <v>31064.01</v>
          </cell>
          <cell r="M203">
            <v>30807.66</v>
          </cell>
          <cell r="N203">
            <v>48618.67</v>
          </cell>
          <cell r="P203">
            <v>379637.23</v>
          </cell>
        </row>
        <row r="204">
          <cell r="A204">
            <v>520201010001</v>
          </cell>
          <cell r="B204" t="str">
            <v xml:space="preserve">Sueldos                                                               </v>
          </cell>
          <cell r="C204">
            <v>21894.14</v>
          </cell>
          <cell r="D204">
            <v>21331.38</v>
          </cell>
          <cell r="E204">
            <v>20611.509999999998</v>
          </cell>
          <cell r="F204">
            <v>19537.759999999998</v>
          </cell>
          <cell r="G204">
            <v>19125.259999999998</v>
          </cell>
          <cell r="H204">
            <v>20525.259999999998</v>
          </cell>
          <cell r="I204">
            <v>21309.43</v>
          </cell>
          <cell r="J204">
            <v>21171.09</v>
          </cell>
          <cell r="K204">
            <v>20676.09</v>
          </cell>
          <cell r="L204">
            <v>20271.09</v>
          </cell>
          <cell r="M204">
            <v>20339.98</v>
          </cell>
          <cell r="N204">
            <v>19317.75</v>
          </cell>
          <cell r="P204">
            <v>246110.74</v>
          </cell>
        </row>
        <row r="205">
          <cell r="A205">
            <v>520201010002</v>
          </cell>
          <cell r="B205" t="str">
            <v xml:space="preserve">Sobretiempos                                                          </v>
          </cell>
          <cell r="C205">
            <v>1011.77</v>
          </cell>
          <cell r="D205">
            <v>910.44</v>
          </cell>
          <cell r="E205">
            <v>632.78</v>
          </cell>
          <cell r="F205">
            <v>131.93</v>
          </cell>
          <cell r="G205">
            <v>339.85</v>
          </cell>
          <cell r="H205">
            <v>582.84</v>
          </cell>
          <cell r="I205">
            <v>427.89</v>
          </cell>
          <cell r="J205">
            <v>414.9</v>
          </cell>
          <cell r="K205">
            <v>661.54</v>
          </cell>
          <cell r="L205">
            <v>817.59</v>
          </cell>
          <cell r="M205">
            <v>916.57</v>
          </cell>
          <cell r="N205">
            <v>541.83000000000004</v>
          </cell>
          <cell r="P205">
            <v>7389.9299999999994</v>
          </cell>
        </row>
        <row r="206">
          <cell r="A206">
            <v>520201010003</v>
          </cell>
          <cell r="B206" t="str">
            <v xml:space="preserve">Aporte Patronal 12.15%                                                </v>
          </cell>
          <cell r="C206">
            <v>2783.09</v>
          </cell>
          <cell r="D206">
            <v>2702.4</v>
          </cell>
          <cell r="E206">
            <v>2626.45</v>
          </cell>
          <cell r="F206">
            <v>2389.9</v>
          </cell>
          <cell r="G206">
            <v>2365.0500000000002</v>
          </cell>
          <cell r="H206">
            <v>2564.6799999999998</v>
          </cell>
          <cell r="I206">
            <v>2641.64</v>
          </cell>
          <cell r="J206">
            <v>2609.27</v>
          </cell>
          <cell r="K206">
            <v>2646.74</v>
          </cell>
          <cell r="L206">
            <v>2668.68</v>
          </cell>
          <cell r="M206">
            <v>2708.93</v>
          </cell>
          <cell r="N206">
            <v>2573.5500000000002</v>
          </cell>
          <cell r="P206">
            <v>31280.38</v>
          </cell>
        </row>
        <row r="207">
          <cell r="A207">
            <v>520201010004</v>
          </cell>
          <cell r="B207" t="str">
            <v xml:space="preserve">Fondo de Reserva                                                      </v>
          </cell>
          <cell r="C207">
            <v>1299.81</v>
          </cell>
          <cell r="D207">
            <v>1407.93</v>
          </cell>
          <cell r="E207">
            <v>1417.94</v>
          </cell>
          <cell r="F207">
            <v>1363.53</v>
          </cell>
          <cell r="G207">
            <v>1384.05</v>
          </cell>
          <cell r="H207">
            <v>1540.66</v>
          </cell>
          <cell r="I207">
            <v>1525.84</v>
          </cell>
          <cell r="J207">
            <v>1581</v>
          </cell>
          <cell r="K207">
            <v>1595.3</v>
          </cell>
          <cell r="L207">
            <v>1607.45</v>
          </cell>
          <cell r="M207">
            <v>1631.13</v>
          </cell>
          <cell r="N207">
            <v>1605.85</v>
          </cell>
          <cell r="P207">
            <v>17960.489999999998</v>
          </cell>
        </row>
        <row r="208">
          <cell r="A208">
            <v>520201010005</v>
          </cell>
          <cell r="B208" t="str">
            <v xml:space="preserve">Decimo Tercer Sueldo                                                  </v>
          </cell>
          <cell r="C208">
            <v>1908.82</v>
          </cell>
          <cell r="D208">
            <v>1853.48</v>
          </cell>
          <cell r="E208">
            <v>1801.38</v>
          </cell>
          <cell r="F208">
            <v>1639.12</v>
          </cell>
          <cell r="G208">
            <v>1622.08</v>
          </cell>
          <cell r="H208">
            <v>1759.01</v>
          </cell>
          <cell r="I208">
            <v>1765.88</v>
          </cell>
          <cell r="J208">
            <v>1787.72</v>
          </cell>
          <cell r="K208">
            <v>1767.01</v>
          </cell>
          <cell r="L208">
            <v>1733.77</v>
          </cell>
          <cell r="M208">
            <v>1743.67</v>
          </cell>
          <cell r="N208">
            <v>1621.52</v>
          </cell>
          <cell r="P208">
            <v>21003.460000000003</v>
          </cell>
        </row>
        <row r="209">
          <cell r="A209">
            <v>520201010006</v>
          </cell>
          <cell r="B209" t="str">
            <v xml:space="preserve">Decimo Cuarto Sueldo                                                  </v>
          </cell>
          <cell r="C209">
            <v>833.25</v>
          </cell>
          <cell r="D209">
            <v>633.25</v>
          </cell>
          <cell r="E209">
            <v>798.81</v>
          </cell>
          <cell r="F209">
            <v>766.59</v>
          </cell>
          <cell r="G209">
            <v>766.59</v>
          </cell>
          <cell r="H209">
            <v>797.7</v>
          </cell>
          <cell r="I209">
            <v>766.59</v>
          </cell>
          <cell r="J209">
            <v>766.59</v>
          </cell>
          <cell r="K209">
            <v>627.72</v>
          </cell>
          <cell r="L209">
            <v>733.26</v>
          </cell>
          <cell r="M209">
            <v>733.26</v>
          </cell>
          <cell r="N209">
            <v>696.6</v>
          </cell>
          <cell r="P209">
            <v>8920.2100000000009</v>
          </cell>
        </row>
        <row r="210">
          <cell r="A210">
            <v>520201010007</v>
          </cell>
          <cell r="B210" t="str">
            <v xml:space="preserve">Vacaciones                                                            </v>
          </cell>
          <cell r="C210">
            <v>912.26</v>
          </cell>
          <cell r="D210">
            <v>888.56</v>
          </cell>
          <cell r="E210">
            <v>858.82</v>
          </cell>
          <cell r="F210">
            <v>0</v>
          </cell>
          <cell r="G210">
            <v>1926.89</v>
          </cell>
          <cell r="H210">
            <v>1355.22</v>
          </cell>
          <cell r="I210">
            <v>865.12</v>
          </cell>
          <cell r="J210">
            <v>876.58</v>
          </cell>
          <cell r="K210">
            <v>855.95</v>
          </cell>
          <cell r="L210">
            <v>1331.71</v>
          </cell>
          <cell r="M210">
            <v>833.66</v>
          </cell>
          <cell r="N210">
            <v>18901.09</v>
          </cell>
          <cell r="P210">
            <v>29605.86</v>
          </cell>
        </row>
        <row r="211">
          <cell r="A211">
            <v>520201010008</v>
          </cell>
          <cell r="B211" t="str">
            <v xml:space="preserve">Desahucio Administración                                              </v>
          </cell>
          <cell r="C211">
            <v>168.51</v>
          </cell>
          <cell r="D211">
            <v>168.51</v>
          </cell>
          <cell r="E211">
            <v>168.51</v>
          </cell>
          <cell r="F211">
            <v>168.51</v>
          </cell>
          <cell r="G211">
            <v>168.51</v>
          </cell>
          <cell r="H211">
            <v>168.51</v>
          </cell>
          <cell r="I211">
            <v>662.21</v>
          </cell>
          <cell r="J211">
            <v>662.21</v>
          </cell>
          <cell r="K211">
            <v>662.21</v>
          </cell>
          <cell r="L211">
            <v>662.21</v>
          </cell>
          <cell r="M211">
            <v>662.21</v>
          </cell>
          <cell r="N211">
            <v>1484.91</v>
          </cell>
          <cell r="P211">
            <v>5807.02</v>
          </cell>
        </row>
        <row r="212">
          <cell r="A212">
            <v>520201010010</v>
          </cell>
          <cell r="B212" t="str">
            <v xml:space="preserve">Bonificaciones Voluntarias Administración                             </v>
          </cell>
          <cell r="C212">
            <v>0</v>
          </cell>
          <cell r="D212">
            <v>0</v>
          </cell>
          <cell r="E212">
            <v>372.5</v>
          </cell>
          <cell r="F212">
            <v>0</v>
          </cell>
          <cell r="G212">
            <v>0</v>
          </cell>
          <cell r="H212">
            <v>0</v>
          </cell>
          <cell r="I212">
            <v>0</v>
          </cell>
          <cell r="J212">
            <v>0</v>
          </cell>
          <cell r="K212">
            <v>0</v>
          </cell>
          <cell r="L212">
            <v>0</v>
          </cell>
          <cell r="M212">
            <v>0</v>
          </cell>
          <cell r="N212">
            <v>0</v>
          </cell>
          <cell r="P212">
            <v>372.5</v>
          </cell>
        </row>
        <row r="213">
          <cell r="A213">
            <v>520201010011</v>
          </cell>
          <cell r="B213" t="str">
            <v xml:space="preserve">Jubilación Patronal Administración                                    </v>
          </cell>
          <cell r="C213">
            <v>519.97</v>
          </cell>
          <cell r="D213">
            <v>519.97</v>
          </cell>
          <cell r="E213">
            <v>519.97</v>
          </cell>
          <cell r="F213">
            <v>519.97</v>
          </cell>
          <cell r="G213">
            <v>519.97</v>
          </cell>
          <cell r="H213">
            <v>519.97</v>
          </cell>
          <cell r="I213">
            <v>1238.25</v>
          </cell>
          <cell r="J213">
            <v>1238.25</v>
          </cell>
          <cell r="K213">
            <v>1238.25</v>
          </cell>
          <cell r="L213">
            <v>1238.25</v>
          </cell>
          <cell r="M213">
            <v>1238.25</v>
          </cell>
          <cell r="N213">
            <v>1875.57</v>
          </cell>
          <cell r="P213">
            <v>11186.64</v>
          </cell>
        </row>
        <row r="214">
          <cell r="A214">
            <v>52020102</v>
          </cell>
          <cell r="B214" t="str">
            <v xml:space="preserve">OTRAS GASTOS DE PERSONAL                                              </v>
          </cell>
          <cell r="C214">
            <v>1382.75</v>
          </cell>
          <cell r="D214">
            <v>987.51</v>
          </cell>
          <cell r="E214">
            <v>1531.63</v>
          </cell>
          <cell r="F214">
            <v>3068.71</v>
          </cell>
          <cell r="G214">
            <v>4093.91</v>
          </cell>
          <cell r="H214">
            <v>1024.1199999999999</v>
          </cell>
          <cell r="I214">
            <v>878.32</v>
          </cell>
          <cell r="J214">
            <v>2061.64</v>
          </cell>
          <cell r="K214">
            <v>1021.24</v>
          </cell>
          <cell r="L214">
            <v>1050.5899999999999</v>
          </cell>
          <cell r="M214">
            <v>801.7</v>
          </cell>
          <cell r="N214">
            <v>32633.59</v>
          </cell>
          <cell r="P214">
            <v>50535.71</v>
          </cell>
        </row>
        <row r="215">
          <cell r="A215">
            <v>520201020002</v>
          </cell>
          <cell r="B215" t="str">
            <v xml:space="preserve">Alimentacion Administración                                           </v>
          </cell>
          <cell r="C215">
            <v>923.77</v>
          </cell>
          <cell r="D215">
            <v>987.51</v>
          </cell>
          <cell r="E215">
            <v>831.63</v>
          </cell>
          <cell r="F215">
            <v>1664.32</v>
          </cell>
          <cell r="G215">
            <v>2978.14</v>
          </cell>
          <cell r="H215">
            <v>567.85</v>
          </cell>
          <cell r="I215">
            <v>768.03</v>
          </cell>
          <cell r="J215">
            <v>1007.64</v>
          </cell>
          <cell r="K215">
            <v>871.24</v>
          </cell>
          <cell r="L215">
            <v>750.59</v>
          </cell>
          <cell r="M215">
            <v>741.7</v>
          </cell>
          <cell r="N215">
            <v>469.1</v>
          </cell>
          <cell r="P215">
            <v>12561.52</v>
          </cell>
        </row>
        <row r="216">
          <cell r="A216">
            <v>520201020003</v>
          </cell>
          <cell r="B216" t="str">
            <v xml:space="preserve">Movilizacion/Transp de Personal Administración                        </v>
          </cell>
          <cell r="C216">
            <v>60</v>
          </cell>
          <cell r="D216">
            <v>0</v>
          </cell>
          <cell r="E216">
            <v>60</v>
          </cell>
          <cell r="F216">
            <v>120</v>
          </cell>
          <cell r="G216">
            <v>60</v>
          </cell>
          <cell r="H216">
            <v>60</v>
          </cell>
          <cell r="I216">
            <v>60</v>
          </cell>
          <cell r="J216">
            <v>60</v>
          </cell>
          <cell r="K216">
            <v>60</v>
          </cell>
          <cell r="L216">
            <v>60</v>
          </cell>
          <cell r="M216">
            <v>60</v>
          </cell>
          <cell r="N216">
            <v>60</v>
          </cell>
          <cell r="P216">
            <v>720</v>
          </cell>
        </row>
        <row r="217">
          <cell r="A217">
            <v>520201020004</v>
          </cell>
          <cell r="B217" t="str">
            <v xml:space="preserve">Gastos Médicos ventas y administración                                </v>
          </cell>
          <cell r="C217">
            <v>138.97999999999999</v>
          </cell>
          <cell r="D217">
            <v>0</v>
          </cell>
          <cell r="E217">
            <v>0</v>
          </cell>
          <cell r="F217">
            <v>1284.3900000000001</v>
          </cell>
          <cell r="G217">
            <v>1055.77</v>
          </cell>
          <cell r="H217">
            <v>261.27</v>
          </cell>
          <cell r="I217">
            <v>50.29</v>
          </cell>
          <cell r="J217">
            <v>0</v>
          </cell>
          <cell r="K217">
            <v>0</v>
          </cell>
          <cell r="L217">
            <v>0</v>
          </cell>
          <cell r="M217">
            <v>0</v>
          </cell>
          <cell r="N217">
            <v>305.5</v>
          </cell>
          <cell r="P217">
            <v>3096.2000000000003</v>
          </cell>
        </row>
        <row r="218">
          <cell r="A218">
            <v>520201020006</v>
          </cell>
          <cell r="B218" t="str">
            <v xml:space="preserve">Capacitación y Seminarios Administración                              </v>
          </cell>
          <cell r="C218">
            <v>260</v>
          </cell>
          <cell r="D218">
            <v>0</v>
          </cell>
          <cell r="E218">
            <v>640</v>
          </cell>
          <cell r="F218">
            <v>0</v>
          </cell>
          <cell r="G218">
            <v>0</v>
          </cell>
          <cell r="H218">
            <v>135</v>
          </cell>
          <cell r="I218">
            <v>0</v>
          </cell>
          <cell r="J218">
            <v>994</v>
          </cell>
          <cell r="K218">
            <v>90</v>
          </cell>
          <cell r="L218">
            <v>240</v>
          </cell>
          <cell r="M218">
            <v>0</v>
          </cell>
          <cell r="N218">
            <v>204</v>
          </cell>
          <cell r="P218">
            <v>2563</v>
          </cell>
        </row>
        <row r="219">
          <cell r="A219">
            <v>520201020007</v>
          </cell>
          <cell r="B219" t="str">
            <v xml:space="preserve">Agasajo al Personal Administración                                    </v>
          </cell>
          <cell r="C219">
            <v>0</v>
          </cell>
          <cell r="D219">
            <v>0</v>
          </cell>
          <cell r="E219">
            <v>0</v>
          </cell>
          <cell r="F219">
            <v>0</v>
          </cell>
          <cell r="G219">
            <v>0</v>
          </cell>
          <cell r="H219">
            <v>0</v>
          </cell>
          <cell r="I219">
            <v>0</v>
          </cell>
          <cell r="J219">
            <v>0</v>
          </cell>
          <cell r="K219">
            <v>0</v>
          </cell>
          <cell r="L219">
            <v>0</v>
          </cell>
          <cell r="M219">
            <v>0</v>
          </cell>
          <cell r="N219">
            <v>31594.99</v>
          </cell>
          <cell r="P219">
            <v>31594.99</v>
          </cell>
        </row>
        <row r="220">
          <cell r="A220">
            <v>520202</v>
          </cell>
          <cell r="B220" t="str">
            <v xml:space="preserve">HONORARIOS, COMISIONES Y DIETAS                                       </v>
          </cell>
          <cell r="C220">
            <v>20420.12</v>
          </cell>
          <cell r="D220">
            <v>13857.26</v>
          </cell>
          <cell r="E220">
            <v>10300</v>
          </cell>
          <cell r="F220">
            <v>11741.73</v>
          </cell>
          <cell r="G220">
            <v>13519.18</v>
          </cell>
          <cell r="H220">
            <v>14817.37</v>
          </cell>
          <cell r="I220">
            <v>10853.8</v>
          </cell>
          <cell r="J220">
            <v>10854.48</v>
          </cell>
          <cell r="K220">
            <v>68132.679999999993</v>
          </cell>
          <cell r="L220">
            <v>40202.35</v>
          </cell>
          <cell r="M220">
            <v>59970.12</v>
          </cell>
          <cell r="N220">
            <v>106930.77</v>
          </cell>
          <cell r="P220">
            <v>381599.86000000004</v>
          </cell>
        </row>
        <row r="221">
          <cell r="A221">
            <v>52020201</v>
          </cell>
          <cell r="B221" t="str">
            <v xml:space="preserve">HONORARIOS                                                            </v>
          </cell>
          <cell r="C221">
            <v>20420.12</v>
          </cell>
          <cell r="D221">
            <v>13857.26</v>
          </cell>
          <cell r="E221">
            <v>10300</v>
          </cell>
          <cell r="F221">
            <v>11741.73</v>
          </cell>
          <cell r="G221">
            <v>13519.18</v>
          </cell>
          <cell r="H221">
            <v>14817.37</v>
          </cell>
          <cell r="I221">
            <v>10853.8</v>
          </cell>
          <cell r="J221">
            <v>10854.48</v>
          </cell>
          <cell r="K221">
            <v>68132.679999999993</v>
          </cell>
          <cell r="L221">
            <v>40202.35</v>
          </cell>
          <cell r="M221">
            <v>59970.12</v>
          </cell>
          <cell r="N221">
            <v>106930.77</v>
          </cell>
          <cell r="P221">
            <v>381599.86000000004</v>
          </cell>
        </row>
        <row r="222">
          <cell r="A222">
            <v>520202010001</v>
          </cell>
          <cell r="B222" t="str">
            <v xml:space="preserve">Honorarios Profesionales                                              </v>
          </cell>
          <cell r="C222">
            <v>20170.12</v>
          </cell>
          <cell r="D222">
            <v>13857.26</v>
          </cell>
          <cell r="E222">
            <v>10300</v>
          </cell>
          <cell r="F222">
            <v>10926.73</v>
          </cell>
          <cell r="G222">
            <v>11829.18</v>
          </cell>
          <cell r="H222">
            <v>14787.37</v>
          </cell>
          <cell r="I222">
            <v>10853.8</v>
          </cell>
          <cell r="J222">
            <v>10851.08</v>
          </cell>
          <cell r="K222">
            <v>68132.679999999993</v>
          </cell>
          <cell r="L222">
            <v>40202.35</v>
          </cell>
          <cell r="M222">
            <v>56913.8</v>
          </cell>
          <cell r="N222">
            <v>92230.77</v>
          </cell>
          <cell r="P222">
            <v>361055.14</v>
          </cell>
        </row>
        <row r="223">
          <cell r="A223">
            <v>520202010002</v>
          </cell>
          <cell r="B223" t="str">
            <v xml:space="preserve">Servicios de Contabilidad - Asesorias                                 </v>
          </cell>
          <cell r="C223">
            <v>0</v>
          </cell>
          <cell r="D223">
            <v>0</v>
          </cell>
          <cell r="E223">
            <v>0</v>
          </cell>
          <cell r="F223">
            <v>0</v>
          </cell>
          <cell r="G223">
            <v>0</v>
          </cell>
          <cell r="H223">
            <v>30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  <cell r="N223">
            <v>13000</v>
          </cell>
          <cell r="P223">
            <v>13030</v>
          </cell>
        </row>
        <row r="224">
          <cell r="A224">
            <v>520202010005</v>
          </cell>
          <cell r="B224" t="str">
            <v xml:space="preserve">Auditorías                                                            </v>
          </cell>
          <cell r="C224">
            <v>250</v>
          </cell>
          <cell r="D224">
            <v>0</v>
          </cell>
          <cell r="E224">
            <v>0</v>
          </cell>
          <cell r="F224">
            <v>815</v>
          </cell>
          <cell r="G224">
            <v>1690</v>
          </cell>
          <cell r="H224">
            <v>0</v>
          </cell>
          <cell r="I224">
            <v>0</v>
          </cell>
          <cell r="J224">
            <v>3.4</v>
          </cell>
          <cell r="K224">
            <v>0</v>
          </cell>
          <cell r="L224">
            <v>0</v>
          </cell>
          <cell r="M224">
            <v>3056.32</v>
          </cell>
          <cell r="N224">
            <v>1700</v>
          </cell>
          <cell r="P224">
            <v>7514.72</v>
          </cell>
        </row>
        <row r="225">
          <cell r="A225">
            <v>520203</v>
          </cell>
          <cell r="B225" t="str">
            <v xml:space="preserve">MANTENIMIENTO Y REPARACIONES                                          </v>
          </cell>
          <cell r="C225">
            <v>2815.25</v>
          </cell>
          <cell r="D225">
            <v>3965.07</v>
          </cell>
          <cell r="E225">
            <v>1633.33</v>
          </cell>
          <cell r="F225">
            <v>1121.17</v>
          </cell>
          <cell r="G225">
            <v>11301.93</v>
          </cell>
          <cell r="H225">
            <v>2285.25</v>
          </cell>
          <cell r="I225">
            <v>1844.35</v>
          </cell>
          <cell r="J225">
            <v>6944.55</v>
          </cell>
          <cell r="K225">
            <v>4467.1499999999996</v>
          </cell>
          <cell r="L225">
            <v>1894.13</v>
          </cell>
          <cell r="M225">
            <v>4328.1899999999996</v>
          </cell>
          <cell r="N225">
            <v>2442.9699999999998</v>
          </cell>
          <cell r="P225">
            <v>45043.34</v>
          </cell>
        </row>
        <row r="226">
          <cell r="A226">
            <v>52020301</v>
          </cell>
          <cell r="B226" t="str">
            <v xml:space="preserve">MANTENIMIENTO                                                         </v>
          </cell>
          <cell r="C226">
            <v>2815.25</v>
          </cell>
          <cell r="D226">
            <v>3965.07</v>
          </cell>
          <cell r="E226">
            <v>1633.33</v>
          </cell>
          <cell r="F226">
            <v>1121.17</v>
          </cell>
          <cell r="G226">
            <v>11301.93</v>
          </cell>
          <cell r="H226">
            <v>2285.25</v>
          </cell>
          <cell r="I226">
            <v>1844.35</v>
          </cell>
          <cell r="J226">
            <v>6944.55</v>
          </cell>
          <cell r="K226">
            <v>4467.1499999999996</v>
          </cell>
          <cell r="L226">
            <v>1894.13</v>
          </cell>
          <cell r="M226">
            <v>4328.1899999999996</v>
          </cell>
          <cell r="N226">
            <v>2442.9699999999998</v>
          </cell>
          <cell r="P226">
            <v>45043.34</v>
          </cell>
        </row>
        <row r="227">
          <cell r="A227">
            <v>520203010001</v>
          </cell>
          <cell r="B227" t="str">
            <v xml:space="preserve">Mantenimiento de Edificios y oficinas Administración                  </v>
          </cell>
          <cell r="C227">
            <v>180</v>
          </cell>
          <cell r="D227">
            <v>1056.95</v>
          </cell>
          <cell r="E227">
            <v>800</v>
          </cell>
          <cell r="F227">
            <v>0</v>
          </cell>
          <cell r="G227">
            <v>0</v>
          </cell>
          <cell r="H227">
            <v>0</v>
          </cell>
          <cell r="I227">
            <v>0</v>
          </cell>
          <cell r="J227">
            <v>0</v>
          </cell>
          <cell r="K227">
            <v>0</v>
          </cell>
          <cell r="L227">
            <v>200</v>
          </cell>
          <cell r="M227">
            <v>0</v>
          </cell>
          <cell r="N227">
            <v>0</v>
          </cell>
          <cell r="P227">
            <v>2236.9499999999998</v>
          </cell>
        </row>
        <row r="228">
          <cell r="A228">
            <v>520203010002</v>
          </cell>
          <cell r="B228" t="str">
            <v xml:space="preserve">Mantenimiento Instalaciones                                           </v>
          </cell>
          <cell r="C228">
            <v>1024.97</v>
          </cell>
          <cell r="D228">
            <v>567.14</v>
          </cell>
          <cell r="E228">
            <v>0</v>
          </cell>
          <cell r="F228">
            <v>0</v>
          </cell>
          <cell r="G228">
            <v>45</v>
          </cell>
          <cell r="H228">
            <v>0</v>
          </cell>
          <cell r="I228">
            <v>150</v>
          </cell>
          <cell r="J228">
            <v>881.12</v>
          </cell>
          <cell r="K228">
            <v>0</v>
          </cell>
          <cell r="L228">
            <v>0</v>
          </cell>
          <cell r="M228">
            <v>0</v>
          </cell>
          <cell r="N228">
            <v>760.61</v>
          </cell>
          <cell r="P228">
            <v>3428.84</v>
          </cell>
        </row>
        <row r="229">
          <cell r="A229">
            <v>520203010003</v>
          </cell>
          <cell r="B229" t="str">
            <v xml:space="preserve">Mant. Vehiculos Administracion                                        </v>
          </cell>
          <cell r="C229">
            <v>768.95</v>
          </cell>
          <cell r="D229">
            <v>422.05</v>
          </cell>
          <cell r="E229">
            <v>10</v>
          </cell>
          <cell r="F229">
            <v>325.63</v>
          </cell>
          <cell r="G229">
            <v>178.23</v>
          </cell>
          <cell r="H229">
            <v>69.84</v>
          </cell>
          <cell r="I229">
            <v>1156.1500000000001</v>
          </cell>
          <cell r="J229">
            <v>1616.99</v>
          </cell>
          <cell r="K229">
            <v>1025.42</v>
          </cell>
          <cell r="L229">
            <v>0</v>
          </cell>
          <cell r="M229">
            <v>2644.7</v>
          </cell>
          <cell r="N229">
            <v>0</v>
          </cell>
          <cell r="P229">
            <v>8217.9599999999991</v>
          </cell>
        </row>
        <row r="230">
          <cell r="A230">
            <v>520203010004</v>
          </cell>
          <cell r="B230" t="str">
            <v xml:space="preserve">Mantenimiento Muebles y Equipos Administración                        </v>
          </cell>
          <cell r="C230">
            <v>40</v>
          </cell>
          <cell r="D230">
            <v>1135</v>
          </cell>
          <cell r="E230">
            <v>380</v>
          </cell>
          <cell r="F230">
            <v>158</v>
          </cell>
          <cell r="G230">
            <v>3355</v>
          </cell>
          <cell r="H230">
            <v>1380</v>
          </cell>
          <cell r="I230">
            <v>320.97000000000003</v>
          </cell>
          <cell r="J230">
            <v>30</v>
          </cell>
          <cell r="K230">
            <v>2612.9</v>
          </cell>
          <cell r="L230">
            <v>1002</v>
          </cell>
          <cell r="M230">
            <v>1000</v>
          </cell>
          <cell r="N230">
            <v>1178</v>
          </cell>
          <cell r="P230">
            <v>12591.87</v>
          </cell>
        </row>
        <row r="231">
          <cell r="A231">
            <v>520203010005</v>
          </cell>
          <cell r="B231" t="str">
            <v xml:space="preserve">Combustibles Administración                                           </v>
          </cell>
          <cell r="C231">
            <v>724.56</v>
          </cell>
          <cell r="D231">
            <v>783.93</v>
          </cell>
          <cell r="E231">
            <v>443.33</v>
          </cell>
          <cell r="F231">
            <v>637.54</v>
          </cell>
          <cell r="G231">
            <v>209.51</v>
          </cell>
          <cell r="H231">
            <v>682.1</v>
          </cell>
          <cell r="I231">
            <v>360.97</v>
          </cell>
          <cell r="J231">
            <v>579.79</v>
          </cell>
          <cell r="K231">
            <v>647.84</v>
          </cell>
          <cell r="L231">
            <v>692.13</v>
          </cell>
          <cell r="M231">
            <v>683.49</v>
          </cell>
          <cell r="N231">
            <v>504.36</v>
          </cell>
          <cell r="P231">
            <v>6949.5499999999993</v>
          </cell>
        </row>
        <row r="232">
          <cell r="A232">
            <v>520203010007</v>
          </cell>
          <cell r="B232" t="str">
            <v xml:space="preserve">Matricula e impuestos  vehicular  Adm                                 </v>
          </cell>
          <cell r="C232">
            <v>76.77</v>
          </cell>
          <cell r="D232">
            <v>0</v>
          </cell>
          <cell r="E232">
            <v>0</v>
          </cell>
          <cell r="F232">
            <v>0</v>
          </cell>
          <cell r="G232">
            <v>7514.19</v>
          </cell>
          <cell r="H232">
            <v>153.31</v>
          </cell>
          <cell r="I232">
            <v>-143.74</v>
          </cell>
          <cell r="J232">
            <v>3836.65</v>
          </cell>
          <cell r="K232">
            <v>180.99</v>
          </cell>
          <cell r="L232">
            <v>0</v>
          </cell>
          <cell r="M232">
            <v>0</v>
          </cell>
          <cell r="N232">
            <v>0</v>
          </cell>
          <cell r="P232">
            <v>11618.17</v>
          </cell>
        </row>
        <row r="233">
          <cell r="A233">
            <v>520204</v>
          </cell>
          <cell r="B233" t="str">
            <v xml:space="preserve">SEGUROS Y REASEGUROS                                                  </v>
          </cell>
          <cell r="C233">
            <v>863.49</v>
          </cell>
          <cell r="D233">
            <v>141.5</v>
          </cell>
          <cell r="E233">
            <v>0</v>
          </cell>
          <cell r="F233">
            <v>35.54</v>
          </cell>
          <cell r="G233">
            <v>17.77</v>
          </cell>
          <cell r="H233">
            <v>1267.68</v>
          </cell>
          <cell r="I233">
            <v>0</v>
          </cell>
          <cell r="J233">
            <v>3190.36</v>
          </cell>
          <cell r="K233">
            <v>1578.33</v>
          </cell>
          <cell r="L233">
            <v>444.04</v>
          </cell>
          <cell r="M233">
            <v>312.52</v>
          </cell>
          <cell r="N233">
            <v>388</v>
          </cell>
          <cell r="P233">
            <v>8239.23</v>
          </cell>
        </row>
        <row r="234">
          <cell r="A234">
            <v>52020401</v>
          </cell>
          <cell r="B234" t="str">
            <v xml:space="preserve">SEGUROS Y REASEGUROS                                                  </v>
          </cell>
          <cell r="C234">
            <v>863.49</v>
          </cell>
          <cell r="D234">
            <v>141.5</v>
          </cell>
          <cell r="E234">
            <v>0</v>
          </cell>
          <cell r="F234">
            <v>35.54</v>
          </cell>
          <cell r="G234">
            <v>17.77</v>
          </cell>
          <cell r="H234">
            <v>1267.68</v>
          </cell>
          <cell r="I234">
            <v>0</v>
          </cell>
          <cell r="J234">
            <v>3190.36</v>
          </cell>
          <cell r="K234">
            <v>1578.33</v>
          </cell>
          <cell r="L234">
            <v>444.04</v>
          </cell>
          <cell r="M234">
            <v>312.52</v>
          </cell>
          <cell r="N234">
            <v>388</v>
          </cell>
          <cell r="P234">
            <v>8239.23</v>
          </cell>
        </row>
        <row r="235">
          <cell r="A235">
            <v>520204010001</v>
          </cell>
          <cell r="B235" t="str">
            <v xml:space="preserve">Seguro Responsabilidad Civil                                          </v>
          </cell>
          <cell r="C235">
            <v>10.88</v>
          </cell>
          <cell r="D235">
            <v>0</v>
          </cell>
          <cell r="E235">
            <v>0</v>
          </cell>
          <cell r="F235">
            <v>0</v>
          </cell>
          <cell r="G235">
            <v>0</v>
          </cell>
          <cell r="H235">
            <v>0</v>
          </cell>
          <cell r="I235">
            <v>0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  <cell r="N235">
            <v>0</v>
          </cell>
          <cell r="P235">
            <v>10.88</v>
          </cell>
        </row>
        <row r="236">
          <cell r="A236">
            <v>520204010002</v>
          </cell>
          <cell r="B236" t="str">
            <v xml:space="preserve">Seguro de Vehiculos                                                   </v>
          </cell>
          <cell r="C236">
            <v>558.9</v>
          </cell>
          <cell r="D236">
            <v>111.78</v>
          </cell>
          <cell r="E236">
            <v>0</v>
          </cell>
          <cell r="F236">
            <v>0</v>
          </cell>
          <cell r="G236">
            <v>0</v>
          </cell>
          <cell r="H236">
            <v>0</v>
          </cell>
          <cell r="I236">
            <v>0</v>
          </cell>
          <cell r="J236">
            <v>0</v>
          </cell>
          <cell r="K236">
            <v>312.52</v>
          </cell>
          <cell r="L236">
            <v>312.52</v>
          </cell>
          <cell r="M236">
            <v>312.52</v>
          </cell>
          <cell r="N236">
            <v>388</v>
          </cell>
          <cell r="P236">
            <v>1996.2399999999998</v>
          </cell>
        </row>
        <row r="237">
          <cell r="A237">
            <v>520204010003</v>
          </cell>
          <cell r="B237" t="str">
            <v xml:space="preserve">Seguro de Contra Incendios                                            </v>
          </cell>
          <cell r="C237">
            <v>148.62</v>
          </cell>
          <cell r="D237">
            <v>29.72</v>
          </cell>
          <cell r="E237">
            <v>0</v>
          </cell>
          <cell r="F237">
            <v>0</v>
          </cell>
          <cell r="G237">
            <v>0</v>
          </cell>
          <cell r="H237">
            <v>0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  <cell r="M237">
            <v>0</v>
          </cell>
          <cell r="N237">
            <v>0</v>
          </cell>
          <cell r="P237">
            <v>178.34</v>
          </cell>
        </row>
        <row r="238">
          <cell r="A238">
            <v>520204010004</v>
          </cell>
          <cell r="B238" t="str">
            <v xml:space="preserve">Seguro Contra Asalto y Robos                                          </v>
          </cell>
          <cell r="C238">
            <v>14.62</v>
          </cell>
          <cell r="D238">
            <v>0</v>
          </cell>
          <cell r="E238">
            <v>0</v>
          </cell>
          <cell r="F238">
            <v>0</v>
          </cell>
          <cell r="G238">
            <v>0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  <cell r="N238">
            <v>0</v>
          </cell>
          <cell r="P238">
            <v>14.62</v>
          </cell>
        </row>
        <row r="239">
          <cell r="A239">
            <v>520204010005</v>
          </cell>
          <cell r="B239" t="str">
            <v xml:space="preserve">Seguro SENAE                                                          </v>
          </cell>
          <cell r="C239">
            <v>0</v>
          </cell>
          <cell r="D239">
            <v>0</v>
          </cell>
          <cell r="E239">
            <v>0</v>
          </cell>
          <cell r="F239">
            <v>0</v>
          </cell>
          <cell r="G239">
            <v>0</v>
          </cell>
          <cell r="H239">
            <v>1156.46</v>
          </cell>
          <cell r="I239">
            <v>0</v>
          </cell>
          <cell r="J239">
            <v>3190.36</v>
          </cell>
          <cell r="K239">
            <v>1230.27</v>
          </cell>
          <cell r="L239">
            <v>0</v>
          </cell>
          <cell r="M239">
            <v>0</v>
          </cell>
          <cell r="N239">
            <v>0</v>
          </cell>
          <cell r="P239">
            <v>5577.09</v>
          </cell>
        </row>
        <row r="240">
          <cell r="A240">
            <v>520204010007</v>
          </cell>
          <cell r="B240" t="str">
            <v xml:space="preserve">Otros seguros                                                         </v>
          </cell>
          <cell r="C240">
            <v>130.47</v>
          </cell>
          <cell r="D240">
            <v>0</v>
          </cell>
          <cell r="E240">
            <v>0</v>
          </cell>
          <cell r="F240">
            <v>35.54</v>
          </cell>
          <cell r="G240">
            <v>17.77</v>
          </cell>
          <cell r="H240">
            <v>111.22</v>
          </cell>
          <cell r="I240">
            <v>0</v>
          </cell>
          <cell r="J240">
            <v>0</v>
          </cell>
          <cell r="K240">
            <v>35.54</v>
          </cell>
          <cell r="L240">
            <v>131.52000000000001</v>
          </cell>
          <cell r="M240">
            <v>0</v>
          </cell>
          <cell r="N240">
            <v>0</v>
          </cell>
          <cell r="P240">
            <v>462.06000000000006</v>
          </cell>
        </row>
        <row r="241">
          <cell r="A241">
            <v>520205</v>
          </cell>
          <cell r="B241" t="str">
            <v xml:space="preserve">OTROS GASTOS DE ADMINISTRACION                                        </v>
          </cell>
          <cell r="C241">
            <v>76402.2</v>
          </cell>
          <cell r="D241">
            <v>36750.839999999997</v>
          </cell>
          <cell r="E241">
            <v>31698.55</v>
          </cell>
          <cell r="F241">
            <v>41124.300000000003</v>
          </cell>
          <cell r="G241">
            <v>42514.38</v>
          </cell>
          <cell r="H241">
            <v>35758.050000000003</v>
          </cell>
          <cell r="I241">
            <v>38435.339999999997</v>
          </cell>
          <cell r="J241">
            <v>39359.879999999997</v>
          </cell>
          <cell r="K241">
            <v>63895.17</v>
          </cell>
          <cell r="L241">
            <v>42734.57</v>
          </cell>
          <cell r="M241">
            <v>54916.91</v>
          </cell>
          <cell r="N241">
            <v>105201.84</v>
          </cell>
          <cell r="P241">
            <v>608792.03</v>
          </cell>
        </row>
        <row r="242">
          <cell r="A242">
            <v>52020501</v>
          </cell>
          <cell r="B242" t="str">
            <v xml:space="preserve">OTROS GASTOS                                                          </v>
          </cell>
          <cell r="C242">
            <v>76402.2</v>
          </cell>
          <cell r="D242">
            <v>36750.839999999997</v>
          </cell>
          <cell r="E242">
            <v>31698.55</v>
          </cell>
          <cell r="F242">
            <v>41124.300000000003</v>
          </cell>
          <cell r="G242">
            <v>42514.38</v>
          </cell>
          <cell r="H242">
            <v>35758.050000000003</v>
          </cell>
          <cell r="I242">
            <v>38435.339999999997</v>
          </cell>
          <cell r="J242">
            <v>39359.879999999997</v>
          </cell>
          <cell r="K242">
            <v>63895.17</v>
          </cell>
          <cell r="L242">
            <v>42734.57</v>
          </cell>
          <cell r="M242">
            <v>54916.91</v>
          </cell>
          <cell r="N242">
            <v>105201.84</v>
          </cell>
          <cell r="P242">
            <v>608792.03</v>
          </cell>
        </row>
        <row r="243">
          <cell r="A243">
            <v>520205010001</v>
          </cell>
          <cell r="B243" t="str">
            <v xml:space="preserve">Gastos de Viaje Administración                                        </v>
          </cell>
          <cell r="C243">
            <v>0</v>
          </cell>
          <cell r="D243">
            <v>1343.54</v>
          </cell>
          <cell r="E243">
            <v>151</v>
          </cell>
          <cell r="F243">
            <v>-151</v>
          </cell>
          <cell r="G243">
            <v>0</v>
          </cell>
          <cell r="H243">
            <v>0</v>
          </cell>
          <cell r="I243">
            <v>0</v>
          </cell>
          <cell r="J243">
            <v>0</v>
          </cell>
          <cell r="K243">
            <v>0</v>
          </cell>
          <cell r="L243">
            <v>0</v>
          </cell>
          <cell r="M243">
            <v>0</v>
          </cell>
          <cell r="N243">
            <v>0</v>
          </cell>
          <cell r="P243">
            <v>1343.54</v>
          </cell>
        </row>
        <row r="244">
          <cell r="A244">
            <v>520205010002</v>
          </cell>
          <cell r="B244" t="str">
            <v xml:space="preserve">Gastos de Gestión                                                     </v>
          </cell>
          <cell r="C244">
            <v>11.6</v>
          </cell>
          <cell r="D244">
            <v>79.5</v>
          </cell>
          <cell r="E244">
            <v>10.4</v>
          </cell>
          <cell r="F244">
            <v>0</v>
          </cell>
          <cell r="G244">
            <v>0</v>
          </cell>
          <cell r="H244">
            <v>0</v>
          </cell>
          <cell r="I244">
            <v>0</v>
          </cell>
          <cell r="J244">
            <v>0</v>
          </cell>
          <cell r="K244">
            <v>46.5</v>
          </cell>
          <cell r="L244">
            <v>98.91</v>
          </cell>
          <cell r="M244">
            <v>929.83</v>
          </cell>
          <cell r="N244">
            <v>2715.02</v>
          </cell>
          <cell r="P244">
            <v>3891.76</v>
          </cell>
        </row>
        <row r="245">
          <cell r="A245">
            <v>520205010003</v>
          </cell>
          <cell r="B245" t="str">
            <v xml:space="preserve">Telefonía Celular                                                     </v>
          </cell>
          <cell r="C245">
            <v>239.64</v>
          </cell>
          <cell r="D245">
            <v>269.22000000000003</v>
          </cell>
          <cell r="E245">
            <v>293.36</v>
          </cell>
          <cell r="F245">
            <v>269.22000000000003</v>
          </cell>
          <cell r="G245">
            <v>270</v>
          </cell>
          <cell r="H245">
            <v>178.28</v>
          </cell>
          <cell r="I245">
            <v>141.44999999999999</v>
          </cell>
          <cell r="J245">
            <v>141.44999999999999</v>
          </cell>
          <cell r="K245">
            <v>141.44999999999999</v>
          </cell>
          <cell r="L245">
            <v>141.66999999999999</v>
          </cell>
          <cell r="M245">
            <v>141.44999999999999</v>
          </cell>
          <cell r="N245">
            <v>141.44999999999999</v>
          </cell>
          <cell r="P245">
            <v>2368.64</v>
          </cell>
        </row>
        <row r="246">
          <cell r="A246">
            <v>520205010004</v>
          </cell>
          <cell r="B246" t="str">
            <v xml:space="preserve">Correo y Courrier                                                     </v>
          </cell>
          <cell r="C246">
            <v>427.21</v>
          </cell>
          <cell r="D246">
            <v>606.46</v>
          </cell>
          <cell r="E246">
            <v>0</v>
          </cell>
          <cell r="F246">
            <v>0</v>
          </cell>
          <cell r="G246">
            <v>42.68</v>
          </cell>
          <cell r="H246">
            <v>0</v>
          </cell>
          <cell r="I246">
            <v>0</v>
          </cell>
          <cell r="J246">
            <v>0</v>
          </cell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P246">
            <v>1076.3500000000001</v>
          </cell>
        </row>
        <row r="247">
          <cell r="A247">
            <v>520205010005</v>
          </cell>
          <cell r="B247" t="str">
            <v xml:space="preserve">Suministros de Oficina y Computación                                  </v>
          </cell>
          <cell r="C247">
            <v>1227.1400000000001</v>
          </cell>
          <cell r="D247">
            <v>186</v>
          </cell>
          <cell r="E247">
            <v>454.79</v>
          </cell>
          <cell r="F247">
            <v>549.9</v>
          </cell>
          <cell r="G247">
            <v>1716.22</v>
          </cell>
          <cell r="H247">
            <v>1304.56</v>
          </cell>
          <cell r="I247">
            <v>1120.99</v>
          </cell>
          <cell r="J247">
            <v>1403.91</v>
          </cell>
          <cell r="K247">
            <v>1076.73</v>
          </cell>
          <cell r="L247">
            <v>4381.5</v>
          </cell>
          <cell r="M247">
            <v>330.5</v>
          </cell>
          <cell r="N247">
            <v>737.19</v>
          </cell>
          <cell r="P247">
            <v>14489.43</v>
          </cell>
        </row>
        <row r="248">
          <cell r="A248">
            <v>520205010006</v>
          </cell>
          <cell r="B248" t="str">
            <v xml:space="preserve">Energía Eléctrica Administración                                      </v>
          </cell>
          <cell r="C248">
            <v>1938.43</v>
          </cell>
          <cell r="D248">
            <v>2376.41</v>
          </cell>
          <cell r="E248">
            <v>1922.37</v>
          </cell>
          <cell r="F248">
            <v>1814.15</v>
          </cell>
          <cell r="G248">
            <v>2280.7399999999998</v>
          </cell>
          <cell r="H248">
            <v>1870.98</v>
          </cell>
          <cell r="I248">
            <v>2001.86</v>
          </cell>
          <cell r="J248">
            <v>1825.12</v>
          </cell>
          <cell r="K248">
            <v>1953.72</v>
          </cell>
          <cell r="L248">
            <v>1824.92</v>
          </cell>
          <cell r="M248">
            <v>2124.4499999999998</v>
          </cell>
          <cell r="N248">
            <v>1788.8</v>
          </cell>
          <cell r="P248">
            <v>23721.950000000004</v>
          </cell>
        </row>
        <row r="249">
          <cell r="A249">
            <v>520205010007</v>
          </cell>
          <cell r="B249" t="str">
            <v xml:space="preserve">Agua Administración                                                   </v>
          </cell>
          <cell r="C249">
            <v>179.01</v>
          </cell>
          <cell r="D249">
            <v>184.35</v>
          </cell>
          <cell r="E249">
            <v>216.94</v>
          </cell>
          <cell r="F249">
            <v>83.32</v>
          </cell>
          <cell r="G249">
            <v>256.58999999999997</v>
          </cell>
          <cell r="H249">
            <v>340.78</v>
          </cell>
          <cell r="I249">
            <v>95.14</v>
          </cell>
          <cell r="J249">
            <v>79.510000000000005</v>
          </cell>
          <cell r="K249">
            <v>119.49</v>
          </cell>
          <cell r="L249">
            <v>220.07</v>
          </cell>
          <cell r="M249">
            <v>196.58</v>
          </cell>
          <cell r="N249">
            <v>301.37</v>
          </cell>
          <cell r="P249">
            <v>2273.1499999999996</v>
          </cell>
        </row>
        <row r="250">
          <cell r="A250">
            <v>520205010008</v>
          </cell>
          <cell r="B250" t="str">
            <v xml:space="preserve">Telefonía Convencional                                                </v>
          </cell>
          <cell r="C250">
            <v>1315.41</v>
          </cell>
          <cell r="D250">
            <v>261.74</v>
          </cell>
          <cell r="E250">
            <v>220.45</v>
          </cell>
          <cell r="F250">
            <v>197.87</v>
          </cell>
          <cell r="G250">
            <v>199.91</v>
          </cell>
          <cell r="H250">
            <v>231.24</v>
          </cell>
          <cell r="I250">
            <v>257.49</v>
          </cell>
          <cell r="J250">
            <v>265.26</v>
          </cell>
          <cell r="K250">
            <v>269.33999999999997</v>
          </cell>
          <cell r="L250">
            <v>282.2</v>
          </cell>
          <cell r="M250">
            <v>235.11</v>
          </cell>
          <cell r="N250">
            <v>246</v>
          </cell>
          <cell r="P250">
            <v>3982.02</v>
          </cell>
        </row>
        <row r="251">
          <cell r="A251">
            <v>520205010009</v>
          </cell>
          <cell r="B251" t="str">
            <v xml:space="preserve">Internet                                                              </v>
          </cell>
          <cell r="C251">
            <v>0</v>
          </cell>
          <cell r="D251">
            <v>1076</v>
          </cell>
          <cell r="E251">
            <v>1076</v>
          </cell>
          <cell r="F251">
            <v>1076</v>
          </cell>
          <cell r="G251">
            <v>1076</v>
          </cell>
          <cell r="H251">
            <v>1076</v>
          </cell>
          <cell r="I251">
            <v>1076</v>
          </cell>
          <cell r="J251">
            <v>1076</v>
          </cell>
          <cell r="K251">
            <v>1076</v>
          </cell>
          <cell r="L251">
            <v>1076</v>
          </cell>
          <cell r="M251">
            <v>1076</v>
          </cell>
          <cell r="N251">
            <v>1076</v>
          </cell>
          <cell r="P251">
            <v>11836</v>
          </cell>
        </row>
        <row r="252">
          <cell r="A252">
            <v>520205010010</v>
          </cell>
          <cell r="B252" t="str">
            <v xml:space="preserve">Utiles de Limpieza/Cafeteria                                          </v>
          </cell>
          <cell r="C252">
            <v>193.06</v>
          </cell>
          <cell r="D252">
            <v>203.05</v>
          </cell>
          <cell r="E252">
            <v>449.59</v>
          </cell>
          <cell r="F252">
            <v>268.82</v>
          </cell>
          <cell r="G252">
            <v>840.79</v>
          </cell>
          <cell r="H252">
            <v>545.39</v>
          </cell>
          <cell r="I252">
            <v>271.11</v>
          </cell>
          <cell r="J252">
            <v>598.98</v>
          </cell>
          <cell r="K252">
            <v>214.87</v>
          </cell>
          <cell r="L252">
            <v>295.52</v>
          </cell>
          <cell r="M252">
            <v>154.5</v>
          </cell>
          <cell r="N252">
            <v>593.70000000000005</v>
          </cell>
          <cell r="P252">
            <v>4629.38</v>
          </cell>
        </row>
        <row r="253">
          <cell r="A253">
            <v>520205010011</v>
          </cell>
          <cell r="B253" t="str">
            <v xml:space="preserve">Gastos Menores de activos Administración                              </v>
          </cell>
          <cell r="C253">
            <v>218</v>
          </cell>
          <cell r="D253">
            <v>0</v>
          </cell>
          <cell r="E253">
            <v>0</v>
          </cell>
          <cell r="F253">
            <v>0</v>
          </cell>
          <cell r="G253">
            <v>0</v>
          </cell>
          <cell r="H253">
            <v>51.49</v>
          </cell>
          <cell r="I253">
            <v>150</v>
          </cell>
          <cell r="J253">
            <v>0</v>
          </cell>
          <cell r="K253">
            <v>0</v>
          </cell>
          <cell r="L253">
            <v>0</v>
          </cell>
          <cell r="M253">
            <v>0</v>
          </cell>
          <cell r="N253">
            <v>0</v>
          </cell>
          <cell r="P253">
            <v>419.49</v>
          </cell>
        </row>
        <row r="254">
          <cell r="A254">
            <v>520205010012</v>
          </cell>
          <cell r="B254" t="str">
            <v xml:space="preserve">Donaciones                                                            </v>
          </cell>
          <cell r="C254">
            <v>0</v>
          </cell>
          <cell r="D254">
            <v>0</v>
          </cell>
          <cell r="E254">
            <v>0</v>
          </cell>
          <cell r="F254">
            <v>3000</v>
          </cell>
          <cell r="G254">
            <v>0</v>
          </cell>
          <cell r="H254">
            <v>0</v>
          </cell>
          <cell r="I254">
            <v>0</v>
          </cell>
          <cell r="J254">
            <v>0</v>
          </cell>
          <cell r="K254">
            <v>0</v>
          </cell>
          <cell r="L254">
            <v>0</v>
          </cell>
          <cell r="M254">
            <v>267.41000000000003</v>
          </cell>
          <cell r="N254">
            <v>0</v>
          </cell>
          <cell r="P254">
            <v>3267.41</v>
          </cell>
        </row>
        <row r="255">
          <cell r="A255">
            <v>520205010013</v>
          </cell>
          <cell r="B255" t="str">
            <v xml:space="preserve">Cuotas y Suscripciones                                                </v>
          </cell>
          <cell r="C255">
            <v>877.5</v>
          </cell>
          <cell r="D255">
            <v>877.5</v>
          </cell>
          <cell r="E255">
            <v>877.5</v>
          </cell>
          <cell r="F255">
            <v>927.5</v>
          </cell>
          <cell r="G255">
            <v>877.5</v>
          </cell>
          <cell r="H255">
            <v>877.5</v>
          </cell>
          <cell r="I255">
            <v>877.5</v>
          </cell>
          <cell r="J255">
            <v>977.5</v>
          </cell>
          <cell r="K255">
            <v>877.5</v>
          </cell>
          <cell r="L255">
            <v>877.5</v>
          </cell>
          <cell r="M255">
            <v>877.5</v>
          </cell>
          <cell r="N255">
            <v>877.5</v>
          </cell>
          <cell r="P255">
            <v>10680</v>
          </cell>
        </row>
        <row r="256">
          <cell r="A256">
            <v>520205010014</v>
          </cell>
          <cell r="B256" t="str">
            <v xml:space="preserve">IVA no aplicado (gasto)                                               </v>
          </cell>
          <cell r="C256">
            <v>6080.8</v>
          </cell>
          <cell r="D256">
            <v>4781.93</v>
          </cell>
          <cell r="E256">
            <v>3941.53</v>
          </cell>
          <cell r="F256">
            <v>4517.18</v>
          </cell>
          <cell r="G256">
            <v>5634.56</v>
          </cell>
          <cell r="H256">
            <v>4683.75</v>
          </cell>
          <cell r="I256">
            <v>6472.82</v>
          </cell>
          <cell r="J256">
            <v>4292.8</v>
          </cell>
          <cell r="K256">
            <v>15022.3</v>
          </cell>
          <cell r="L256">
            <v>8439.33</v>
          </cell>
          <cell r="M256">
            <v>11289.36</v>
          </cell>
          <cell r="N256">
            <v>14351.51</v>
          </cell>
          <cell r="P256">
            <v>89507.87000000001</v>
          </cell>
        </row>
        <row r="257">
          <cell r="A257">
            <v>520205010015</v>
          </cell>
          <cell r="B257" t="str">
            <v xml:space="preserve">Suministros, materiales y repuestos Administración                    </v>
          </cell>
          <cell r="C257">
            <v>348</v>
          </cell>
          <cell r="D257">
            <v>136</v>
          </cell>
          <cell r="E257">
            <v>0</v>
          </cell>
          <cell r="F257">
            <v>0</v>
          </cell>
          <cell r="G257">
            <v>0</v>
          </cell>
          <cell r="H257">
            <v>19.38</v>
          </cell>
          <cell r="I257">
            <v>586.94000000000005</v>
          </cell>
          <cell r="J257">
            <v>0</v>
          </cell>
          <cell r="K257">
            <v>100.41</v>
          </cell>
          <cell r="L257">
            <v>0</v>
          </cell>
          <cell r="M257">
            <v>1030.72</v>
          </cell>
          <cell r="N257">
            <v>0</v>
          </cell>
          <cell r="P257">
            <v>2221.4500000000003</v>
          </cell>
        </row>
        <row r="258">
          <cell r="A258">
            <v>520205010016</v>
          </cell>
          <cell r="B258" t="str">
            <v xml:space="preserve">Arriendo                                                              </v>
          </cell>
          <cell r="C258">
            <v>15610.44</v>
          </cell>
          <cell r="D258">
            <v>15633.92</v>
          </cell>
          <cell r="E258">
            <v>15633.92</v>
          </cell>
          <cell r="F258">
            <v>15633.92</v>
          </cell>
          <cell r="G258">
            <v>15633.86</v>
          </cell>
          <cell r="H258">
            <v>15633.8</v>
          </cell>
          <cell r="I258">
            <v>15633.8</v>
          </cell>
          <cell r="J258">
            <v>15633.8</v>
          </cell>
          <cell r="K258">
            <v>15633.8</v>
          </cell>
          <cell r="L258">
            <v>15633.8</v>
          </cell>
          <cell r="M258">
            <v>15633.8</v>
          </cell>
          <cell r="N258">
            <v>16153.8</v>
          </cell>
          <cell r="P258">
            <v>188102.65999999997</v>
          </cell>
        </row>
        <row r="259">
          <cell r="A259">
            <v>520205010018</v>
          </cell>
          <cell r="B259" t="str">
            <v xml:space="preserve">Multas e Intereses                                                    </v>
          </cell>
          <cell r="C259">
            <v>0</v>
          </cell>
          <cell r="D259">
            <v>0</v>
          </cell>
          <cell r="E259">
            <v>0</v>
          </cell>
          <cell r="F259">
            <v>0</v>
          </cell>
          <cell r="G259">
            <v>1.56</v>
          </cell>
          <cell r="H259">
            <v>120</v>
          </cell>
          <cell r="I259">
            <v>0</v>
          </cell>
          <cell r="J259">
            <v>424.57</v>
          </cell>
          <cell r="K259">
            <v>240.57</v>
          </cell>
          <cell r="L259">
            <v>40.57</v>
          </cell>
          <cell r="M259">
            <v>108.21</v>
          </cell>
          <cell r="N259">
            <v>262.92</v>
          </cell>
          <cell r="P259">
            <v>1198.4000000000001</v>
          </cell>
        </row>
        <row r="260">
          <cell r="A260">
            <v>520205010019</v>
          </cell>
          <cell r="B260" t="str">
            <v xml:space="preserve">Otros costos de importación y producción                              </v>
          </cell>
          <cell r="C260">
            <v>287.39</v>
          </cell>
          <cell r="D260">
            <v>0</v>
          </cell>
          <cell r="E260">
            <v>-53.68</v>
          </cell>
          <cell r="F260">
            <v>0</v>
          </cell>
          <cell r="G260">
            <v>0</v>
          </cell>
          <cell r="H260">
            <v>0</v>
          </cell>
          <cell r="I260">
            <v>0</v>
          </cell>
          <cell r="J260">
            <v>0</v>
          </cell>
          <cell r="K260">
            <v>0</v>
          </cell>
          <cell r="L260">
            <v>348.64</v>
          </cell>
          <cell r="M260">
            <v>0</v>
          </cell>
          <cell r="N260">
            <v>0</v>
          </cell>
          <cell r="P260">
            <v>582.34999999999991</v>
          </cell>
        </row>
        <row r="261">
          <cell r="A261">
            <v>520205010020</v>
          </cell>
          <cell r="B261" t="str">
            <v xml:space="preserve">Ajustes de centavos                                                   </v>
          </cell>
          <cell r="C261">
            <v>-0.54</v>
          </cell>
          <cell r="D261">
            <v>0.8</v>
          </cell>
          <cell r="E261">
            <v>-1.78</v>
          </cell>
          <cell r="F261">
            <v>1.1000000000000001</v>
          </cell>
          <cell r="G261">
            <v>0.24</v>
          </cell>
          <cell r="H261">
            <v>-0.09</v>
          </cell>
          <cell r="I261">
            <v>0.05</v>
          </cell>
          <cell r="J261">
            <v>-0.11</v>
          </cell>
          <cell r="K261">
            <v>0</v>
          </cell>
          <cell r="L261">
            <v>0.08</v>
          </cell>
          <cell r="M261">
            <v>0.11</v>
          </cell>
          <cell r="N261">
            <v>15.07</v>
          </cell>
          <cell r="P261">
            <v>14.93</v>
          </cell>
        </row>
        <row r="262">
          <cell r="A262">
            <v>520205010021</v>
          </cell>
          <cell r="B262" t="str">
            <v xml:space="preserve">Gastos Legales                                                        </v>
          </cell>
          <cell r="C262">
            <v>621</v>
          </cell>
          <cell r="D262">
            <v>0</v>
          </cell>
          <cell r="E262">
            <v>0</v>
          </cell>
          <cell r="F262">
            <v>0</v>
          </cell>
          <cell r="G262">
            <v>0</v>
          </cell>
          <cell r="H262">
            <v>0</v>
          </cell>
          <cell r="I262">
            <v>0</v>
          </cell>
          <cell r="J262">
            <v>0</v>
          </cell>
          <cell r="K262">
            <v>-621</v>
          </cell>
          <cell r="L262">
            <v>1500</v>
          </cell>
          <cell r="M262">
            <v>0</v>
          </cell>
          <cell r="N262">
            <v>0</v>
          </cell>
          <cell r="P262">
            <v>1500</v>
          </cell>
        </row>
        <row r="263">
          <cell r="A263">
            <v>520205010022</v>
          </cell>
          <cell r="B263" t="str">
            <v xml:space="preserve">Seguridad                                                             </v>
          </cell>
          <cell r="C263">
            <v>2640</v>
          </cell>
          <cell r="D263">
            <v>2640</v>
          </cell>
          <cell r="E263">
            <v>2640</v>
          </cell>
          <cell r="F263">
            <v>2699.58</v>
          </cell>
          <cell r="G263">
            <v>2640</v>
          </cell>
          <cell r="H263">
            <v>2640</v>
          </cell>
          <cell r="I263">
            <v>2690.42</v>
          </cell>
          <cell r="J263">
            <v>2640</v>
          </cell>
          <cell r="K263">
            <v>2640</v>
          </cell>
          <cell r="L263">
            <v>2640</v>
          </cell>
          <cell r="M263">
            <v>2640</v>
          </cell>
          <cell r="N263">
            <v>2640</v>
          </cell>
          <cell r="P263">
            <v>31790</v>
          </cell>
        </row>
        <row r="264">
          <cell r="A264">
            <v>520205010023</v>
          </cell>
          <cell r="B264" t="str">
            <v xml:space="preserve">Gastos no Deducibles                                                  </v>
          </cell>
          <cell r="C264">
            <v>35356.06</v>
          </cell>
          <cell r="D264">
            <v>217.41</v>
          </cell>
          <cell r="E264">
            <v>1274.93</v>
          </cell>
          <cell r="F264">
            <v>928.96</v>
          </cell>
          <cell r="G264">
            <v>574.89</v>
          </cell>
          <cell r="H264">
            <v>269.67</v>
          </cell>
          <cell r="I264">
            <v>69.88</v>
          </cell>
          <cell r="J264">
            <v>5871.48</v>
          </cell>
          <cell r="K264">
            <v>1562.11</v>
          </cell>
          <cell r="L264">
            <v>1333.37</v>
          </cell>
          <cell r="M264">
            <v>3177.61</v>
          </cell>
          <cell r="N264">
            <v>18344.54</v>
          </cell>
          <cell r="P264">
            <v>68980.91</v>
          </cell>
        </row>
        <row r="265">
          <cell r="A265">
            <v>520205010024</v>
          </cell>
          <cell r="B265" t="str">
            <v xml:space="preserve">Gastos de licencias -software y mant ERP                              </v>
          </cell>
          <cell r="C265">
            <v>76.430000000000007</v>
          </cell>
          <cell r="D265">
            <v>76.430000000000007</v>
          </cell>
          <cell r="E265">
            <v>76.430000000000007</v>
          </cell>
          <cell r="F265">
            <v>176.43</v>
          </cell>
          <cell r="G265">
            <v>4540.43</v>
          </cell>
          <cell r="H265">
            <v>418.42</v>
          </cell>
          <cell r="I265">
            <v>515.29999999999995</v>
          </cell>
          <cell r="J265">
            <v>97.43</v>
          </cell>
          <cell r="K265">
            <v>20498.03</v>
          </cell>
          <cell r="L265">
            <v>76.430000000000007</v>
          </cell>
          <cell r="M265">
            <v>76.430000000000007</v>
          </cell>
          <cell r="N265">
            <v>1004.43</v>
          </cell>
          <cell r="P265">
            <v>27632.620000000003</v>
          </cell>
        </row>
        <row r="266">
          <cell r="A266">
            <v>520205010026</v>
          </cell>
          <cell r="B266" t="str">
            <v xml:space="preserve">Iva Facrtor de Proporcionalidad                                       </v>
          </cell>
          <cell r="C266">
            <v>2217.0500000000002</v>
          </cell>
          <cell r="D266">
            <v>2220.6</v>
          </cell>
          <cell r="E266">
            <v>1650.31</v>
          </cell>
          <cell r="F266">
            <v>8704.68</v>
          </cell>
          <cell r="G266">
            <v>2658.44</v>
          </cell>
          <cell r="H266">
            <v>3376.84</v>
          </cell>
          <cell r="I266">
            <v>1972.51</v>
          </cell>
          <cell r="J266">
            <v>2135.25</v>
          </cell>
          <cell r="K266">
            <v>534.71</v>
          </cell>
          <cell r="L266">
            <v>1047.02</v>
          </cell>
          <cell r="M266">
            <v>1896.46</v>
          </cell>
          <cell r="N266">
            <v>1752.49</v>
          </cell>
          <cell r="P266">
            <v>30166.359999999997</v>
          </cell>
        </row>
        <row r="267">
          <cell r="A267">
            <v>520205010027</v>
          </cell>
          <cell r="B267" t="str">
            <v xml:space="preserve">Promocion y Publicidad Administracion                                 </v>
          </cell>
          <cell r="C267">
            <v>0</v>
          </cell>
          <cell r="D267">
            <v>0</v>
          </cell>
          <cell r="E267">
            <v>0</v>
          </cell>
          <cell r="F267">
            <v>0</v>
          </cell>
          <cell r="G267">
            <v>0</v>
          </cell>
          <cell r="H267">
            <v>0</v>
          </cell>
          <cell r="I267">
            <v>0</v>
          </cell>
          <cell r="J267">
            <v>0</v>
          </cell>
          <cell r="K267">
            <v>0</v>
          </cell>
          <cell r="L267">
            <v>444</v>
          </cell>
          <cell r="M267">
            <v>0</v>
          </cell>
          <cell r="N267">
            <v>785</v>
          </cell>
          <cell r="P267">
            <v>1229</v>
          </cell>
        </row>
        <row r="268">
          <cell r="A268">
            <v>520205010028</v>
          </cell>
          <cell r="B268" t="str">
            <v xml:space="preserve">Provision Ctas incobrables                                            </v>
          </cell>
          <cell r="C268">
            <v>0</v>
          </cell>
          <cell r="D268">
            <v>0</v>
          </cell>
          <cell r="E268">
            <v>0</v>
          </cell>
          <cell r="F268">
            <v>0</v>
          </cell>
          <cell r="G268">
            <v>0</v>
          </cell>
          <cell r="H268">
            <v>0</v>
          </cell>
          <cell r="I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  <cell r="N268">
            <v>24295.58</v>
          </cell>
          <cell r="P268">
            <v>24295.58</v>
          </cell>
        </row>
        <row r="269">
          <cell r="A269">
            <v>520205010029</v>
          </cell>
          <cell r="B269" t="str">
            <v xml:space="preserve">Gastos de viaticos administración                                     </v>
          </cell>
          <cell r="C269">
            <v>0</v>
          </cell>
          <cell r="D269">
            <v>613</v>
          </cell>
          <cell r="E269">
            <v>359.62</v>
          </cell>
          <cell r="F269">
            <v>0</v>
          </cell>
          <cell r="G269">
            <v>0</v>
          </cell>
          <cell r="H269">
            <v>89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  <cell r="P269">
            <v>1061.6199999999999</v>
          </cell>
        </row>
        <row r="270">
          <cell r="A270">
            <v>520205010030</v>
          </cell>
          <cell r="B270" t="str">
            <v xml:space="preserve">Gasto Movilizacion Administración                                     </v>
          </cell>
          <cell r="C270">
            <v>181.25</v>
          </cell>
          <cell r="D270">
            <v>191</v>
          </cell>
          <cell r="E270">
            <v>215</v>
          </cell>
          <cell r="F270">
            <v>0</v>
          </cell>
          <cell r="G270">
            <v>11.5</v>
          </cell>
          <cell r="H270">
            <v>321</v>
          </cell>
          <cell r="I270">
            <v>341</v>
          </cell>
          <cell r="J270">
            <v>189.5</v>
          </cell>
          <cell r="K270">
            <v>204.5</v>
          </cell>
          <cell r="L270">
            <v>77.5</v>
          </cell>
          <cell r="M270">
            <v>209</v>
          </cell>
          <cell r="N270">
            <v>177.7</v>
          </cell>
          <cell r="P270">
            <v>2118.9499999999998</v>
          </cell>
        </row>
        <row r="271">
          <cell r="A271">
            <v>520205010031</v>
          </cell>
          <cell r="B271" t="str">
            <v xml:space="preserve">Retenciones Asumidas                                                  </v>
          </cell>
          <cell r="C271">
            <v>0</v>
          </cell>
          <cell r="D271">
            <v>0</v>
          </cell>
          <cell r="E271">
            <v>0</v>
          </cell>
          <cell r="F271">
            <v>0</v>
          </cell>
          <cell r="G271">
            <v>350</v>
          </cell>
          <cell r="H271">
            <v>12.88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0</v>
          </cell>
          <cell r="P271">
            <v>362.88</v>
          </cell>
        </row>
        <row r="272">
          <cell r="A272">
            <v>520205010035</v>
          </cell>
          <cell r="B272" t="str">
            <v xml:space="preserve">Sistema de circuito cerrado                                           </v>
          </cell>
          <cell r="C272">
            <v>91.67</v>
          </cell>
          <cell r="D272">
            <v>91.67</v>
          </cell>
          <cell r="E272">
            <v>91.67</v>
          </cell>
          <cell r="F272">
            <v>91.67</v>
          </cell>
          <cell r="G272">
            <v>91.67</v>
          </cell>
          <cell r="H272">
            <v>91.67</v>
          </cell>
          <cell r="I272">
            <v>91.67</v>
          </cell>
          <cell r="J272">
            <v>0</v>
          </cell>
          <cell r="K272">
            <v>0</v>
          </cell>
          <cell r="L272">
            <v>91.67</v>
          </cell>
          <cell r="M272">
            <v>91.67</v>
          </cell>
          <cell r="N272">
            <v>91.67</v>
          </cell>
          <cell r="P272">
            <v>916.69999999999982</v>
          </cell>
        </row>
        <row r="273">
          <cell r="A273">
            <v>520205010036</v>
          </cell>
          <cell r="B273" t="str">
            <v xml:space="preserve">Otros pagos bienes y servicios administración                         </v>
          </cell>
          <cell r="C273">
            <v>5905.65</v>
          </cell>
          <cell r="D273">
            <v>1670.31</v>
          </cell>
          <cell r="E273">
            <v>198.2</v>
          </cell>
          <cell r="F273">
            <v>85</v>
          </cell>
          <cell r="G273">
            <v>2770.08</v>
          </cell>
          <cell r="H273">
            <v>1605.51</v>
          </cell>
          <cell r="I273">
            <v>2837.37</v>
          </cell>
          <cell r="J273">
            <v>1643.99</v>
          </cell>
          <cell r="K273">
            <v>2298.14</v>
          </cell>
          <cell r="L273">
            <v>1855.58</v>
          </cell>
          <cell r="M273">
            <v>2846.76</v>
          </cell>
          <cell r="N273">
            <v>6970.6</v>
          </cell>
          <cell r="P273">
            <v>30687.190000000002</v>
          </cell>
        </row>
        <row r="274">
          <cell r="A274">
            <v>520205010037</v>
          </cell>
          <cell r="B274" t="str">
            <v xml:space="preserve">Mant equipos de computo                                               </v>
          </cell>
          <cell r="C274">
            <v>0</v>
          </cell>
          <cell r="D274">
            <v>1014</v>
          </cell>
          <cell r="E274">
            <v>0</v>
          </cell>
          <cell r="F274">
            <v>0</v>
          </cell>
          <cell r="G274">
            <v>0</v>
          </cell>
          <cell r="H274">
            <v>0</v>
          </cell>
          <cell r="I274">
            <v>0</v>
          </cell>
          <cell r="J274">
            <v>0</v>
          </cell>
          <cell r="K274">
            <v>0</v>
          </cell>
          <cell r="L274">
            <v>0</v>
          </cell>
          <cell r="M274">
            <v>9500</v>
          </cell>
          <cell r="N274">
            <v>0</v>
          </cell>
          <cell r="P274">
            <v>10514</v>
          </cell>
        </row>
        <row r="275">
          <cell r="A275">
            <v>520205010039</v>
          </cell>
          <cell r="B275" t="str">
            <v xml:space="preserve">Registros y derechos                                                  </v>
          </cell>
          <cell r="C275">
            <v>360</v>
          </cell>
          <cell r="D275">
            <v>0</v>
          </cell>
          <cell r="E275">
            <v>0</v>
          </cell>
          <cell r="F275">
            <v>0</v>
          </cell>
          <cell r="G275">
            <v>0</v>
          </cell>
          <cell r="H275">
            <v>0</v>
          </cell>
          <cell r="I275">
            <v>0</v>
          </cell>
          <cell r="J275">
            <v>0</v>
          </cell>
          <cell r="K275">
            <v>0</v>
          </cell>
          <cell r="L275">
            <v>0</v>
          </cell>
          <cell r="M275">
            <v>0</v>
          </cell>
          <cell r="N275">
            <v>384</v>
          </cell>
          <cell r="P275">
            <v>744</v>
          </cell>
        </row>
        <row r="276">
          <cell r="A276">
            <v>520205010040</v>
          </cell>
          <cell r="B276" t="str">
            <v xml:space="preserve">Obsequios y muestras a clientes (autoconsumo)                         </v>
          </cell>
          <cell r="C276">
            <v>0</v>
          </cell>
          <cell r="D276">
            <v>0</v>
          </cell>
          <cell r="E276">
            <v>0</v>
          </cell>
          <cell r="F276">
            <v>0</v>
          </cell>
          <cell r="G276">
            <v>46.72</v>
          </cell>
          <cell r="H276">
            <v>0</v>
          </cell>
          <cell r="I276">
            <v>1232.04</v>
          </cell>
          <cell r="J276">
            <v>63.44</v>
          </cell>
          <cell r="K276">
            <v>6</v>
          </cell>
          <cell r="L276">
            <v>8.2899999999999991</v>
          </cell>
          <cell r="M276">
            <v>83.45</v>
          </cell>
          <cell r="N276">
            <v>9495.5</v>
          </cell>
          <cell r="P276">
            <v>10935.44</v>
          </cell>
        </row>
        <row r="277">
          <cell r="A277">
            <v>520205010041</v>
          </cell>
          <cell r="B277" t="str">
            <v xml:space="preserve">Gastos de embarque por reexportacion                                  </v>
          </cell>
          <cell r="C277">
            <v>0</v>
          </cell>
          <cell r="D277">
            <v>0</v>
          </cell>
          <cell r="E277">
            <v>0</v>
          </cell>
          <cell r="F277">
            <v>250</v>
          </cell>
          <cell r="G277">
            <v>0</v>
          </cell>
          <cell r="H277">
            <v>0</v>
          </cell>
          <cell r="I277">
            <v>0</v>
          </cell>
          <cell r="J277">
            <v>0</v>
          </cell>
          <cell r="K277">
            <v>0</v>
          </cell>
          <cell r="L277">
            <v>0</v>
          </cell>
          <cell r="M277">
            <v>0</v>
          </cell>
          <cell r="N277">
            <v>0</v>
          </cell>
          <cell r="P277">
            <v>250</v>
          </cell>
        </row>
        <row r="278">
          <cell r="A278">
            <v>520206</v>
          </cell>
          <cell r="B278" t="str">
            <v xml:space="preserve">IMPUESTOS, CONTRIBUCIONES Y OTROS                                     </v>
          </cell>
          <cell r="C278">
            <v>4068.88</v>
          </cell>
          <cell r="D278">
            <v>0</v>
          </cell>
          <cell r="E278">
            <v>530.99</v>
          </cell>
          <cell r="F278">
            <v>236.11</v>
          </cell>
          <cell r="G278">
            <v>39676.620000000003</v>
          </cell>
          <cell r="H278">
            <v>895</v>
          </cell>
          <cell r="I278">
            <v>16184.27</v>
          </cell>
          <cell r="J278">
            <v>246.05</v>
          </cell>
          <cell r="K278">
            <v>224.01</v>
          </cell>
          <cell r="L278">
            <v>9737.16</v>
          </cell>
          <cell r="M278">
            <v>269.18</v>
          </cell>
          <cell r="N278">
            <v>262.26</v>
          </cell>
          <cell r="P278">
            <v>72330.53</v>
          </cell>
        </row>
        <row r="279">
          <cell r="A279">
            <v>52020601</v>
          </cell>
          <cell r="B279" t="str">
            <v xml:space="preserve">IMPUESTOS Y CONTRIBUCIONES                                            </v>
          </cell>
          <cell r="C279">
            <v>4068.88</v>
          </cell>
          <cell r="D279">
            <v>0</v>
          </cell>
          <cell r="E279">
            <v>530.99</v>
          </cell>
          <cell r="F279">
            <v>236.11</v>
          </cell>
          <cell r="G279">
            <v>39676.620000000003</v>
          </cell>
          <cell r="H279">
            <v>895</v>
          </cell>
          <cell r="I279">
            <v>16184.27</v>
          </cell>
          <cell r="J279">
            <v>246.05</v>
          </cell>
          <cell r="K279">
            <v>224.01</v>
          </cell>
          <cell r="L279">
            <v>9737.16</v>
          </cell>
          <cell r="M279">
            <v>269.18</v>
          </cell>
          <cell r="N279">
            <v>262.26</v>
          </cell>
          <cell r="P279">
            <v>72330.53</v>
          </cell>
        </row>
        <row r="280">
          <cell r="A280">
            <v>520206010001</v>
          </cell>
          <cell r="B280" t="str">
            <v xml:space="preserve">Impuestos  municipales                                                </v>
          </cell>
          <cell r="C280">
            <v>3796.81</v>
          </cell>
          <cell r="D280">
            <v>0</v>
          </cell>
          <cell r="E280">
            <v>0</v>
          </cell>
          <cell r="F280">
            <v>0</v>
          </cell>
          <cell r="G280">
            <v>39364.51</v>
          </cell>
          <cell r="H280">
            <v>0</v>
          </cell>
          <cell r="I280">
            <v>0</v>
          </cell>
          <cell r="J280">
            <v>0</v>
          </cell>
          <cell r="K280">
            <v>0</v>
          </cell>
          <cell r="L280">
            <v>9497.1200000000008</v>
          </cell>
          <cell r="M280">
            <v>0</v>
          </cell>
          <cell r="N280">
            <v>0</v>
          </cell>
          <cell r="P280">
            <v>52658.44</v>
          </cell>
        </row>
        <row r="281">
          <cell r="A281">
            <v>520206010002</v>
          </cell>
          <cell r="B281" t="str">
            <v xml:space="preserve">Impuesto Cuerpo de Bomberos                                           </v>
          </cell>
          <cell r="C281">
            <v>0</v>
          </cell>
          <cell r="D281">
            <v>0</v>
          </cell>
          <cell r="E281">
            <v>0</v>
          </cell>
          <cell r="F281">
            <v>0</v>
          </cell>
          <cell r="G281">
            <v>0</v>
          </cell>
          <cell r="H281">
            <v>414</v>
          </cell>
          <cell r="I281">
            <v>0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  <cell r="N281">
            <v>0</v>
          </cell>
          <cell r="P281">
            <v>414</v>
          </cell>
        </row>
        <row r="282">
          <cell r="A282">
            <v>520206010004</v>
          </cell>
          <cell r="B282" t="str">
            <v xml:space="preserve">Contribuciones  Super de Compania                                     </v>
          </cell>
          <cell r="C282">
            <v>0</v>
          </cell>
          <cell r="D282">
            <v>0</v>
          </cell>
          <cell r="E282">
            <v>0</v>
          </cell>
          <cell r="F282">
            <v>0</v>
          </cell>
          <cell r="G282">
            <v>0</v>
          </cell>
          <cell r="H282">
            <v>0</v>
          </cell>
          <cell r="I282">
            <v>15954.58</v>
          </cell>
          <cell r="J282">
            <v>0</v>
          </cell>
          <cell r="K282">
            <v>0</v>
          </cell>
          <cell r="L282">
            <v>0</v>
          </cell>
          <cell r="M282">
            <v>0</v>
          </cell>
          <cell r="N282">
            <v>0</v>
          </cell>
          <cell r="P282">
            <v>15954.58</v>
          </cell>
        </row>
        <row r="283">
          <cell r="A283">
            <v>520206010005</v>
          </cell>
          <cell r="B283" t="str">
            <v xml:space="preserve">Contribucion Solca                                                    </v>
          </cell>
          <cell r="C283">
            <v>0</v>
          </cell>
          <cell r="D283">
            <v>0</v>
          </cell>
          <cell r="E283">
            <v>0</v>
          </cell>
          <cell r="F283">
            <v>0</v>
          </cell>
          <cell r="G283">
            <v>0.17</v>
          </cell>
          <cell r="H283">
            <v>0.09</v>
          </cell>
          <cell r="I283">
            <v>0</v>
          </cell>
          <cell r="J283">
            <v>0</v>
          </cell>
          <cell r="K283">
            <v>0.05</v>
          </cell>
          <cell r="L283">
            <v>0</v>
          </cell>
          <cell r="M283">
            <v>0</v>
          </cell>
          <cell r="N283">
            <v>0.92</v>
          </cell>
          <cell r="P283">
            <v>1.23</v>
          </cell>
        </row>
        <row r="284">
          <cell r="A284">
            <v>520206010006</v>
          </cell>
          <cell r="B284" t="str">
            <v xml:space="preserve">Impuesto salida de divisa                                             </v>
          </cell>
          <cell r="C284">
            <v>0</v>
          </cell>
          <cell r="D284">
            <v>0</v>
          </cell>
          <cell r="E284">
            <v>0</v>
          </cell>
          <cell r="F284">
            <v>0</v>
          </cell>
          <cell r="G284">
            <v>89.35</v>
          </cell>
          <cell r="H284">
            <v>0</v>
          </cell>
          <cell r="I284">
            <v>0</v>
          </cell>
          <cell r="J284">
            <v>0</v>
          </cell>
          <cell r="K284">
            <v>0</v>
          </cell>
          <cell r="L284">
            <v>0</v>
          </cell>
          <cell r="M284">
            <v>45.24</v>
          </cell>
          <cell r="N284">
            <v>0</v>
          </cell>
          <cell r="P284">
            <v>134.59</v>
          </cell>
        </row>
        <row r="285">
          <cell r="A285">
            <v>520206010007</v>
          </cell>
          <cell r="B285" t="str">
            <v xml:space="preserve">Otros Impuestos                                                       </v>
          </cell>
          <cell r="C285">
            <v>0</v>
          </cell>
          <cell r="D285">
            <v>0</v>
          </cell>
          <cell r="E285">
            <v>0</v>
          </cell>
          <cell r="F285">
            <v>0</v>
          </cell>
          <cell r="G285">
            <v>0</v>
          </cell>
          <cell r="H285">
            <v>200</v>
          </cell>
          <cell r="I285">
            <v>0</v>
          </cell>
          <cell r="J285">
            <v>0</v>
          </cell>
          <cell r="K285">
            <v>0</v>
          </cell>
          <cell r="L285">
            <v>0</v>
          </cell>
          <cell r="M285">
            <v>0</v>
          </cell>
          <cell r="N285">
            <v>0</v>
          </cell>
          <cell r="P285">
            <v>200</v>
          </cell>
        </row>
        <row r="286">
          <cell r="A286">
            <v>520206010008</v>
          </cell>
          <cell r="B286" t="str">
            <v xml:space="preserve">Tasa de recoleccion de basura                                         </v>
          </cell>
          <cell r="C286">
            <v>272.07</v>
          </cell>
          <cell r="D286">
            <v>0</v>
          </cell>
          <cell r="E286">
            <v>530.99</v>
          </cell>
          <cell r="F286">
            <v>236.11</v>
          </cell>
          <cell r="G286">
            <v>222.59</v>
          </cell>
          <cell r="H286">
            <v>280.91000000000003</v>
          </cell>
          <cell r="I286">
            <v>229.69</v>
          </cell>
          <cell r="J286">
            <v>246.05</v>
          </cell>
          <cell r="K286">
            <v>223.96</v>
          </cell>
          <cell r="L286">
            <v>240.04</v>
          </cell>
          <cell r="M286">
            <v>223.94</v>
          </cell>
          <cell r="N286">
            <v>261.33999999999997</v>
          </cell>
          <cell r="P286">
            <v>2967.69</v>
          </cell>
        </row>
        <row r="287">
          <cell r="A287">
            <v>520207</v>
          </cell>
          <cell r="B287" t="str">
            <v xml:space="preserve">DEPRECIACIONES:                                                       </v>
          </cell>
          <cell r="C287">
            <v>4821.3999999999996</v>
          </cell>
          <cell r="D287">
            <v>4737.63</v>
          </cell>
          <cell r="E287">
            <v>4504.4799999999996</v>
          </cell>
          <cell r="F287">
            <v>4508.88</v>
          </cell>
          <cell r="G287">
            <v>4531.47</v>
          </cell>
          <cell r="H287">
            <v>4516.3999999999996</v>
          </cell>
          <cell r="I287">
            <v>4364.96</v>
          </cell>
          <cell r="J287">
            <v>3867.18</v>
          </cell>
          <cell r="K287">
            <v>3704.24</v>
          </cell>
          <cell r="L287">
            <v>3305.55</v>
          </cell>
          <cell r="M287">
            <v>3297.2</v>
          </cell>
          <cell r="N287">
            <v>3717.27</v>
          </cell>
          <cell r="P287">
            <v>49876.659999999996</v>
          </cell>
        </row>
        <row r="288">
          <cell r="A288">
            <v>52020701</v>
          </cell>
          <cell r="B288" t="str">
            <v xml:space="preserve">PROPIEDADES, PLANTA Y EQUIPO                                          </v>
          </cell>
          <cell r="C288">
            <v>4821.3999999999996</v>
          </cell>
          <cell r="D288">
            <v>4737.63</v>
          </cell>
          <cell r="E288">
            <v>4504.4799999999996</v>
          </cell>
          <cell r="F288">
            <v>4508.88</v>
          </cell>
          <cell r="G288">
            <v>4531.47</v>
          </cell>
          <cell r="H288">
            <v>4516.3999999999996</v>
          </cell>
          <cell r="I288">
            <v>4364.96</v>
          </cell>
          <cell r="J288">
            <v>3867.18</v>
          </cell>
          <cell r="K288">
            <v>3704.24</v>
          </cell>
          <cell r="L288">
            <v>3305.55</v>
          </cell>
          <cell r="M288">
            <v>3297.2</v>
          </cell>
          <cell r="N288">
            <v>3717.27</v>
          </cell>
          <cell r="P288">
            <v>49876.659999999996</v>
          </cell>
        </row>
        <row r="289">
          <cell r="A289">
            <v>520207010001</v>
          </cell>
          <cell r="B289" t="str">
            <v xml:space="preserve">Gastos de Depreciación de Edificios                                   </v>
          </cell>
          <cell r="C289">
            <v>682.68</v>
          </cell>
          <cell r="D289">
            <v>682.68</v>
          </cell>
          <cell r="E289">
            <v>682.68</v>
          </cell>
          <cell r="F289">
            <v>682.68</v>
          </cell>
          <cell r="G289">
            <v>682.68</v>
          </cell>
          <cell r="H289">
            <v>682.68</v>
          </cell>
          <cell r="I289">
            <v>682.68</v>
          </cell>
          <cell r="J289">
            <v>682.68</v>
          </cell>
          <cell r="K289">
            <v>682.68</v>
          </cell>
          <cell r="L289">
            <v>682.68</v>
          </cell>
          <cell r="M289">
            <v>682.68</v>
          </cell>
          <cell r="N289">
            <v>682.68</v>
          </cell>
          <cell r="P289">
            <v>8192.1600000000017</v>
          </cell>
        </row>
        <row r="290">
          <cell r="A290">
            <v>520207010003</v>
          </cell>
          <cell r="B290" t="str">
            <v xml:space="preserve">Gastos de Depreciaciones de Muebles y Enseres                         </v>
          </cell>
          <cell r="C290">
            <v>387.98</v>
          </cell>
          <cell r="D290">
            <v>382.23</v>
          </cell>
          <cell r="E290">
            <v>375.13</v>
          </cell>
          <cell r="F290">
            <v>372.71</v>
          </cell>
          <cell r="G290">
            <v>365.76</v>
          </cell>
          <cell r="H290">
            <v>360.78</v>
          </cell>
          <cell r="I290">
            <v>360.78</v>
          </cell>
          <cell r="J290">
            <v>360.78</v>
          </cell>
          <cell r="K290">
            <v>360.78</v>
          </cell>
          <cell r="L290">
            <v>360.78</v>
          </cell>
          <cell r="M290">
            <v>360.78</v>
          </cell>
          <cell r="N290">
            <v>364.59</v>
          </cell>
          <cell r="P290">
            <v>4413.079999999999</v>
          </cell>
        </row>
        <row r="291">
          <cell r="A291">
            <v>520207010004</v>
          </cell>
          <cell r="B291" t="str">
            <v xml:space="preserve">Gastos de Depreciación de Equipos de computacion                      </v>
          </cell>
          <cell r="C291">
            <v>459.84</v>
          </cell>
          <cell r="D291">
            <v>381.82</v>
          </cell>
          <cell r="E291">
            <v>268.57</v>
          </cell>
          <cell r="F291">
            <v>200.19</v>
          </cell>
          <cell r="G291">
            <v>192.13</v>
          </cell>
          <cell r="H291">
            <v>182.04</v>
          </cell>
          <cell r="I291">
            <v>181.55</v>
          </cell>
          <cell r="J291">
            <v>181.55</v>
          </cell>
          <cell r="K291">
            <v>181.66</v>
          </cell>
          <cell r="L291">
            <v>175.21</v>
          </cell>
          <cell r="M291">
            <v>182.46</v>
          </cell>
          <cell r="N291">
            <v>184.14</v>
          </cell>
          <cell r="P291">
            <v>2771.16</v>
          </cell>
        </row>
        <row r="292">
          <cell r="A292">
            <v>520207010005</v>
          </cell>
          <cell r="B292" t="str">
            <v xml:space="preserve">Gastos de Depreciación de Vehiculos                                   </v>
          </cell>
          <cell r="C292">
            <v>3255.45</v>
          </cell>
          <cell r="D292">
            <v>3255.45</v>
          </cell>
          <cell r="E292">
            <v>3255.45</v>
          </cell>
          <cell r="F292">
            <v>3255.45</v>
          </cell>
          <cell r="G292">
            <v>3255.45</v>
          </cell>
          <cell r="H292">
            <v>3255.45</v>
          </cell>
          <cell r="I292">
            <v>3104.5</v>
          </cell>
          <cell r="J292">
            <v>2606.7199999999998</v>
          </cell>
          <cell r="K292">
            <v>2443.67</v>
          </cell>
          <cell r="L292">
            <v>2062.5</v>
          </cell>
          <cell r="M292">
            <v>2062.5</v>
          </cell>
          <cell r="N292">
            <v>2477.08</v>
          </cell>
          <cell r="P292">
            <v>34289.670000000006</v>
          </cell>
        </row>
        <row r="293">
          <cell r="A293">
            <v>520207010006</v>
          </cell>
          <cell r="B293" t="str">
            <v xml:space="preserve">Gastos de Depreciación de Otras propiedades, plantas y Equipos        </v>
          </cell>
          <cell r="C293">
            <v>26.67</v>
          </cell>
          <cell r="D293">
            <v>26.67</v>
          </cell>
          <cell r="E293">
            <v>-86.13</v>
          </cell>
          <cell r="F293">
            <v>-10.93</v>
          </cell>
          <cell r="G293">
            <v>26.67</v>
          </cell>
          <cell r="H293">
            <v>26.67</v>
          </cell>
          <cell r="I293">
            <v>26.67</v>
          </cell>
          <cell r="J293">
            <v>26.67</v>
          </cell>
          <cell r="K293">
            <v>26.67</v>
          </cell>
          <cell r="L293">
            <v>15.6</v>
          </cell>
          <cell r="M293">
            <v>0</v>
          </cell>
          <cell r="N293">
            <v>0</v>
          </cell>
          <cell r="P293">
            <v>105.23000000000002</v>
          </cell>
        </row>
        <row r="294">
          <cell r="A294">
            <v>520207010007</v>
          </cell>
          <cell r="B294" t="str">
            <v xml:space="preserve">Gastos depreciacion equipos de seguridad                              </v>
          </cell>
          <cell r="C294">
            <v>8.7799999999999994</v>
          </cell>
          <cell r="D294">
            <v>8.7799999999999994</v>
          </cell>
          <cell r="E294">
            <v>8.7799999999999994</v>
          </cell>
          <cell r="F294">
            <v>8.7799999999999994</v>
          </cell>
          <cell r="G294">
            <v>8.7799999999999994</v>
          </cell>
          <cell r="H294">
            <v>8.7799999999999994</v>
          </cell>
          <cell r="I294">
            <v>8.7799999999999994</v>
          </cell>
          <cell r="J294">
            <v>8.7799999999999994</v>
          </cell>
          <cell r="K294">
            <v>8.7799999999999994</v>
          </cell>
          <cell r="L294">
            <v>8.7799999999999994</v>
          </cell>
          <cell r="M294">
            <v>8.7799999999999994</v>
          </cell>
          <cell r="N294">
            <v>8.7799999999999994</v>
          </cell>
          <cell r="P294">
            <v>105.36</v>
          </cell>
        </row>
        <row r="295">
          <cell r="A295">
            <v>5203</v>
          </cell>
          <cell r="B295" t="str">
            <v xml:space="preserve">GASTOS  FINANCIEROS                                                   </v>
          </cell>
          <cell r="C295">
            <v>14815.51</v>
          </cell>
          <cell r="D295">
            <v>10293.01</v>
          </cell>
          <cell r="E295">
            <v>10267.41</v>
          </cell>
          <cell r="F295">
            <v>10194.91</v>
          </cell>
          <cell r="G295">
            <v>9794.06</v>
          </cell>
          <cell r="H295">
            <v>8050.61</v>
          </cell>
          <cell r="I295">
            <v>4618.74</v>
          </cell>
          <cell r="J295">
            <v>469.5</v>
          </cell>
          <cell r="K295">
            <v>1347.41</v>
          </cell>
          <cell r="L295">
            <v>1046.93</v>
          </cell>
          <cell r="M295">
            <v>836.11</v>
          </cell>
          <cell r="N295">
            <v>1264.06</v>
          </cell>
          <cell r="P295">
            <v>72998.259999999995</v>
          </cell>
        </row>
        <row r="296">
          <cell r="A296">
            <v>520301</v>
          </cell>
          <cell r="B296" t="str">
            <v xml:space="preserve">GASTOS FINANCIEROS                                                    </v>
          </cell>
          <cell r="C296">
            <v>14815.51</v>
          </cell>
          <cell r="D296">
            <v>10293.01</v>
          </cell>
          <cell r="E296">
            <v>10267.41</v>
          </cell>
          <cell r="F296">
            <v>10194.91</v>
          </cell>
          <cell r="G296">
            <v>9794.06</v>
          </cell>
          <cell r="H296">
            <v>8050.61</v>
          </cell>
          <cell r="I296">
            <v>4618.74</v>
          </cell>
          <cell r="J296">
            <v>469.5</v>
          </cell>
          <cell r="K296">
            <v>1347.41</v>
          </cell>
          <cell r="L296">
            <v>1046.93</v>
          </cell>
          <cell r="M296">
            <v>836.11</v>
          </cell>
          <cell r="N296">
            <v>1264.06</v>
          </cell>
          <cell r="P296">
            <v>72998.259999999995</v>
          </cell>
        </row>
        <row r="297">
          <cell r="A297">
            <v>52030101</v>
          </cell>
          <cell r="B297" t="str">
            <v xml:space="preserve">INTERESES                                                             </v>
          </cell>
          <cell r="C297">
            <v>13499.06</v>
          </cell>
          <cell r="D297">
            <v>9488.65</v>
          </cell>
          <cell r="E297">
            <v>9492.1299999999992</v>
          </cell>
          <cell r="F297">
            <v>8992.6200000000008</v>
          </cell>
          <cell r="G297">
            <v>8183.49</v>
          </cell>
          <cell r="H297">
            <v>6878.21</v>
          </cell>
          <cell r="I297">
            <v>3128.57</v>
          </cell>
          <cell r="J297">
            <v>0</v>
          </cell>
          <cell r="K297">
            <v>0</v>
          </cell>
          <cell r="L297">
            <v>0</v>
          </cell>
          <cell r="M297">
            <v>0</v>
          </cell>
          <cell r="N297">
            <v>19.649999999999999</v>
          </cell>
          <cell r="P297">
            <v>59682.38</v>
          </cell>
        </row>
        <row r="298">
          <cell r="A298">
            <v>520301010001</v>
          </cell>
          <cell r="B298" t="str">
            <v xml:space="preserve">Intereses Bancarios                                                   </v>
          </cell>
          <cell r="C298">
            <v>13499.06</v>
          </cell>
          <cell r="D298">
            <v>9488.65</v>
          </cell>
          <cell r="E298">
            <v>9492.1299999999992</v>
          </cell>
          <cell r="F298">
            <v>8992.6200000000008</v>
          </cell>
          <cell r="G298">
            <v>8183.49</v>
          </cell>
          <cell r="H298">
            <v>6878.21</v>
          </cell>
          <cell r="I298">
            <v>3128.57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  <cell r="N298">
            <v>19.649999999999999</v>
          </cell>
          <cell r="P298">
            <v>59682.38</v>
          </cell>
        </row>
        <row r="299">
          <cell r="A299">
            <v>52030102</v>
          </cell>
          <cell r="B299" t="str">
            <v xml:space="preserve">OTROS GASTOS FINANCIEROS                                              </v>
          </cell>
          <cell r="C299">
            <v>1316.45</v>
          </cell>
          <cell r="D299">
            <v>804.36</v>
          </cell>
          <cell r="E299">
            <v>775.28</v>
          </cell>
          <cell r="F299">
            <v>1202.29</v>
          </cell>
          <cell r="G299">
            <v>1610.57</v>
          </cell>
          <cell r="H299">
            <v>1172.4000000000001</v>
          </cell>
          <cell r="I299">
            <v>1490.17</v>
          </cell>
          <cell r="J299">
            <v>469.5</v>
          </cell>
          <cell r="K299">
            <v>1347.41</v>
          </cell>
          <cell r="L299">
            <v>1046.93</v>
          </cell>
          <cell r="M299">
            <v>836.11</v>
          </cell>
          <cell r="N299">
            <v>1244.4100000000001</v>
          </cell>
          <cell r="P299">
            <v>13315.880000000001</v>
          </cell>
          <cell r="U299">
            <v>272</v>
          </cell>
        </row>
        <row r="300">
          <cell r="A300">
            <v>520301020001</v>
          </cell>
          <cell r="B300" t="str">
            <v xml:space="preserve">Gastos Bancarios                                                      </v>
          </cell>
          <cell r="C300">
            <v>1316.45</v>
          </cell>
          <cell r="D300">
            <v>804.36</v>
          </cell>
          <cell r="E300">
            <v>775.28</v>
          </cell>
          <cell r="F300">
            <v>1202.29</v>
          </cell>
          <cell r="G300">
            <v>1610.57</v>
          </cell>
          <cell r="H300">
            <v>1172.4000000000001</v>
          </cell>
          <cell r="I300">
            <v>1490.17</v>
          </cell>
          <cell r="J300">
            <v>1211.9100000000001</v>
          </cell>
          <cell r="K300">
            <v>1347.41</v>
          </cell>
          <cell r="L300">
            <v>1046.93</v>
          </cell>
          <cell r="M300">
            <v>836.11</v>
          </cell>
          <cell r="N300">
            <v>1244.4100000000001</v>
          </cell>
          <cell r="P300">
            <v>14058.29</v>
          </cell>
        </row>
        <row r="301">
          <cell r="A301">
            <v>520301020002</v>
          </cell>
          <cell r="B301" t="str">
            <v xml:space="preserve">Diferencia en Cambio                                                  </v>
          </cell>
          <cell r="C301">
            <v>0</v>
          </cell>
          <cell r="D301">
            <v>0</v>
          </cell>
          <cell r="E301">
            <v>0</v>
          </cell>
          <cell r="F301">
            <v>0</v>
          </cell>
          <cell r="G301">
            <v>0</v>
          </cell>
          <cell r="H301">
            <v>0</v>
          </cell>
          <cell r="I301">
            <v>0</v>
          </cell>
          <cell r="J301">
            <v>-742.41</v>
          </cell>
          <cell r="K301">
            <v>0</v>
          </cell>
          <cell r="L301">
            <v>0</v>
          </cell>
          <cell r="M301">
            <v>0</v>
          </cell>
          <cell r="N301">
            <v>0</v>
          </cell>
          <cell r="P301">
            <v>-742.41</v>
          </cell>
        </row>
        <row r="302">
          <cell r="A302">
            <v>54</v>
          </cell>
          <cell r="B302" t="str">
            <v xml:space="preserve">OTROS INGRESOS Y EGRESOS                                              </v>
          </cell>
          <cell r="C302">
            <v>-169.38</v>
          </cell>
          <cell r="D302">
            <v>-52.54</v>
          </cell>
          <cell r="E302">
            <v>-35.17</v>
          </cell>
          <cell r="F302">
            <v>-43.93</v>
          </cell>
          <cell r="G302">
            <v>-401.92</v>
          </cell>
          <cell r="H302">
            <v>-609.48</v>
          </cell>
          <cell r="I302">
            <v>-8804.99</v>
          </cell>
          <cell r="J302">
            <v>-1151.22</v>
          </cell>
          <cell r="K302">
            <v>-743.96</v>
          </cell>
          <cell r="L302">
            <v>88452.62</v>
          </cell>
          <cell r="M302">
            <v>57128.08</v>
          </cell>
          <cell r="N302">
            <v>65030.77</v>
          </cell>
          <cell r="P302">
            <v>198598.87999999998</v>
          </cell>
        </row>
        <row r="303">
          <cell r="A303">
            <v>5401</v>
          </cell>
          <cell r="B303" t="str">
            <v xml:space="preserve">OTROS INGRESOS                                                        </v>
          </cell>
          <cell r="C303">
            <v>-169.38</v>
          </cell>
          <cell r="D303">
            <v>-52.54</v>
          </cell>
          <cell r="E303">
            <v>-35.17</v>
          </cell>
          <cell r="F303">
            <v>-43.93</v>
          </cell>
          <cell r="G303">
            <v>-401.92</v>
          </cell>
          <cell r="H303">
            <v>-609.48</v>
          </cell>
          <cell r="I303">
            <v>-8804.99</v>
          </cell>
          <cell r="J303">
            <v>-1151.22</v>
          </cell>
          <cell r="K303">
            <v>-743.96</v>
          </cell>
          <cell r="L303">
            <v>88452.62</v>
          </cell>
          <cell r="M303">
            <v>57128.08</v>
          </cell>
          <cell r="N303">
            <v>65030.77</v>
          </cell>
          <cell r="P303">
            <v>198598.87999999998</v>
          </cell>
        </row>
        <row r="304">
          <cell r="A304">
            <v>540101</v>
          </cell>
          <cell r="B304" t="str">
            <v xml:space="preserve">OTROS INGRESOS                                                        </v>
          </cell>
          <cell r="C304">
            <v>-169.38</v>
          </cell>
          <cell r="D304">
            <v>-52.54</v>
          </cell>
          <cell r="E304">
            <v>-35.17</v>
          </cell>
          <cell r="F304">
            <v>-43.93</v>
          </cell>
          <cell r="G304">
            <v>-401.92</v>
          </cell>
          <cell r="H304">
            <v>-609.48</v>
          </cell>
          <cell r="I304">
            <v>-8804.99</v>
          </cell>
          <cell r="J304">
            <v>-1151.22</v>
          </cell>
          <cell r="K304">
            <v>-743.96</v>
          </cell>
          <cell r="L304">
            <v>88452.62</v>
          </cell>
          <cell r="M304">
            <v>57128.08</v>
          </cell>
          <cell r="N304">
            <v>65030.77</v>
          </cell>
          <cell r="P304">
            <v>198598.87999999998</v>
          </cell>
        </row>
        <row r="305">
          <cell r="A305">
            <v>54010103</v>
          </cell>
          <cell r="B305" t="str">
            <v xml:space="preserve">OTROS INGRESOS                                                        </v>
          </cell>
          <cell r="C305">
            <v>-169.41</v>
          </cell>
          <cell r="D305">
            <v>-52.57</v>
          </cell>
          <cell r="E305">
            <v>-35.24</v>
          </cell>
          <cell r="F305">
            <v>-43.96</v>
          </cell>
          <cell r="G305">
            <v>-401.94</v>
          </cell>
          <cell r="H305">
            <v>-610.08000000000004</v>
          </cell>
          <cell r="I305">
            <v>-8805.08</v>
          </cell>
          <cell r="J305">
            <v>-1151.33</v>
          </cell>
          <cell r="K305">
            <v>-744.03</v>
          </cell>
          <cell r="L305">
            <v>-32.72</v>
          </cell>
          <cell r="M305">
            <v>-17982.47</v>
          </cell>
          <cell r="N305">
            <v>-3061.2</v>
          </cell>
          <cell r="P305">
            <v>-33090.03</v>
          </cell>
        </row>
        <row r="306">
          <cell r="A306">
            <v>540101030008</v>
          </cell>
          <cell r="B306" t="str">
            <v xml:space="preserve">Otros Intereses ganados                                               </v>
          </cell>
          <cell r="C306">
            <v>0</v>
          </cell>
          <cell r="D306">
            <v>0</v>
          </cell>
          <cell r="E306">
            <v>0</v>
          </cell>
          <cell r="F306">
            <v>0</v>
          </cell>
          <cell r="G306">
            <v>0</v>
          </cell>
          <cell r="H306">
            <v>0</v>
          </cell>
          <cell r="I306">
            <v>0</v>
          </cell>
          <cell r="J306">
            <v>-7.21</v>
          </cell>
          <cell r="K306">
            <v>0</v>
          </cell>
          <cell r="L306">
            <v>0</v>
          </cell>
          <cell r="M306">
            <v>0</v>
          </cell>
          <cell r="N306">
            <v>0</v>
          </cell>
          <cell r="P306">
            <v>-7.21</v>
          </cell>
        </row>
        <row r="307">
          <cell r="A307">
            <v>540101030009</v>
          </cell>
          <cell r="B307" t="str">
            <v xml:space="preserve">Ajustes                                                               </v>
          </cell>
          <cell r="C307">
            <v>0</v>
          </cell>
          <cell r="D307">
            <v>0</v>
          </cell>
          <cell r="E307">
            <v>0</v>
          </cell>
          <cell r="F307">
            <v>0</v>
          </cell>
          <cell r="G307">
            <v>0</v>
          </cell>
          <cell r="H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-1.6</v>
          </cell>
          <cell r="M307">
            <v>0</v>
          </cell>
          <cell r="N307">
            <v>0</v>
          </cell>
          <cell r="P307">
            <v>-1.6</v>
          </cell>
        </row>
        <row r="308">
          <cell r="A308">
            <v>540101030010</v>
          </cell>
          <cell r="B308" t="str">
            <v xml:space="preserve">Intereses ganados en bancos                                           </v>
          </cell>
          <cell r="C308">
            <v>-61.25</v>
          </cell>
          <cell r="D308">
            <v>-52.56</v>
          </cell>
          <cell r="E308">
            <v>-35.18</v>
          </cell>
          <cell r="F308">
            <v>-25.55</v>
          </cell>
          <cell r="G308">
            <v>-400</v>
          </cell>
          <cell r="H308">
            <v>-610</v>
          </cell>
          <cell r="I308">
            <v>-781.12</v>
          </cell>
          <cell r="J308">
            <v>-1143.33</v>
          </cell>
          <cell r="K308">
            <v>-743.89</v>
          </cell>
          <cell r="L308">
            <v>-31.11</v>
          </cell>
          <cell r="M308">
            <v>0</v>
          </cell>
          <cell r="N308">
            <v>-2037.49</v>
          </cell>
          <cell r="P308">
            <v>-5921.48</v>
          </cell>
        </row>
        <row r="309">
          <cell r="A309">
            <v>540101030011</v>
          </cell>
          <cell r="B309" t="str">
            <v xml:space="preserve">Otros ingresos                                                        </v>
          </cell>
          <cell r="C309">
            <v>-108.16</v>
          </cell>
          <cell r="D309">
            <v>-0.01</v>
          </cell>
          <cell r="E309">
            <v>-0.06</v>
          </cell>
          <cell r="F309">
            <v>-18.41</v>
          </cell>
          <cell r="G309">
            <v>-1.94</v>
          </cell>
          <cell r="H309">
            <v>-0.08</v>
          </cell>
          <cell r="I309">
            <v>-8023.96</v>
          </cell>
          <cell r="J309">
            <v>-0.79</v>
          </cell>
          <cell r="K309">
            <v>-0.14000000000000001</v>
          </cell>
          <cell r="L309">
            <v>-0.01</v>
          </cell>
          <cell r="M309">
            <v>-14368.52</v>
          </cell>
          <cell r="N309">
            <v>-511.64</v>
          </cell>
          <cell r="P309">
            <v>-23033.72</v>
          </cell>
        </row>
        <row r="310">
          <cell r="A310">
            <v>540101030012</v>
          </cell>
          <cell r="B310" t="str">
            <v xml:space="preserve">Otros Ingresos  excento -Seguro                                       </v>
          </cell>
          <cell r="C310">
            <v>0</v>
          </cell>
          <cell r="D310">
            <v>0</v>
          </cell>
          <cell r="E310">
            <v>0</v>
          </cell>
          <cell r="F310">
            <v>0</v>
          </cell>
          <cell r="G310">
            <v>0</v>
          </cell>
          <cell r="H310">
            <v>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0</v>
          </cell>
          <cell r="N310">
            <v>-512.07000000000005</v>
          </cell>
          <cell r="P310">
            <v>-512.07000000000005</v>
          </cell>
        </row>
        <row r="311">
          <cell r="A311">
            <v>540101030013</v>
          </cell>
          <cell r="B311" t="str">
            <v xml:space="preserve">Ingresos por Reembolso                                                </v>
          </cell>
          <cell r="C311">
            <v>0</v>
          </cell>
          <cell r="D311">
            <v>0</v>
          </cell>
          <cell r="E311">
            <v>0</v>
          </cell>
          <cell r="F311">
            <v>0</v>
          </cell>
          <cell r="G311">
            <v>0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-3613.95</v>
          </cell>
          <cell r="N311">
            <v>0</v>
          </cell>
          <cell r="P311">
            <v>-3613.95</v>
          </cell>
        </row>
        <row r="312">
          <cell r="A312">
            <v>54010104</v>
          </cell>
          <cell r="B312" t="str">
            <v xml:space="preserve">OTROS EGRESOS                                                         </v>
          </cell>
          <cell r="C312">
            <v>0.03</v>
          </cell>
          <cell r="D312">
            <v>0.03</v>
          </cell>
          <cell r="E312">
            <v>7.0000000000000007E-2</v>
          </cell>
          <cell r="F312">
            <v>0.03</v>
          </cell>
          <cell r="G312">
            <v>0.02</v>
          </cell>
          <cell r="H312">
            <v>0.6</v>
          </cell>
          <cell r="I312">
            <v>0.09</v>
          </cell>
          <cell r="J312">
            <v>0.11</v>
          </cell>
          <cell r="K312">
            <v>7.0000000000000007E-2</v>
          </cell>
          <cell r="L312">
            <v>88485.34</v>
          </cell>
          <cell r="M312">
            <v>75110.55</v>
          </cell>
          <cell r="N312">
            <v>68091.97</v>
          </cell>
          <cell r="P312">
            <v>231688.91</v>
          </cell>
        </row>
        <row r="313">
          <cell r="A313">
            <v>540101040009</v>
          </cell>
          <cell r="B313" t="str">
            <v xml:space="preserve">Otros egresos                                                         </v>
          </cell>
          <cell r="C313">
            <v>0.03</v>
          </cell>
          <cell r="D313">
            <v>0.03</v>
          </cell>
          <cell r="E313">
            <v>7.0000000000000007E-2</v>
          </cell>
          <cell r="F313">
            <v>0.03</v>
          </cell>
          <cell r="G313">
            <v>0.02</v>
          </cell>
          <cell r="H313">
            <v>0.6</v>
          </cell>
          <cell r="I313">
            <v>0.09</v>
          </cell>
          <cell r="J313">
            <v>0.11</v>
          </cell>
          <cell r="K313">
            <v>7.0000000000000007E-2</v>
          </cell>
          <cell r="L313">
            <v>0.04</v>
          </cell>
          <cell r="M313">
            <v>0.03</v>
          </cell>
          <cell r="N313">
            <v>0.02</v>
          </cell>
          <cell r="P313">
            <v>1.1400000000000001</v>
          </cell>
        </row>
        <row r="314">
          <cell r="A314">
            <v>540101040013</v>
          </cell>
          <cell r="B314" t="str">
            <v xml:space="preserve">Dada de baja de invetarios                                            </v>
          </cell>
          <cell r="C314">
            <v>0</v>
          </cell>
          <cell r="D314">
            <v>0</v>
          </cell>
          <cell r="E314">
            <v>0</v>
          </cell>
          <cell r="F314">
            <v>0</v>
          </cell>
          <cell r="G314">
            <v>0</v>
          </cell>
          <cell r="H314">
            <v>0</v>
          </cell>
          <cell r="I314">
            <v>0</v>
          </cell>
          <cell r="J314">
            <v>0</v>
          </cell>
          <cell r="K314">
            <v>0</v>
          </cell>
          <cell r="L314">
            <v>88485.3</v>
          </cell>
          <cell r="M314">
            <v>75110.52</v>
          </cell>
          <cell r="N314">
            <v>68091.95</v>
          </cell>
          <cell r="P314">
            <v>231687.77000000002</v>
          </cell>
        </row>
        <row r="315">
          <cell r="A315">
            <v>91</v>
          </cell>
          <cell r="B315" t="str">
            <v xml:space="preserve">CUENTAS DE ORDEN DEUDORAS                                             </v>
          </cell>
          <cell r="C315">
            <v>0</v>
          </cell>
          <cell r="D315">
            <v>0</v>
          </cell>
          <cell r="E315">
            <v>0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-23000</v>
          </cell>
          <cell r="P315">
            <v>-23000</v>
          </cell>
        </row>
        <row r="316">
          <cell r="A316">
            <v>9101</v>
          </cell>
          <cell r="B316" t="str">
            <v xml:space="preserve">CUENTAS DE ORDEN DEUDORAS                                             </v>
          </cell>
          <cell r="C316">
            <v>0</v>
          </cell>
          <cell r="D316">
            <v>0</v>
          </cell>
          <cell r="E316">
            <v>0</v>
          </cell>
          <cell r="F316">
            <v>0</v>
          </cell>
          <cell r="G316">
            <v>0</v>
          </cell>
          <cell r="H316">
            <v>0</v>
          </cell>
          <cell r="I316">
            <v>0</v>
          </cell>
          <cell r="J316">
            <v>0</v>
          </cell>
          <cell r="K316">
            <v>0</v>
          </cell>
          <cell r="L316">
            <v>0</v>
          </cell>
          <cell r="M316">
            <v>0</v>
          </cell>
          <cell r="N316">
            <v>-23000</v>
          </cell>
          <cell r="P316">
            <v>-23000</v>
          </cell>
        </row>
        <row r="317">
          <cell r="A317">
            <v>910101</v>
          </cell>
          <cell r="B317" t="str">
            <v xml:space="preserve">CUENTAS DE ORDEN DEUDORAS                                             </v>
          </cell>
          <cell r="C317">
            <v>0</v>
          </cell>
          <cell r="D317">
            <v>0</v>
          </cell>
          <cell r="E317">
            <v>0</v>
          </cell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-23000</v>
          </cell>
          <cell r="P317">
            <v>-23000</v>
          </cell>
        </row>
        <row r="318">
          <cell r="A318">
            <v>9101010001</v>
          </cell>
          <cell r="B318" t="str">
            <v xml:space="preserve">Cheques recibidos en garantía                                         </v>
          </cell>
          <cell r="C318">
            <v>0</v>
          </cell>
          <cell r="D318">
            <v>0</v>
          </cell>
          <cell r="E318">
            <v>0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-23000</v>
          </cell>
          <cell r="P318">
            <v>-23000</v>
          </cell>
        </row>
        <row r="319">
          <cell r="A319">
            <v>92</v>
          </cell>
          <cell r="B319" t="str">
            <v xml:space="preserve">CUENTAS DE ORDEN ACREEDORAS                                           </v>
          </cell>
          <cell r="C319">
            <v>0</v>
          </cell>
          <cell r="D319">
            <v>0</v>
          </cell>
          <cell r="E319">
            <v>0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23000</v>
          </cell>
          <cell r="P319">
            <v>23000</v>
          </cell>
        </row>
        <row r="320">
          <cell r="A320">
            <v>9201</v>
          </cell>
          <cell r="B320" t="str">
            <v xml:space="preserve">CUENTAS DE ORDEN ACREEDORAS                                           </v>
          </cell>
          <cell r="C320">
            <v>0</v>
          </cell>
          <cell r="D320">
            <v>0</v>
          </cell>
          <cell r="E320">
            <v>0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23000</v>
          </cell>
          <cell r="P320">
            <v>23000</v>
          </cell>
        </row>
        <row r="321">
          <cell r="A321">
            <v>920101</v>
          </cell>
          <cell r="B321" t="str">
            <v xml:space="preserve">CUENTAS DE ORDEN ACREEDORAS                                           </v>
          </cell>
          <cell r="C321">
            <v>0</v>
          </cell>
          <cell r="D321">
            <v>0</v>
          </cell>
          <cell r="E321">
            <v>0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23000</v>
          </cell>
          <cell r="P321">
            <v>23000</v>
          </cell>
        </row>
        <row r="322">
          <cell r="A322">
            <v>9201010001</v>
          </cell>
          <cell r="B322" t="str">
            <v xml:space="preserve">Acreedores por cheques recibidos en garantía                          </v>
          </cell>
          <cell r="C322">
            <v>0</v>
          </cell>
          <cell r="D322">
            <v>0</v>
          </cell>
          <cell r="E322">
            <v>0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23000</v>
          </cell>
          <cell r="P322">
            <v>23000</v>
          </cell>
        </row>
      </sheetData>
      <sheetData sheetId="28">
        <row r="2">
          <cell r="A2" t="str">
            <v>Sistema Integrado LUCAS</v>
          </cell>
          <cell r="O2" t="str">
            <v>Fecha Imp 2021.10.20</v>
          </cell>
        </row>
        <row r="4">
          <cell r="A4" t="str">
            <v xml:space="preserve">GRAFIMPAC 2014                                                                                      </v>
          </cell>
        </row>
        <row r="5">
          <cell r="A5" t="str">
            <v xml:space="preserve">Estado Financiero </v>
          </cell>
        </row>
        <row r="6">
          <cell r="A6" t="str">
            <v>Estado de Situación Financiera</v>
          </cell>
        </row>
        <row r="7">
          <cell r="D7" t="str">
            <v>Desde  el     1 de Enero de 2020</v>
          </cell>
        </row>
        <row r="8">
          <cell r="A8" t="str">
            <v>Al   31 de Diciembre de 2020</v>
          </cell>
          <cell r="C8">
            <v>8.0000000074505806E-2</v>
          </cell>
          <cell r="D8">
            <v>309770.76</v>
          </cell>
          <cell r="E8">
            <v>343378.41</v>
          </cell>
          <cell r="F8">
            <v>125414.22999999998</v>
          </cell>
          <cell r="G8">
            <v>499117.34999999992</v>
          </cell>
          <cell r="H8">
            <v>233373.77000000002</v>
          </cell>
          <cell r="I8">
            <v>447687.90999999992</v>
          </cell>
          <cell r="J8">
            <v>121934.35000000009</v>
          </cell>
          <cell r="K8">
            <v>158704.73000000001</v>
          </cell>
          <cell r="L8">
            <v>-1204710.04</v>
          </cell>
          <cell r="M8">
            <v>1703701.5299999998</v>
          </cell>
          <cell r="N8">
            <v>-359029.66</v>
          </cell>
          <cell r="O8">
            <v>-3114682.5700000003</v>
          </cell>
          <cell r="P8">
            <v>-735339.15000000037</v>
          </cell>
        </row>
        <row r="10">
          <cell r="A10" t="str">
            <v>Cuenta Contable</v>
          </cell>
          <cell r="B10" t="str">
            <v>Nombre de la Cuenta</v>
          </cell>
          <cell r="C10" t="str">
            <v>Saldo Anterior</v>
          </cell>
          <cell r="D10" t="str">
            <v>Enero</v>
          </cell>
          <cell r="E10" t="str">
            <v>Febrero</v>
          </cell>
          <cell r="F10" t="str">
            <v>Marzo</v>
          </cell>
          <cell r="G10" t="str">
            <v>Abril</v>
          </cell>
          <cell r="H10" t="str">
            <v>Mayo</v>
          </cell>
          <cell r="I10" t="str">
            <v>Junio</v>
          </cell>
          <cell r="J10" t="str">
            <v>Julio</v>
          </cell>
          <cell r="K10" t="str">
            <v>Agosto</v>
          </cell>
          <cell r="L10" t="str">
            <v>Septiembre</v>
          </cell>
          <cell r="M10" t="str">
            <v>Octubre</v>
          </cell>
          <cell r="N10" t="str">
            <v>Noviembre</v>
          </cell>
          <cell r="O10" t="str">
            <v>Diciembre</v>
          </cell>
          <cell r="P10" t="str">
            <v>Saldo Actual</v>
          </cell>
          <cell r="R10" t="str">
            <v>Enero</v>
          </cell>
          <cell r="S10" t="str">
            <v>Febrero</v>
          </cell>
          <cell r="T10" t="str">
            <v>Marzo</v>
          </cell>
          <cell r="U10" t="str">
            <v>Abril</v>
          </cell>
          <cell r="V10" t="str">
            <v>Mayo</v>
          </cell>
          <cell r="W10" t="str">
            <v>Junio</v>
          </cell>
          <cell r="X10" t="str">
            <v>Julio</v>
          </cell>
          <cell r="Y10" t="str">
            <v>Agosto</v>
          </cell>
          <cell r="Z10" t="str">
            <v>Septiembre</v>
          </cell>
          <cell r="AA10" t="str">
            <v>Octubre</v>
          </cell>
          <cell r="AB10" t="str">
            <v>Noviembre</v>
          </cell>
          <cell r="AC10" t="str">
            <v>Diciembre</v>
          </cell>
        </row>
        <row r="11">
          <cell r="A11">
            <v>1</v>
          </cell>
          <cell r="B11" t="str">
            <v xml:space="preserve">ACTIVO                                                                </v>
          </cell>
          <cell r="C11">
            <v>19458158.25</v>
          </cell>
          <cell r="D11">
            <v>-788344.19</v>
          </cell>
          <cell r="E11">
            <v>40341.24</v>
          </cell>
          <cell r="F11">
            <v>1110160.28</v>
          </cell>
          <cell r="G11">
            <v>-362287.84</v>
          </cell>
          <cell r="H11">
            <v>-605850.02</v>
          </cell>
          <cell r="I11">
            <v>1773806.53</v>
          </cell>
          <cell r="J11">
            <v>2604727.23</v>
          </cell>
          <cell r="K11">
            <v>274816.82</v>
          </cell>
          <cell r="L11">
            <v>-2962273.62</v>
          </cell>
          <cell r="M11">
            <v>534218.82999999996</v>
          </cell>
          <cell r="N11">
            <v>-680658.62</v>
          </cell>
          <cell r="O11">
            <v>-2074498.51</v>
          </cell>
          <cell r="P11">
            <v>18322316.379999999</v>
          </cell>
          <cell r="R11">
            <v>18669814.059999999</v>
          </cell>
          <cell r="S11">
            <v>18710155.299999997</v>
          </cell>
          <cell r="T11">
            <v>19820315.579999998</v>
          </cell>
          <cell r="U11">
            <v>19458027.739999998</v>
          </cell>
          <cell r="V11">
            <v>18852177.719999999</v>
          </cell>
          <cell r="W11">
            <v>20625984.25</v>
          </cell>
          <cell r="X11">
            <v>23230711.48</v>
          </cell>
          <cell r="Y11">
            <v>23505528.300000001</v>
          </cell>
          <cell r="Z11">
            <v>20543254.68</v>
          </cell>
          <cell r="AA11">
            <v>21077473.509999998</v>
          </cell>
          <cell r="AB11">
            <v>20396814.889999997</v>
          </cell>
          <cell r="AC11">
            <v>18322316.379999995</v>
          </cell>
        </row>
        <row r="12">
          <cell r="A12">
            <v>101</v>
          </cell>
          <cell r="B12" t="str">
            <v xml:space="preserve">ACTIVO CORRIENTE                                                      </v>
          </cell>
          <cell r="C12">
            <v>12570968.16</v>
          </cell>
          <cell r="D12">
            <v>-734570.13</v>
          </cell>
          <cell r="E12">
            <v>94024.03</v>
          </cell>
          <cell r="F12">
            <v>1163532.19</v>
          </cell>
          <cell r="G12">
            <v>-691077.53</v>
          </cell>
          <cell r="H12">
            <v>-624985.93000000005</v>
          </cell>
          <cell r="I12">
            <v>1827592.53</v>
          </cell>
          <cell r="J12">
            <v>2657089.73</v>
          </cell>
          <cell r="K12">
            <v>327498.12</v>
          </cell>
          <cell r="L12">
            <v>-2909595.26</v>
          </cell>
          <cell r="M12">
            <v>552266.01</v>
          </cell>
          <cell r="N12">
            <v>-628408.94999999995</v>
          </cell>
          <cell r="O12">
            <v>-2008374.83</v>
          </cell>
          <cell r="P12">
            <v>11595958.140000001</v>
          </cell>
          <cell r="R12">
            <v>11836398.029999999</v>
          </cell>
          <cell r="S12">
            <v>11930422.059999999</v>
          </cell>
          <cell r="T12">
            <v>13093954.249999998</v>
          </cell>
          <cell r="U12">
            <v>12402876.719999999</v>
          </cell>
          <cell r="V12">
            <v>11777890.789999999</v>
          </cell>
          <cell r="W12">
            <v>13605483.319999998</v>
          </cell>
          <cell r="X12">
            <v>16262573.049999999</v>
          </cell>
          <cell r="Y12">
            <v>16590071.169999998</v>
          </cell>
          <cell r="Z12">
            <v>13680475.909999998</v>
          </cell>
          <cell r="AA12">
            <v>14232741.919999998</v>
          </cell>
          <cell r="AB12">
            <v>13604332.969999999</v>
          </cell>
          <cell r="AC12">
            <v>11595958.139999999</v>
          </cell>
        </row>
        <row r="13">
          <cell r="A13">
            <v>10101</v>
          </cell>
          <cell r="B13" t="str">
            <v xml:space="preserve">EFECTIVO Y EQUIVALENTES AL EFECTIVO                                   </v>
          </cell>
          <cell r="C13">
            <v>548385.12</v>
          </cell>
          <cell r="D13">
            <v>-170821.37</v>
          </cell>
          <cell r="E13">
            <v>94510.42</v>
          </cell>
          <cell r="F13">
            <v>514759.74</v>
          </cell>
          <cell r="G13">
            <v>-747082.77</v>
          </cell>
          <cell r="H13">
            <v>606281.68999999994</v>
          </cell>
          <cell r="I13">
            <v>77809.289999999994</v>
          </cell>
          <cell r="J13">
            <v>260459.45</v>
          </cell>
          <cell r="K13">
            <v>54794.59</v>
          </cell>
          <cell r="L13">
            <v>-823491.32</v>
          </cell>
          <cell r="M13">
            <v>-206211.72</v>
          </cell>
          <cell r="N13">
            <v>66055.83</v>
          </cell>
          <cell r="O13">
            <v>501815.03999999998</v>
          </cell>
          <cell r="P13">
            <v>777263.99</v>
          </cell>
          <cell r="R13">
            <v>377563.75</v>
          </cell>
          <cell r="S13">
            <v>472074.17</v>
          </cell>
          <cell r="T13">
            <v>986833.90999999992</v>
          </cell>
          <cell r="U13">
            <v>239751.1399999999</v>
          </cell>
          <cell r="V13">
            <v>846032.82999999984</v>
          </cell>
          <cell r="W13">
            <v>923842.11999999988</v>
          </cell>
          <cell r="X13">
            <v>1184301.5699999998</v>
          </cell>
          <cell r="Y13">
            <v>1239096.1599999999</v>
          </cell>
          <cell r="Z13">
            <v>415604.83999999997</v>
          </cell>
          <cell r="AA13">
            <v>209393.11999999997</v>
          </cell>
          <cell r="AB13">
            <v>275448.94999999995</v>
          </cell>
          <cell r="AC13">
            <v>777263.99</v>
          </cell>
        </row>
        <row r="14">
          <cell r="A14">
            <v>1010101</v>
          </cell>
          <cell r="B14" t="str">
            <v xml:space="preserve">CAJA                                                                  </v>
          </cell>
          <cell r="C14">
            <v>2310</v>
          </cell>
          <cell r="D14">
            <v>0</v>
          </cell>
          <cell r="E14">
            <v>0</v>
          </cell>
          <cell r="F14">
            <v>300000</v>
          </cell>
          <cell r="G14">
            <v>-300000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2310</v>
          </cell>
          <cell r="R14">
            <v>2310</v>
          </cell>
          <cell r="S14">
            <v>2310</v>
          </cell>
          <cell r="T14">
            <v>302310</v>
          </cell>
          <cell r="U14">
            <v>2310</v>
          </cell>
          <cell r="V14">
            <v>2310</v>
          </cell>
          <cell r="W14">
            <v>2310</v>
          </cell>
          <cell r="X14">
            <v>2310</v>
          </cell>
          <cell r="Y14">
            <v>2310</v>
          </cell>
          <cell r="Z14">
            <v>2310</v>
          </cell>
          <cell r="AA14">
            <v>2310</v>
          </cell>
          <cell r="AB14">
            <v>2310</v>
          </cell>
          <cell r="AC14">
            <v>2310</v>
          </cell>
        </row>
        <row r="15">
          <cell r="A15">
            <v>101010101</v>
          </cell>
          <cell r="B15" t="str">
            <v xml:space="preserve">CAJA CHICA                                                            </v>
          </cell>
          <cell r="C15">
            <v>2310</v>
          </cell>
          <cell r="D15">
            <v>0</v>
          </cell>
          <cell r="E15">
            <v>0</v>
          </cell>
          <cell r="F15">
            <v>300000</v>
          </cell>
          <cell r="G15">
            <v>-300000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2310</v>
          </cell>
          <cell r="R15">
            <v>2310</v>
          </cell>
          <cell r="S15">
            <v>2310</v>
          </cell>
          <cell r="T15">
            <v>302310</v>
          </cell>
          <cell r="U15">
            <v>2310</v>
          </cell>
          <cell r="V15">
            <v>2310</v>
          </cell>
          <cell r="W15">
            <v>2310</v>
          </cell>
          <cell r="X15">
            <v>2310</v>
          </cell>
          <cell r="Y15">
            <v>2310</v>
          </cell>
          <cell r="Z15">
            <v>2310</v>
          </cell>
          <cell r="AA15">
            <v>2310</v>
          </cell>
          <cell r="AB15">
            <v>2310</v>
          </cell>
          <cell r="AC15">
            <v>2310</v>
          </cell>
        </row>
        <row r="16">
          <cell r="A16">
            <v>101010101001</v>
          </cell>
          <cell r="B16" t="str">
            <v xml:space="preserve">Caja Chica Administracion                                             </v>
          </cell>
          <cell r="C16">
            <v>1710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1710</v>
          </cell>
          <cell r="R16">
            <v>1710</v>
          </cell>
          <cell r="S16">
            <v>1710</v>
          </cell>
          <cell r="T16">
            <v>1710</v>
          </cell>
          <cell r="U16">
            <v>1710</v>
          </cell>
          <cell r="V16">
            <v>1710</v>
          </cell>
          <cell r="W16">
            <v>1710</v>
          </cell>
          <cell r="X16">
            <v>1710</v>
          </cell>
          <cell r="Y16">
            <v>1710</v>
          </cell>
          <cell r="Z16">
            <v>1710</v>
          </cell>
          <cell r="AA16">
            <v>1710</v>
          </cell>
          <cell r="AB16">
            <v>1710</v>
          </cell>
          <cell r="AC16">
            <v>1710</v>
          </cell>
        </row>
        <row r="17">
          <cell r="A17">
            <v>101010101002</v>
          </cell>
          <cell r="B17" t="str">
            <v xml:space="preserve">Caja Chica Ventas                                                     </v>
          </cell>
          <cell r="C17">
            <v>600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600</v>
          </cell>
          <cell r="R17">
            <v>600</v>
          </cell>
          <cell r="S17">
            <v>600</v>
          </cell>
          <cell r="T17">
            <v>600</v>
          </cell>
          <cell r="U17">
            <v>600</v>
          </cell>
          <cell r="V17">
            <v>600</v>
          </cell>
          <cell r="W17">
            <v>600</v>
          </cell>
          <cell r="X17">
            <v>600</v>
          </cell>
          <cell r="Y17">
            <v>600</v>
          </cell>
          <cell r="Z17">
            <v>600</v>
          </cell>
          <cell r="AA17">
            <v>600</v>
          </cell>
          <cell r="AB17">
            <v>600</v>
          </cell>
          <cell r="AC17">
            <v>600</v>
          </cell>
        </row>
        <row r="18">
          <cell r="A18">
            <v>101010101004</v>
          </cell>
          <cell r="B18" t="str">
            <v xml:space="preserve">Depòsitos en trànsito                                                 </v>
          </cell>
          <cell r="C18">
            <v>0</v>
          </cell>
          <cell r="D18">
            <v>0</v>
          </cell>
          <cell r="E18">
            <v>0</v>
          </cell>
          <cell r="F18">
            <v>300000</v>
          </cell>
          <cell r="G18">
            <v>-300000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R18">
            <v>0</v>
          </cell>
          <cell r="S18">
            <v>0</v>
          </cell>
          <cell r="T18">
            <v>300000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</row>
        <row r="19">
          <cell r="A19">
            <v>1010102</v>
          </cell>
          <cell r="B19" t="str">
            <v xml:space="preserve">BANCOS                                                                </v>
          </cell>
          <cell r="C19">
            <v>546075.12</v>
          </cell>
          <cell r="D19">
            <v>-170821.37</v>
          </cell>
          <cell r="E19">
            <v>94510.42</v>
          </cell>
          <cell r="F19">
            <v>214759.74</v>
          </cell>
          <cell r="G19">
            <v>-447082.77</v>
          </cell>
          <cell r="H19">
            <v>606281.68999999994</v>
          </cell>
          <cell r="I19">
            <v>77809.289999999994</v>
          </cell>
          <cell r="J19">
            <v>260459.45</v>
          </cell>
          <cell r="K19">
            <v>54794.59</v>
          </cell>
          <cell r="L19">
            <v>-823491.32</v>
          </cell>
          <cell r="M19">
            <v>-206211.72</v>
          </cell>
          <cell r="N19">
            <v>66055.83</v>
          </cell>
          <cell r="O19">
            <v>501815.03999999998</v>
          </cell>
          <cell r="P19">
            <v>774953.99</v>
          </cell>
          <cell r="R19">
            <v>375253.75</v>
          </cell>
          <cell r="S19">
            <v>469764.17</v>
          </cell>
          <cell r="T19">
            <v>684523.90999999992</v>
          </cell>
          <cell r="U19">
            <v>237441.1399999999</v>
          </cell>
          <cell r="V19">
            <v>843722.82999999984</v>
          </cell>
          <cell r="W19">
            <v>921532.11999999988</v>
          </cell>
          <cell r="X19">
            <v>1181991.5699999998</v>
          </cell>
          <cell r="Y19">
            <v>1236786.1599999999</v>
          </cell>
          <cell r="Z19">
            <v>413294.83999999997</v>
          </cell>
          <cell r="AA19">
            <v>207083.11999999997</v>
          </cell>
          <cell r="AB19">
            <v>273138.94999999995</v>
          </cell>
          <cell r="AC19">
            <v>774953.99</v>
          </cell>
        </row>
        <row r="20">
          <cell r="A20">
            <v>101010201</v>
          </cell>
          <cell r="B20" t="str">
            <v xml:space="preserve">BANCOS NACIONALES                                                     </v>
          </cell>
          <cell r="C20">
            <v>532943.85</v>
          </cell>
          <cell r="D20">
            <v>-170821.37</v>
          </cell>
          <cell r="E20">
            <v>94510.42</v>
          </cell>
          <cell r="F20">
            <v>214759.74</v>
          </cell>
          <cell r="G20">
            <v>-447082.77</v>
          </cell>
          <cell r="H20">
            <v>606281.68999999994</v>
          </cell>
          <cell r="I20">
            <v>77809.289999999994</v>
          </cell>
          <cell r="J20">
            <v>260459.45</v>
          </cell>
          <cell r="K20">
            <v>54794.59</v>
          </cell>
          <cell r="L20">
            <v>-823491.32</v>
          </cell>
          <cell r="M20">
            <v>-206211.72</v>
          </cell>
          <cell r="N20">
            <v>66055.83</v>
          </cell>
          <cell r="O20">
            <v>501815.03999999998</v>
          </cell>
          <cell r="P20">
            <v>761822.71999999997</v>
          </cell>
          <cell r="R20">
            <v>362122.48</v>
          </cell>
          <cell r="S20">
            <v>456632.89999999997</v>
          </cell>
          <cell r="T20">
            <v>671392.6399999999</v>
          </cell>
          <cell r="U20">
            <v>224309.86999999988</v>
          </cell>
          <cell r="V20">
            <v>830591.55999999982</v>
          </cell>
          <cell r="W20">
            <v>908400.84999999986</v>
          </cell>
          <cell r="X20">
            <v>1168860.2999999998</v>
          </cell>
          <cell r="Y20">
            <v>1223654.8899999999</v>
          </cell>
          <cell r="Z20">
            <v>400163.56999999995</v>
          </cell>
          <cell r="AA20">
            <v>193951.84999999995</v>
          </cell>
          <cell r="AB20">
            <v>260007.67999999993</v>
          </cell>
          <cell r="AC20">
            <v>761822.71999999997</v>
          </cell>
        </row>
        <row r="21">
          <cell r="A21">
            <v>101010201001</v>
          </cell>
          <cell r="B21" t="str">
            <v xml:space="preserve">Banco de Guayaquil cta cte 263005-2                                   </v>
          </cell>
          <cell r="C21">
            <v>132105.87</v>
          </cell>
          <cell r="D21">
            <v>-99500.98</v>
          </cell>
          <cell r="E21">
            <v>33262.04</v>
          </cell>
          <cell r="F21">
            <v>373541</v>
          </cell>
          <cell r="G21">
            <v>-430074.86</v>
          </cell>
          <cell r="H21">
            <v>171694.99</v>
          </cell>
          <cell r="I21">
            <v>-56954.48</v>
          </cell>
          <cell r="J21">
            <v>-42568.9</v>
          </cell>
          <cell r="K21">
            <v>145300.03</v>
          </cell>
          <cell r="L21">
            <v>-171072.95</v>
          </cell>
          <cell r="M21">
            <v>-7104.67</v>
          </cell>
          <cell r="N21">
            <v>64110.89</v>
          </cell>
          <cell r="O21">
            <v>56695.67</v>
          </cell>
          <cell r="P21">
            <v>169433.65</v>
          </cell>
          <cell r="R21">
            <v>32604.89</v>
          </cell>
          <cell r="S21">
            <v>65866.929999999993</v>
          </cell>
          <cell r="T21">
            <v>439407.93</v>
          </cell>
          <cell r="U21">
            <v>9333.070000000007</v>
          </cell>
          <cell r="V21">
            <v>181028.06</v>
          </cell>
          <cell r="W21">
            <v>124073.57999999999</v>
          </cell>
          <cell r="X21">
            <v>81504.679999999993</v>
          </cell>
          <cell r="Y21">
            <v>226804.71</v>
          </cell>
          <cell r="Z21">
            <v>55731.75999999998</v>
          </cell>
          <cell r="AA21">
            <v>48627.089999999982</v>
          </cell>
          <cell r="AB21">
            <v>112737.97999999998</v>
          </cell>
          <cell r="AC21">
            <v>169433.64999999997</v>
          </cell>
        </row>
        <row r="22">
          <cell r="A22">
            <v>101010201002</v>
          </cell>
          <cell r="B22" t="str">
            <v xml:space="preserve">Banco Pichincha cta cte. 3504483604                                   </v>
          </cell>
          <cell r="C22">
            <v>0</v>
          </cell>
          <cell r="D22">
            <v>35700.89</v>
          </cell>
          <cell r="E22">
            <v>-9354.5300000000007</v>
          </cell>
          <cell r="F22">
            <v>-2602.2600000000002</v>
          </cell>
          <cell r="G22">
            <v>7361.05</v>
          </cell>
          <cell r="H22">
            <v>-8675.25</v>
          </cell>
          <cell r="I22">
            <v>-12684.45</v>
          </cell>
          <cell r="J22">
            <v>13436.77</v>
          </cell>
          <cell r="K22">
            <v>16470.37</v>
          </cell>
          <cell r="L22">
            <v>1380.81</v>
          </cell>
          <cell r="M22">
            <v>-8400.51</v>
          </cell>
          <cell r="N22">
            <v>-690.31</v>
          </cell>
          <cell r="O22">
            <v>31825.43</v>
          </cell>
          <cell r="P22">
            <v>63768.01</v>
          </cell>
          <cell r="R22">
            <v>35700.89</v>
          </cell>
          <cell r="S22">
            <v>26346.36</v>
          </cell>
          <cell r="T22">
            <v>23744.1</v>
          </cell>
          <cell r="U22">
            <v>31105.149999999998</v>
          </cell>
          <cell r="V22">
            <v>22429.899999999998</v>
          </cell>
          <cell r="W22">
            <v>9745.4499999999971</v>
          </cell>
          <cell r="X22">
            <v>23182.219999999998</v>
          </cell>
          <cell r="Y22">
            <v>39652.589999999997</v>
          </cell>
          <cell r="Z22">
            <v>41033.399999999994</v>
          </cell>
          <cell r="AA22">
            <v>32632.889999999992</v>
          </cell>
          <cell r="AB22">
            <v>31942.579999999991</v>
          </cell>
          <cell r="AC22">
            <v>63768.009999999995</v>
          </cell>
        </row>
        <row r="23">
          <cell r="A23">
            <v>101010201003</v>
          </cell>
          <cell r="B23" t="str">
            <v xml:space="preserve">Banco Procredit cta. cte.  09-0301-28953                              </v>
          </cell>
          <cell r="C23">
            <v>238789.33</v>
          </cell>
          <cell r="D23">
            <v>-25024.26</v>
          </cell>
          <cell r="E23">
            <v>-131402.74</v>
          </cell>
          <cell r="F23">
            <v>-65211.12</v>
          </cell>
          <cell r="G23">
            <v>-17151.21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R23">
            <v>213765.06999999998</v>
          </cell>
          <cell r="S23">
            <v>82362.329999999987</v>
          </cell>
          <cell r="T23">
            <v>17151.209999999985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</row>
        <row r="24">
          <cell r="A24">
            <v>101010201004</v>
          </cell>
          <cell r="B24" t="str">
            <v xml:space="preserve">Banco del Pacifico cta. cte. 0007736517                               </v>
          </cell>
          <cell r="C24">
            <v>41144.42</v>
          </cell>
          <cell r="D24">
            <v>-401.53</v>
          </cell>
          <cell r="E24">
            <v>0</v>
          </cell>
          <cell r="F24">
            <v>-403.96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-30272.16</v>
          </cell>
          <cell r="P24">
            <v>10066.77</v>
          </cell>
          <cell r="R24">
            <v>40742.89</v>
          </cell>
          <cell r="S24">
            <v>40742.89</v>
          </cell>
          <cell r="T24">
            <v>40338.93</v>
          </cell>
          <cell r="U24">
            <v>40338.93</v>
          </cell>
          <cell r="V24">
            <v>40338.93</v>
          </cell>
          <cell r="W24">
            <v>40338.93</v>
          </cell>
          <cell r="X24">
            <v>40338.93</v>
          </cell>
          <cell r="Y24">
            <v>40338.93</v>
          </cell>
          <cell r="Z24">
            <v>40338.93</v>
          </cell>
          <cell r="AA24">
            <v>40338.93</v>
          </cell>
          <cell r="AB24">
            <v>40338.93</v>
          </cell>
          <cell r="AC24">
            <v>10066.77</v>
          </cell>
        </row>
        <row r="25">
          <cell r="A25">
            <v>101010201005</v>
          </cell>
          <cell r="B25" t="str">
            <v xml:space="preserve">Banco Procredit Cta. Cte 009030138187                                 </v>
          </cell>
          <cell r="C25">
            <v>110904.23</v>
          </cell>
          <cell r="D25">
            <v>-81595.490000000005</v>
          </cell>
          <cell r="E25">
            <v>202005.65</v>
          </cell>
          <cell r="F25">
            <v>-90563.92</v>
          </cell>
          <cell r="G25">
            <v>2782.25</v>
          </cell>
          <cell r="H25">
            <v>13261.95</v>
          </cell>
          <cell r="I25">
            <v>247448.22</v>
          </cell>
          <cell r="J25">
            <v>-90408.42</v>
          </cell>
          <cell r="K25">
            <v>-16975.810000000001</v>
          </cell>
          <cell r="L25">
            <v>-83799.179999999993</v>
          </cell>
          <cell r="M25">
            <v>-140706.54</v>
          </cell>
          <cell r="N25">
            <v>2635.25</v>
          </cell>
          <cell r="O25">
            <v>-56433.9</v>
          </cell>
          <cell r="P25">
            <v>18554.29</v>
          </cell>
          <cell r="R25">
            <v>29308.739999999991</v>
          </cell>
          <cell r="S25">
            <v>231314.38999999998</v>
          </cell>
          <cell r="T25">
            <v>140750.46999999997</v>
          </cell>
          <cell r="U25">
            <v>143532.71999999997</v>
          </cell>
          <cell r="V25">
            <v>156794.66999999998</v>
          </cell>
          <cell r="W25">
            <v>404242.89</v>
          </cell>
          <cell r="X25">
            <v>313834.47000000003</v>
          </cell>
          <cell r="Y25">
            <v>296858.66000000003</v>
          </cell>
          <cell r="Z25">
            <v>213059.48000000004</v>
          </cell>
          <cell r="AA25">
            <v>72352.940000000031</v>
          </cell>
          <cell r="AB25">
            <v>74988.190000000031</v>
          </cell>
          <cell r="AC25">
            <v>18554.29000000003</v>
          </cell>
        </row>
        <row r="26">
          <cell r="A26">
            <v>101010201006</v>
          </cell>
          <cell r="B26" t="str">
            <v xml:space="preserve">Banco Procredit Cta. Ahorro  00901011725643                           </v>
          </cell>
          <cell r="C26">
            <v>10000</v>
          </cell>
          <cell r="D26">
            <v>0</v>
          </cell>
          <cell r="E26">
            <v>0</v>
          </cell>
          <cell r="F26">
            <v>0</v>
          </cell>
          <cell r="G26">
            <v>-10000</v>
          </cell>
          <cell r="H26">
            <v>430000</v>
          </cell>
          <cell r="I26">
            <v>-100000</v>
          </cell>
          <cell r="J26">
            <v>380000</v>
          </cell>
          <cell r="K26">
            <v>-90000</v>
          </cell>
          <cell r="L26">
            <v>-570000</v>
          </cell>
          <cell r="M26">
            <v>-50000</v>
          </cell>
          <cell r="N26">
            <v>0</v>
          </cell>
          <cell r="O26">
            <v>500000</v>
          </cell>
          <cell r="P26">
            <v>500000</v>
          </cell>
          <cell r="R26">
            <v>10000</v>
          </cell>
          <cell r="S26">
            <v>10000</v>
          </cell>
          <cell r="T26">
            <v>10000</v>
          </cell>
          <cell r="U26">
            <v>0</v>
          </cell>
          <cell r="V26">
            <v>430000</v>
          </cell>
          <cell r="W26">
            <v>330000</v>
          </cell>
          <cell r="X26">
            <v>710000</v>
          </cell>
          <cell r="Y26">
            <v>620000</v>
          </cell>
          <cell r="Z26">
            <v>50000</v>
          </cell>
          <cell r="AA26">
            <v>0</v>
          </cell>
          <cell r="AB26">
            <v>0</v>
          </cell>
          <cell r="AC26">
            <v>500000</v>
          </cell>
        </row>
        <row r="27">
          <cell r="A27">
            <v>101010202</v>
          </cell>
          <cell r="B27" t="str">
            <v xml:space="preserve">BANCOS DEL EXTERIOR                                                   </v>
          </cell>
          <cell r="C27">
            <v>13131.27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13131.27</v>
          </cell>
          <cell r="R27">
            <v>13131.27</v>
          </cell>
          <cell r="S27">
            <v>13131.27</v>
          </cell>
          <cell r="T27">
            <v>13131.27</v>
          </cell>
          <cell r="U27">
            <v>13131.27</v>
          </cell>
          <cell r="V27">
            <v>13131.27</v>
          </cell>
          <cell r="W27">
            <v>13131.27</v>
          </cell>
          <cell r="X27">
            <v>13131.27</v>
          </cell>
          <cell r="Y27">
            <v>13131.27</v>
          </cell>
          <cell r="Z27">
            <v>13131.27</v>
          </cell>
          <cell r="AA27">
            <v>13131.27</v>
          </cell>
          <cell r="AB27">
            <v>13131.27</v>
          </cell>
          <cell r="AC27">
            <v>13131.27</v>
          </cell>
        </row>
        <row r="28">
          <cell r="A28">
            <v>101010202001</v>
          </cell>
          <cell r="B28" t="str">
            <v xml:space="preserve">Banco del Exterior.- Terrabank N.A.                                   </v>
          </cell>
          <cell r="C28">
            <v>13131.27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13131.27</v>
          </cell>
          <cell r="R28">
            <v>13131.27</v>
          </cell>
          <cell r="S28">
            <v>13131.27</v>
          </cell>
          <cell r="T28">
            <v>13131.27</v>
          </cell>
          <cell r="U28">
            <v>13131.27</v>
          </cell>
          <cell r="V28">
            <v>13131.27</v>
          </cell>
          <cell r="W28">
            <v>13131.27</v>
          </cell>
          <cell r="X28">
            <v>13131.27</v>
          </cell>
          <cell r="Y28">
            <v>13131.27</v>
          </cell>
          <cell r="Z28">
            <v>13131.27</v>
          </cell>
          <cell r="AA28">
            <v>13131.27</v>
          </cell>
          <cell r="AB28">
            <v>13131.27</v>
          </cell>
          <cell r="AC28">
            <v>13131.27</v>
          </cell>
        </row>
        <row r="29">
          <cell r="A29">
            <v>10102</v>
          </cell>
          <cell r="B29" t="str">
            <v xml:space="preserve">CUENTAS Y DOCUMENTOS POR COBRAR                                       </v>
          </cell>
          <cell r="C29">
            <v>5851896.9100000001</v>
          </cell>
          <cell r="D29">
            <v>-130619.43</v>
          </cell>
          <cell r="E29">
            <v>570184.67000000004</v>
          </cell>
          <cell r="F29">
            <v>-108029.42</v>
          </cell>
          <cell r="G29">
            <v>489049.96</v>
          </cell>
          <cell r="H29">
            <v>-393190.27</v>
          </cell>
          <cell r="I29">
            <v>164803.19</v>
          </cell>
          <cell r="J29">
            <v>-1028981.71</v>
          </cell>
          <cell r="K29">
            <v>-123576</v>
          </cell>
          <cell r="L29">
            <v>197572.49</v>
          </cell>
          <cell r="M29">
            <v>130396.44</v>
          </cell>
          <cell r="N29">
            <v>467056.13</v>
          </cell>
          <cell r="O29">
            <v>-1397677.35</v>
          </cell>
          <cell r="P29">
            <v>4688885.6100000003</v>
          </cell>
          <cell r="R29">
            <v>5721277.4800000004</v>
          </cell>
          <cell r="S29">
            <v>6291462.1500000004</v>
          </cell>
          <cell r="T29">
            <v>6183432.7300000004</v>
          </cell>
          <cell r="U29">
            <v>6672482.6900000004</v>
          </cell>
          <cell r="V29">
            <v>6279292.4199999999</v>
          </cell>
          <cell r="W29">
            <v>6444095.6100000003</v>
          </cell>
          <cell r="X29">
            <v>5415113.9000000004</v>
          </cell>
          <cell r="Y29">
            <v>5291537.9000000004</v>
          </cell>
          <cell r="Z29">
            <v>5489110.3900000006</v>
          </cell>
          <cell r="AA29">
            <v>5619506.830000001</v>
          </cell>
          <cell r="AB29">
            <v>6086562.9600000009</v>
          </cell>
          <cell r="AC29">
            <v>4688885.6100000013</v>
          </cell>
        </row>
        <row r="30">
          <cell r="A30">
            <v>1010202</v>
          </cell>
          <cell r="B30" t="str">
            <v xml:space="preserve">ACTIVOS FINANCIEROS DISPONIBLES PARA LA VENTA                         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120000</v>
          </cell>
          <cell r="M30">
            <v>0</v>
          </cell>
          <cell r="N30">
            <v>0</v>
          </cell>
          <cell r="O30">
            <v>-120000</v>
          </cell>
          <cell r="P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120000</v>
          </cell>
          <cell r="AA30">
            <v>120000</v>
          </cell>
          <cell r="AB30">
            <v>120000</v>
          </cell>
          <cell r="AC30">
            <v>0</v>
          </cell>
        </row>
        <row r="31">
          <cell r="A31">
            <v>101020201001</v>
          </cell>
          <cell r="B31" t="str">
            <v xml:space="preserve">Inversiones temporales                                                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120000</v>
          </cell>
          <cell r="M31">
            <v>0</v>
          </cell>
          <cell r="N31">
            <v>0</v>
          </cell>
          <cell r="O31">
            <v>-120000</v>
          </cell>
          <cell r="P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120000</v>
          </cell>
          <cell r="AA31">
            <v>120000</v>
          </cell>
          <cell r="AB31">
            <v>120000</v>
          </cell>
          <cell r="AC31">
            <v>0</v>
          </cell>
        </row>
        <row r="32">
          <cell r="A32">
            <v>1010205</v>
          </cell>
          <cell r="B32" t="str">
            <v xml:space="preserve">DOCUMENTOS Y CUENTAS POR COBRAR CLIENTES NO RELACIONADOS              </v>
          </cell>
          <cell r="C32">
            <v>5174162.41</v>
          </cell>
          <cell r="D32">
            <v>-242979.63</v>
          </cell>
          <cell r="E32">
            <v>478804.95</v>
          </cell>
          <cell r="F32">
            <v>-77429.539999999994</v>
          </cell>
          <cell r="G32">
            <v>475543.89</v>
          </cell>
          <cell r="H32">
            <v>-360420.57</v>
          </cell>
          <cell r="I32">
            <v>137433.38</v>
          </cell>
          <cell r="J32">
            <v>-900220.89</v>
          </cell>
          <cell r="K32">
            <v>-159188.65</v>
          </cell>
          <cell r="L32">
            <v>42275.98</v>
          </cell>
          <cell r="M32">
            <v>142402.98000000001</v>
          </cell>
          <cell r="N32">
            <v>457654.14</v>
          </cell>
          <cell r="O32">
            <v>-702450.66</v>
          </cell>
          <cell r="P32">
            <v>4465587.79</v>
          </cell>
          <cell r="R32">
            <v>4931182.78</v>
          </cell>
          <cell r="S32">
            <v>5409987.7300000004</v>
          </cell>
          <cell r="T32">
            <v>5332558.1900000004</v>
          </cell>
          <cell r="U32">
            <v>5808102.0800000001</v>
          </cell>
          <cell r="V32">
            <v>5447681.5099999998</v>
          </cell>
          <cell r="W32">
            <v>5585114.8899999997</v>
          </cell>
          <cell r="X32">
            <v>4684894</v>
          </cell>
          <cell r="Y32">
            <v>4525705.3499999996</v>
          </cell>
          <cell r="Z32">
            <v>4567981.33</v>
          </cell>
          <cell r="AA32">
            <v>4710384.3100000005</v>
          </cell>
          <cell r="AB32">
            <v>5168038.45</v>
          </cell>
          <cell r="AC32">
            <v>4465587.79</v>
          </cell>
        </row>
        <row r="33">
          <cell r="A33">
            <v>101020502</v>
          </cell>
          <cell r="B33" t="str">
            <v xml:space="preserve">CUENTAS POR COBRAR CLIENTES                                           </v>
          </cell>
          <cell r="C33">
            <v>5149866.83</v>
          </cell>
          <cell r="D33">
            <v>-242979.63</v>
          </cell>
          <cell r="E33">
            <v>478804.95</v>
          </cell>
          <cell r="F33">
            <v>-77429.539999999994</v>
          </cell>
          <cell r="G33">
            <v>475543.89</v>
          </cell>
          <cell r="H33">
            <v>-360420.57</v>
          </cell>
          <cell r="I33">
            <v>137433.38</v>
          </cell>
          <cell r="J33">
            <v>-900220.89</v>
          </cell>
          <cell r="K33">
            <v>-159188.65</v>
          </cell>
          <cell r="L33">
            <v>42275.98</v>
          </cell>
          <cell r="M33">
            <v>142402.98000000001</v>
          </cell>
          <cell r="N33">
            <v>457654.14</v>
          </cell>
          <cell r="O33">
            <v>-678155.08</v>
          </cell>
          <cell r="P33">
            <v>4465587.79</v>
          </cell>
          <cell r="R33">
            <v>4906887.2</v>
          </cell>
          <cell r="S33">
            <v>5385692.1500000004</v>
          </cell>
          <cell r="T33">
            <v>5308262.6100000003</v>
          </cell>
          <cell r="U33">
            <v>5783806.5</v>
          </cell>
          <cell r="V33">
            <v>5423385.9299999997</v>
          </cell>
          <cell r="W33">
            <v>5560819.3099999996</v>
          </cell>
          <cell r="X33">
            <v>4660598.42</v>
          </cell>
          <cell r="Y33">
            <v>4501409.7699999996</v>
          </cell>
          <cell r="Z33">
            <v>4543685.75</v>
          </cell>
          <cell r="AA33">
            <v>4686088.7300000004</v>
          </cell>
          <cell r="AB33">
            <v>5143742.87</v>
          </cell>
          <cell r="AC33">
            <v>4465587.79</v>
          </cell>
        </row>
        <row r="34">
          <cell r="A34">
            <v>101020502001</v>
          </cell>
          <cell r="B34" t="str">
            <v xml:space="preserve">Cuentas por Cobrar Clientes                                           </v>
          </cell>
          <cell r="C34">
            <v>5063113.51</v>
          </cell>
          <cell r="D34">
            <v>-239760.47</v>
          </cell>
          <cell r="E34">
            <v>525379.78</v>
          </cell>
          <cell r="F34">
            <v>-58905.69</v>
          </cell>
          <cell r="G34">
            <v>409950.66</v>
          </cell>
          <cell r="H34">
            <v>-321557.53999999998</v>
          </cell>
          <cell r="I34">
            <v>123597.84</v>
          </cell>
          <cell r="J34">
            <v>-974371.98</v>
          </cell>
          <cell r="K34">
            <v>-189431.18</v>
          </cell>
          <cell r="L34">
            <v>180075.79</v>
          </cell>
          <cell r="M34">
            <v>104285.21</v>
          </cell>
          <cell r="N34">
            <v>315661.76</v>
          </cell>
          <cell r="O34">
            <v>-683798.84</v>
          </cell>
          <cell r="P34">
            <v>4254238.8499999996</v>
          </cell>
          <cell r="R34">
            <v>4823353.04</v>
          </cell>
          <cell r="S34">
            <v>5348732.82</v>
          </cell>
          <cell r="T34">
            <v>5289827.13</v>
          </cell>
          <cell r="U34">
            <v>5699777.79</v>
          </cell>
          <cell r="V34">
            <v>5378220.25</v>
          </cell>
          <cell r="W34">
            <v>5501818.0899999999</v>
          </cell>
          <cell r="X34">
            <v>4527446.1099999994</v>
          </cell>
          <cell r="Y34">
            <v>4338014.93</v>
          </cell>
          <cell r="Z34">
            <v>4518090.72</v>
          </cell>
          <cell r="AA34">
            <v>4622375.93</v>
          </cell>
          <cell r="AB34">
            <v>4938037.6899999995</v>
          </cell>
          <cell r="AC34">
            <v>4254238.8499999996</v>
          </cell>
        </row>
        <row r="35">
          <cell r="A35">
            <v>101020502002</v>
          </cell>
          <cell r="B35" t="str">
            <v xml:space="preserve">Documentos de clientes (Ch P/F)                                       </v>
          </cell>
          <cell r="C35">
            <v>86753.32</v>
          </cell>
          <cell r="D35">
            <v>-3219.16</v>
          </cell>
          <cell r="E35">
            <v>-46574.83</v>
          </cell>
          <cell r="F35">
            <v>-18523.849999999999</v>
          </cell>
          <cell r="G35">
            <v>65593.23</v>
          </cell>
          <cell r="H35">
            <v>-38863.03</v>
          </cell>
          <cell r="I35">
            <v>13835.54</v>
          </cell>
          <cell r="J35">
            <v>74151.09</v>
          </cell>
          <cell r="K35">
            <v>30242.53</v>
          </cell>
          <cell r="L35">
            <v>-137799.81</v>
          </cell>
          <cell r="M35">
            <v>38117.769999999997</v>
          </cell>
          <cell r="N35">
            <v>141992.38</v>
          </cell>
          <cell r="O35">
            <v>5643.76</v>
          </cell>
          <cell r="P35">
            <v>211348.94</v>
          </cell>
          <cell r="R35">
            <v>83534.16</v>
          </cell>
          <cell r="S35">
            <v>36959.33</v>
          </cell>
          <cell r="T35">
            <v>18435.480000000003</v>
          </cell>
          <cell r="U35">
            <v>84028.709999999992</v>
          </cell>
          <cell r="V35">
            <v>45165.679999999993</v>
          </cell>
          <cell r="W35">
            <v>59001.219999999994</v>
          </cell>
          <cell r="X35">
            <v>133152.31</v>
          </cell>
          <cell r="Y35">
            <v>163394.84</v>
          </cell>
          <cell r="Z35">
            <v>25595.03</v>
          </cell>
          <cell r="AA35">
            <v>63712.799999999996</v>
          </cell>
          <cell r="AB35">
            <v>205705.18</v>
          </cell>
          <cell r="AC35">
            <v>211348.94</v>
          </cell>
        </row>
        <row r="36">
          <cell r="A36">
            <v>101020503</v>
          </cell>
          <cell r="B36" t="str">
            <v xml:space="preserve">OTROS VALORES POR COBRAR A CLIENTES                                   </v>
          </cell>
          <cell r="C36">
            <v>24295.58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-24295.58</v>
          </cell>
          <cell r="P36">
            <v>0</v>
          </cell>
          <cell r="R36">
            <v>24295.58</v>
          </cell>
          <cell r="S36">
            <v>24295.58</v>
          </cell>
          <cell r="T36">
            <v>24295.58</v>
          </cell>
          <cell r="U36">
            <v>24295.58</v>
          </cell>
          <cell r="V36">
            <v>24295.58</v>
          </cell>
          <cell r="W36">
            <v>24295.58</v>
          </cell>
          <cell r="X36">
            <v>24295.58</v>
          </cell>
          <cell r="Y36">
            <v>24295.58</v>
          </cell>
          <cell r="Z36">
            <v>24295.58</v>
          </cell>
          <cell r="AA36">
            <v>24295.58</v>
          </cell>
          <cell r="AB36">
            <v>24295.58</v>
          </cell>
          <cell r="AC36">
            <v>0</v>
          </cell>
        </row>
        <row r="37">
          <cell r="A37">
            <v>101020503001</v>
          </cell>
          <cell r="B37" t="str">
            <v xml:space="preserve">Otras Cuentas por cobrar                                              </v>
          </cell>
          <cell r="C37">
            <v>24295.58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-24295.58</v>
          </cell>
          <cell r="P37">
            <v>0</v>
          </cell>
          <cell r="R37">
            <v>24295.58</v>
          </cell>
          <cell r="S37">
            <v>24295.58</v>
          </cell>
          <cell r="T37">
            <v>24295.58</v>
          </cell>
          <cell r="U37">
            <v>24295.58</v>
          </cell>
          <cell r="V37">
            <v>24295.58</v>
          </cell>
          <cell r="W37">
            <v>24295.58</v>
          </cell>
          <cell r="X37">
            <v>24295.58</v>
          </cell>
          <cell r="Y37">
            <v>24295.58</v>
          </cell>
          <cell r="Z37">
            <v>24295.58</v>
          </cell>
          <cell r="AA37">
            <v>24295.58</v>
          </cell>
          <cell r="AB37">
            <v>24295.58</v>
          </cell>
          <cell r="AC37">
            <v>0</v>
          </cell>
        </row>
        <row r="38">
          <cell r="A38">
            <v>1010207</v>
          </cell>
          <cell r="B38" t="str">
            <v xml:space="preserve">OTRAS CUENTAS POR COBRAR RELACIONADAS                                 </v>
          </cell>
          <cell r="C38">
            <v>662054.18999999994</v>
          </cell>
          <cell r="D38">
            <v>1663.83</v>
          </cell>
          <cell r="E38">
            <v>1067.8599999999999</v>
          </cell>
          <cell r="F38">
            <v>-4935.76</v>
          </cell>
          <cell r="G38">
            <v>-2124.29</v>
          </cell>
          <cell r="H38">
            <v>-3552.1</v>
          </cell>
          <cell r="I38">
            <v>189.01</v>
          </cell>
          <cell r="J38">
            <v>8246.65</v>
          </cell>
          <cell r="K38">
            <v>6220.3</v>
          </cell>
          <cell r="L38">
            <v>13623.92</v>
          </cell>
          <cell r="M38">
            <v>-4095.56</v>
          </cell>
          <cell r="N38">
            <v>-2500.08</v>
          </cell>
          <cell r="O38">
            <v>-497104.06</v>
          </cell>
          <cell r="P38">
            <v>178753.91</v>
          </cell>
          <cell r="R38">
            <v>663718.0199999999</v>
          </cell>
          <cell r="S38">
            <v>664785.87999999989</v>
          </cell>
          <cell r="T38">
            <v>659850.11999999988</v>
          </cell>
          <cell r="U38">
            <v>657725.82999999984</v>
          </cell>
          <cell r="V38">
            <v>654173.72999999986</v>
          </cell>
          <cell r="W38">
            <v>654362.73999999987</v>
          </cell>
          <cell r="X38">
            <v>662609.3899999999</v>
          </cell>
          <cell r="Y38">
            <v>668829.68999999994</v>
          </cell>
          <cell r="Z38">
            <v>682453.61</v>
          </cell>
          <cell r="AA38">
            <v>678358.04999999993</v>
          </cell>
          <cell r="AB38">
            <v>675857.97</v>
          </cell>
          <cell r="AC38">
            <v>178753.90999999997</v>
          </cell>
        </row>
        <row r="39">
          <cell r="A39">
            <v>101020703</v>
          </cell>
          <cell r="B39" t="str">
            <v xml:space="preserve">CUENTAS POR COBRAR COMPAÑÍAS RELACIONADAS                             </v>
          </cell>
          <cell r="C39">
            <v>637030.30000000005</v>
          </cell>
          <cell r="D39">
            <v>1.1399999999999999</v>
          </cell>
          <cell r="E39">
            <v>1.1399999999999999</v>
          </cell>
          <cell r="F39">
            <v>15</v>
          </cell>
          <cell r="G39">
            <v>0</v>
          </cell>
          <cell r="H39">
            <v>0</v>
          </cell>
          <cell r="I39">
            <v>0</v>
          </cell>
          <cell r="J39">
            <v>12.65</v>
          </cell>
          <cell r="K39">
            <v>7799.67</v>
          </cell>
          <cell r="L39">
            <v>0</v>
          </cell>
          <cell r="M39">
            <v>5</v>
          </cell>
          <cell r="N39">
            <v>0</v>
          </cell>
          <cell r="O39">
            <v>-489433.86</v>
          </cell>
          <cell r="P39">
            <v>155431.04000000001</v>
          </cell>
          <cell r="R39">
            <v>637031.44000000006</v>
          </cell>
          <cell r="S39">
            <v>637032.58000000007</v>
          </cell>
          <cell r="T39">
            <v>637047.58000000007</v>
          </cell>
          <cell r="U39">
            <v>637047.58000000007</v>
          </cell>
          <cell r="V39">
            <v>637047.58000000007</v>
          </cell>
          <cell r="W39">
            <v>637047.58000000007</v>
          </cell>
          <cell r="X39">
            <v>637060.2300000001</v>
          </cell>
          <cell r="Y39">
            <v>644859.90000000014</v>
          </cell>
          <cell r="Z39">
            <v>644859.90000000014</v>
          </cell>
          <cell r="AA39">
            <v>644864.90000000014</v>
          </cell>
          <cell r="AB39">
            <v>644864.90000000014</v>
          </cell>
          <cell r="AC39">
            <v>155431.04000000015</v>
          </cell>
        </row>
        <row r="40">
          <cell r="A40">
            <v>101020703001</v>
          </cell>
          <cell r="B40" t="str">
            <v xml:space="preserve">Cuentas por Cobrar Sabella S. A.                                      </v>
          </cell>
          <cell r="C40">
            <v>637030.30000000005</v>
          </cell>
          <cell r="D40">
            <v>1.1399999999999999</v>
          </cell>
          <cell r="E40">
            <v>1.1399999999999999</v>
          </cell>
          <cell r="F40">
            <v>15</v>
          </cell>
          <cell r="G40">
            <v>0</v>
          </cell>
          <cell r="H40">
            <v>0</v>
          </cell>
          <cell r="I40">
            <v>0</v>
          </cell>
          <cell r="J40">
            <v>12.65</v>
          </cell>
          <cell r="K40">
            <v>7799.67</v>
          </cell>
          <cell r="L40">
            <v>0</v>
          </cell>
          <cell r="M40">
            <v>5</v>
          </cell>
          <cell r="N40">
            <v>0</v>
          </cell>
          <cell r="O40">
            <v>-489433.86</v>
          </cell>
          <cell r="P40">
            <v>155431.04000000001</v>
          </cell>
          <cell r="R40">
            <v>637031.44000000006</v>
          </cell>
          <cell r="S40">
            <v>637032.58000000007</v>
          </cell>
          <cell r="T40">
            <v>637047.58000000007</v>
          </cell>
          <cell r="U40">
            <v>637047.58000000007</v>
          </cell>
          <cell r="V40">
            <v>637047.58000000007</v>
          </cell>
          <cell r="W40">
            <v>637047.58000000007</v>
          </cell>
          <cell r="X40">
            <v>637060.2300000001</v>
          </cell>
          <cell r="Y40">
            <v>644859.90000000014</v>
          </cell>
          <cell r="Z40">
            <v>644859.90000000014</v>
          </cell>
          <cell r="AA40">
            <v>644864.90000000014</v>
          </cell>
          <cell r="AB40">
            <v>644864.90000000014</v>
          </cell>
          <cell r="AC40">
            <v>155431.04000000015</v>
          </cell>
        </row>
        <row r="41">
          <cell r="A41">
            <v>101020704</v>
          </cell>
          <cell r="B41" t="str">
            <v xml:space="preserve">CUENTAS POR COBRAR EMPLEADOS                                          </v>
          </cell>
          <cell r="C41">
            <v>25023.89</v>
          </cell>
          <cell r="D41">
            <v>1662.69</v>
          </cell>
          <cell r="E41">
            <v>1066.72</v>
          </cell>
          <cell r="F41">
            <v>-4950.76</v>
          </cell>
          <cell r="G41">
            <v>-2124.29</v>
          </cell>
          <cell r="H41">
            <v>-3552.1</v>
          </cell>
          <cell r="I41">
            <v>189.01</v>
          </cell>
          <cell r="J41">
            <v>8234</v>
          </cell>
          <cell r="K41">
            <v>-1579.37</v>
          </cell>
          <cell r="L41">
            <v>13623.92</v>
          </cell>
          <cell r="M41">
            <v>-4100.5600000000004</v>
          </cell>
          <cell r="N41">
            <v>-2500.08</v>
          </cell>
          <cell r="O41">
            <v>-7670.2</v>
          </cell>
          <cell r="P41">
            <v>23322.87</v>
          </cell>
          <cell r="R41">
            <v>26686.579999999998</v>
          </cell>
          <cell r="S41">
            <v>27753.3</v>
          </cell>
          <cell r="T41">
            <v>22802.54</v>
          </cell>
          <cell r="U41">
            <v>20678.25</v>
          </cell>
          <cell r="V41">
            <v>17126.150000000001</v>
          </cell>
          <cell r="W41">
            <v>17315.16</v>
          </cell>
          <cell r="X41">
            <v>25549.16</v>
          </cell>
          <cell r="Y41">
            <v>23969.79</v>
          </cell>
          <cell r="Z41">
            <v>37593.71</v>
          </cell>
          <cell r="AA41">
            <v>33493.15</v>
          </cell>
          <cell r="AB41">
            <v>30993.07</v>
          </cell>
          <cell r="AC41">
            <v>23322.87</v>
          </cell>
        </row>
        <row r="42">
          <cell r="A42">
            <v>101020704001</v>
          </cell>
          <cell r="B42" t="str">
            <v xml:space="preserve">Anticipo Sueldo                                                       </v>
          </cell>
          <cell r="C42">
            <v>0</v>
          </cell>
          <cell r="D42">
            <v>0</v>
          </cell>
          <cell r="E42">
            <v>0</v>
          </cell>
          <cell r="F42">
            <v>42</v>
          </cell>
          <cell r="G42">
            <v>-42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-187.87</v>
          </cell>
          <cell r="M42">
            <v>187.87</v>
          </cell>
          <cell r="N42">
            <v>0</v>
          </cell>
          <cell r="O42">
            <v>0</v>
          </cell>
          <cell r="P42">
            <v>0</v>
          </cell>
          <cell r="R42">
            <v>0</v>
          </cell>
          <cell r="S42">
            <v>0</v>
          </cell>
          <cell r="T42">
            <v>42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-187.87</v>
          </cell>
          <cell r="AA42">
            <v>0</v>
          </cell>
          <cell r="AB42">
            <v>0</v>
          </cell>
          <cell r="AC42">
            <v>0</v>
          </cell>
        </row>
        <row r="43">
          <cell r="A43">
            <v>101020704002</v>
          </cell>
          <cell r="B43" t="str">
            <v xml:space="preserve">Prestamos Empleados                                                   </v>
          </cell>
          <cell r="C43">
            <v>24653.06</v>
          </cell>
          <cell r="D43">
            <v>414.99</v>
          </cell>
          <cell r="E43">
            <v>-384.38</v>
          </cell>
          <cell r="F43">
            <v>-4213.4799999999996</v>
          </cell>
          <cell r="G43">
            <v>-2575.9</v>
          </cell>
          <cell r="H43">
            <v>-1129.6600000000001</v>
          </cell>
          <cell r="I43">
            <v>50.74</v>
          </cell>
          <cell r="J43">
            <v>7786.5</v>
          </cell>
          <cell r="K43">
            <v>-625.4</v>
          </cell>
          <cell r="L43">
            <v>603.42999999999995</v>
          </cell>
          <cell r="M43">
            <v>556.41</v>
          </cell>
          <cell r="N43">
            <v>-516.20000000000005</v>
          </cell>
          <cell r="O43">
            <v>-2445.89</v>
          </cell>
          <cell r="P43">
            <v>22174.22</v>
          </cell>
          <cell r="R43">
            <v>25068.050000000003</v>
          </cell>
          <cell r="S43">
            <v>24683.670000000002</v>
          </cell>
          <cell r="T43">
            <v>20470.190000000002</v>
          </cell>
          <cell r="U43">
            <v>17894.29</v>
          </cell>
          <cell r="V43">
            <v>16764.63</v>
          </cell>
          <cell r="W43">
            <v>16815.370000000003</v>
          </cell>
          <cell r="X43">
            <v>24601.870000000003</v>
          </cell>
          <cell r="Y43">
            <v>23976.47</v>
          </cell>
          <cell r="Z43">
            <v>24579.9</v>
          </cell>
          <cell r="AA43">
            <v>25136.31</v>
          </cell>
          <cell r="AB43">
            <v>24620.11</v>
          </cell>
          <cell r="AC43">
            <v>22174.22</v>
          </cell>
        </row>
        <row r="44">
          <cell r="A44">
            <v>101020704003</v>
          </cell>
          <cell r="B44" t="str">
            <v xml:space="preserve">Anticipos a Decimo Tercero                                            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700</v>
          </cell>
          <cell r="M44">
            <v>1200</v>
          </cell>
          <cell r="N44">
            <v>1150</v>
          </cell>
          <cell r="O44">
            <v>-3050</v>
          </cell>
          <cell r="P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700</v>
          </cell>
          <cell r="AA44">
            <v>1900</v>
          </cell>
          <cell r="AB44">
            <v>3050</v>
          </cell>
          <cell r="AC44">
            <v>0</v>
          </cell>
        </row>
        <row r="45">
          <cell r="A45">
            <v>101020704004</v>
          </cell>
          <cell r="B45" t="str">
            <v xml:space="preserve">Anticipos a Decimo Cuarto                                             </v>
          </cell>
          <cell r="C45">
            <v>0</v>
          </cell>
          <cell r="D45">
            <v>600</v>
          </cell>
          <cell r="E45">
            <v>700</v>
          </cell>
          <cell r="F45">
            <v>-1300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R45">
            <v>600</v>
          </cell>
          <cell r="S45">
            <v>1300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</row>
        <row r="46">
          <cell r="A46">
            <v>101020704005</v>
          </cell>
          <cell r="B46" t="str">
            <v xml:space="preserve">Anticipos utilidades                                                  </v>
          </cell>
          <cell r="C46">
            <v>0</v>
          </cell>
          <cell r="D46">
            <v>681.95</v>
          </cell>
          <cell r="E46">
            <v>700</v>
          </cell>
          <cell r="F46">
            <v>-250</v>
          </cell>
          <cell r="G46">
            <v>-1131.95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430</v>
          </cell>
          <cell r="O46">
            <v>0</v>
          </cell>
          <cell r="P46">
            <v>430</v>
          </cell>
          <cell r="R46">
            <v>681.95</v>
          </cell>
          <cell r="S46">
            <v>1381.95</v>
          </cell>
          <cell r="T46">
            <v>1131.95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430</v>
          </cell>
          <cell r="AC46">
            <v>430</v>
          </cell>
        </row>
        <row r="47">
          <cell r="A47">
            <v>101020704006</v>
          </cell>
          <cell r="B47" t="str">
            <v xml:space="preserve">Otros Descuentos a Empleados                                          </v>
          </cell>
          <cell r="C47">
            <v>0</v>
          </cell>
          <cell r="D47">
            <v>0.01</v>
          </cell>
          <cell r="E47">
            <v>21.85</v>
          </cell>
          <cell r="F47">
            <v>845.32</v>
          </cell>
          <cell r="G47">
            <v>1700.16</v>
          </cell>
          <cell r="H47">
            <v>-2488.33</v>
          </cell>
          <cell r="I47">
            <v>-49.23</v>
          </cell>
          <cell r="J47">
            <v>26.26</v>
          </cell>
          <cell r="K47">
            <v>-25.21</v>
          </cell>
          <cell r="L47">
            <v>20.18</v>
          </cell>
          <cell r="M47">
            <v>-51.01</v>
          </cell>
          <cell r="N47">
            <v>1360.35</v>
          </cell>
          <cell r="O47">
            <v>-1360.35</v>
          </cell>
          <cell r="P47">
            <v>0</v>
          </cell>
          <cell r="R47">
            <v>0.01</v>
          </cell>
          <cell r="S47">
            <v>21.860000000000003</v>
          </cell>
          <cell r="T47">
            <v>867.18000000000006</v>
          </cell>
          <cell r="U47">
            <v>2567.34</v>
          </cell>
          <cell r="V47">
            <v>79.010000000000218</v>
          </cell>
          <cell r="W47">
            <v>29.780000000000221</v>
          </cell>
          <cell r="X47">
            <v>56.040000000000219</v>
          </cell>
          <cell r="Y47">
            <v>30.830000000000219</v>
          </cell>
          <cell r="Z47">
            <v>51.010000000000218</v>
          </cell>
          <cell r="AA47">
            <v>2.2026824808563106E-13</v>
          </cell>
          <cell r="AB47">
            <v>1360.3500000000001</v>
          </cell>
          <cell r="AC47">
            <v>0</v>
          </cell>
        </row>
        <row r="48">
          <cell r="A48">
            <v>101020704007</v>
          </cell>
          <cell r="B48" t="str">
            <v xml:space="preserve">Otros Cargos x Multas                                                 </v>
          </cell>
          <cell r="C48">
            <v>370.83</v>
          </cell>
          <cell r="D48">
            <v>-34.26</v>
          </cell>
          <cell r="E48">
            <v>29.25</v>
          </cell>
          <cell r="F48">
            <v>-74.599999999999994</v>
          </cell>
          <cell r="G48">
            <v>-74.599999999999994</v>
          </cell>
          <cell r="H48">
            <v>65.89</v>
          </cell>
          <cell r="I48">
            <v>187.5</v>
          </cell>
          <cell r="J48">
            <v>421.24</v>
          </cell>
          <cell r="K48">
            <v>-928.76</v>
          </cell>
          <cell r="L48">
            <v>12488.18</v>
          </cell>
          <cell r="M48">
            <v>-5993.83</v>
          </cell>
          <cell r="N48">
            <v>-4924.2299999999996</v>
          </cell>
          <cell r="O48">
            <v>-813.96</v>
          </cell>
          <cell r="P48">
            <v>718.65</v>
          </cell>
          <cell r="R48">
            <v>336.57</v>
          </cell>
          <cell r="S48">
            <v>365.82</v>
          </cell>
          <cell r="T48">
            <v>291.22000000000003</v>
          </cell>
          <cell r="U48">
            <v>216.62000000000003</v>
          </cell>
          <cell r="V48">
            <v>282.51000000000005</v>
          </cell>
          <cell r="W48">
            <v>470.01000000000005</v>
          </cell>
          <cell r="X48">
            <v>891.25</v>
          </cell>
          <cell r="Y48">
            <v>-37.509999999999991</v>
          </cell>
          <cell r="Z48">
            <v>12450.67</v>
          </cell>
          <cell r="AA48">
            <v>6456.84</v>
          </cell>
          <cell r="AB48">
            <v>1532.6100000000006</v>
          </cell>
          <cell r="AC48">
            <v>718.65000000000055</v>
          </cell>
        </row>
        <row r="49">
          <cell r="A49">
            <v>1010208</v>
          </cell>
          <cell r="B49" t="str">
            <v xml:space="preserve">OTRAS CUENTAS POR COBRAR                                              </v>
          </cell>
          <cell r="C49">
            <v>214422.8</v>
          </cell>
          <cell r="D49">
            <v>110696.37</v>
          </cell>
          <cell r="E49">
            <v>90311.86</v>
          </cell>
          <cell r="F49">
            <v>-25664.12</v>
          </cell>
          <cell r="G49">
            <v>15630.36</v>
          </cell>
          <cell r="H49">
            <v>-29217.599999999999</v>
          </cell>
          <cell r="I49">
            <v>27180.799999999999</v>
          </cell>
          <cell r="J49">
            <v>-137007.47</v>
          </cell>
          <cell r="K49">
            <v>29392.35</v>
          </cell>
          <cell r="L49">
            <v>21672.59</v>
          </cell>
          <cell r="M49">
            <v>-7910.98</v>
          </cell>
          <cell r="N49">
            <v>11902.07</v>
          </cell>
          <cell r="O49">
            <v>-78122.63</v>
          </cell>
          <cell r="P49">
            <v>243286.39999999999</v>
          </cell>
          <cell r="R49">
            <v>325119.17</v>
          </cell>
          <cell r="S49">
            <v>415431.02999999997</v>
          </cell>
          <cell r="T49">
            <v>389766.91</v>
          </cell>
          <cell r="U49">
            <v>405397.26999999996</v>
          </cell>
          <cell r="V49">
            <v>376179.67</v>
          </cell>
          <cell r="W49">
            <v>403360.47</v>
          </cell>
          <cell r="X49">
            <v>266353</v>
          </cell>
          <cell r="Y49">
            <v>295745.34999999998</v>
          </cell>
          <cell r="Z49">
            <v>317417.94</v>
          </cell>
          <cell r="AA49">
            <v>309506.96000000002</v>
          </cell>
          <cell r="AB49">
            <v>321409.03000000003</v>
          </cell>
          <cell r="AC49">
            <v>243286.40000000002</v>
          </cell>
        </row>
        <row r="50">
          <cell r="A50">
            <v>101020801</v>
          </cell>
          <cell r="B50" t="str">
            <v xml:space="preserve">ANTICIPOS A PROVEEDORES                                               </v>
          </cell>
          <cell r="C50">
            <v>165201.32</v>
          </cell>
          <cell r="D50">
            <v>87083.36</v>
          </cell>
          <cell r="E50">
            <v>57614.239999999998</v>
          </cell>
          <cell r="F50">
            <v>-56188.04</v>
          </cell>
          <cell r="G50">
            <v>2415.04</v>
          </cell>
          <cell r="H50">
            <v>-49428.03</v>
          </cell>
          <cell r="I50">
            <v>-2295.94</v>
          </cell>
          <cell r="J50">
            <v>-171388.74</v>
          </cell>
          <cell r="K50">
            <v>5964.4</v>
          </cell>
          <cell r="L50">
            <v>-4926.4799999999996</v>
          </cell>
          <cell r="M50">
            <v>25303.66</v>
          </cell>
          <cell r="N50">
            <v>-2129.34</v>
          </cell>
          <cell r="O50">
            <v>17486.45</v>
          </cell>
          <cell r="P50">
            <v>74711.899999999994</v>
          </cell>
          <cell r="R50">
            <v>252284.68</v>
          </cell>
          <cell r="S50">
            <v>309898.92</v>
          </cell>
          <cell r="T50">
            <v>253710.87999999998</v>
          </cell>
          <cell r="U50">
            <v>256125.91999999998</v>
          </cell>
          <cell r="V50">
            <v>206697.88999999998</v>
          </cell>
          <cell r="W50">
            <v>204401.94999999998</v>
          </cell>
          <cell r="X50">
            <v>33013.209999999992</v>
          </cell>
          <cell r="Y50">
            <v>38977.609999999993</v>
          </cell>
          <cell r="Z50">
            <v>34051.12999999999</v>
          </cell>
          <cell r="AA50">
            <v>59354.789999999994</v>
          </cell>
          <cell r="AB50">
            <v>57225.45</v>
          </cell>
          <cell r="AC50">
            <v>74711.899999999994</v>
          </cell>
        </row>
        <row r="51">
          <cell r="A51">
            <v>101020801002</v>
          </cell>
          <cell r="B51" t="str">
            <v xml:space="preserve">Anticipo proveedores locales                                          </v>
          </cell>
          <cell r="C51">
            <v>29044.05</v>
          </cell>
          <cell r="D51">
            <v>87083.36</v>
          </cell>
          <cell r="E51">
            <v>57614.239999999998</v>
          </cell>
          <cell r="F51">
            <v>33811.96</v>
          </cell>
          <cell r="G51">
            <v>2415.04</v>
          </cell>
          <cell r="H51">
            <v>-4206.03</v>
          </cell>
          <cell r="I51">
            <v>-2295.94</v>
          </cell>
          <cell r="J51">
            <v>-180013.74</v>
          </cell>
          <cell r="K51">
            <v>5964.4</v>
          </cell>
          <cell r="L51">
            <v>3698.52</v>
          </cell>
          <cell r="M51">
            <v>10606.66</v>
          </cell>
          <cell r="N51">
            <v>-2129.34</v>
          </cell>
          <cell r="O51">
            <v>32612.720000000001</v>
          </cell>
          <cell r="P51">
            <v>74205.899999999994</v>
          </cell>
          <cell r="R51">
            <v>116127.41</v>
          </cell>
          <cell r="S51">
            <v>173741.65</v>
          </cell>
          <cell r="T51">
            <v>207553.61</v>
          </cell>
          <cell r="U51">
            <v>209968.65</v>
          </cell>
          <cell r="V51">
            <v>205762.62</v>
          </cell>
          <cell r="W51">
            <v>203466.68</v>
          </cell>
          <cell r="X51">
            <v>23452.940000000002</v>
          </cell>
          <cell r="Y51">
            <v>29417.340000000004</v>
          </cell>
          <cell r="Z51">
            <v>33115.86</v>
          </cell>
          <cell r="AA51">
            <v>43722.520000000004</v>
          </cell>
          <cell r="AB51">
            <v>41593.180000000008</v>
          </cell>
          <cell r="AC51">
            <v>74205.900000000009</v>
          </cell>
        </row>
        <row r="52">
          <cell r="A52">
            <v>101020801003</v>
          </cell>
          <cell r="B52" t="str">
            <v xml:space="preserve">Anticipo proveedores  exterior                                        </v>
          </cell>
          <cell r="C52">
            <v>136157.26999999999</v>
          </cell>
          <cell r="D52">
            <v>0</v>
          </cell>
          <cell r="E52">
            <v>0</v>
          </cell>
          <cell r="F52">
            <v>-90000</v>
          </cell>
          <cell r="G52">
            <v>0</v>
          </cell>
          <cell r="H52">
            <v>-45222</v>
          </cell>
          <cell r="I52">
            <v>0</v>
          </cell>
          <cell r="J52">
            <v>8625</v>
          </cell>
          <cell r="K52">
            <v>0</v>
          </cell>
          <cell r="L52">
            <v>-8625</v>
          </cell>
          <cell r="M52">
            <v>14697</v>
          </cell>
          <cell r="N52">
            <v>0</v>
          </cell>
          <cell r="O52">
            <v>-15126.27</v>
          </cell>
          <cell r="P52">
            <v>506</v>
          </cell>
          <cell r="R52">
            <v>136157.26999999999</v>
          </cell>
          <cell r="S52">
            <v>136157.26999999999</v>
          </cell>
          <cell r="T52">
            <v>46157.26999999999</v>
          </cell>
          <cell r="U52">
            <v>46157.26999999999</v>
          </cell>
          <cell r="V52">
            <v>935.26999999998952</v>
          </cell>
          <cell r="W52">
            <v>935.26999999998952</v>
          </cell>
          <cell r="X52">
            <v>9560.2699999999895</v>
          </cell>
          <cell r="Y52">
            <v>9560.2699999999895</v>
          </cell>
          <cell r="Z52">
            <v>935.26999999998952</v>
          </cell>
          <cell r="AA52">
            <v>15632.26999999999</v>
          </cell>
          <cell r="AB52">
            <v>15632.26999999999</v>
          </cell>
          <cell r="AC52">
            <v>505.99999999998909</v>
          </cell>
        </row>
        <row r="53">
          <cell r="A53">
            <v>101020803</v>
          </cell>
          <cell r="B53" t="str">
            <v xml:space="preserve">OTRAS CUENTAS POR COBRAR VARIAS                                       </v>
          </cell>
          <cell r="C53">
            <v>49221.48</v>
          </cell>
          <cell r="D53">
            <v>23613.01</v>
          </cell>
          <cell r="E53">
            <v>32697.62</v>
          </cell>
          <cell r="F53">
            <v>30523.919999999998</v>
          </cell>
          <cell r="G53">
            <v>13215.32</v>
          </cell>
          <cell r="H53">
            <v>20210.43</v>
          </cell>
          <cell r="I53">
            <v>29476.74</v>
          </cell>
          <cell r="J53">
            <v>34381.269999999997</v>
          </cell>
          <cell r="K53">
            <v>23427.95</v>
          </cell>
          <cell r="L53">
            <v>26599.07</v>
          </cell>
          <cell r="M53">
            <v>-33214.639999999999</v>
          </cell>
          <cell r="N53">
            <v>14031.41</v>
          </cell>
          <cell r="O53">
            <v>-95609.08</v>
          </cell>
          <cell r="P53">
            <v>168574.5</v>
          </cell>
          <cell r="R53">
            <v>72834.490000000005</v>
          </cell>
          <cell r="S53">
            <v>105532.11</v>
          </cell>
          <cell r="T53">
            <v>136056.03</v>
          </cell>
          <cell r="U53">
            <v>149271.35</v>
          </cell>
          <cell r="V53">
            <v>169481.78</v>
          </cell>
          <cell r="W53">
            <v>198958.52</v>
          </cell>
          <cell r="X53">
            <v>233339.78999999998</v>
          </cell>
          <cell r="Y53">
            <v>256767.74</v>
          </cell>
          <cell r="Z53">
            <v>283366.81</v>
          </cell>
          <cell r="AA53">
            <v>250152.16999999998</v>
          </cell>
          <cell r="AB53">
            <v>264183.57999999996</v>
          </cell>
          <cell r="AC53">
            <v>168574.49999999994</v>
          </cell>
        </row>
        <row r="54">
          <cell r="A54">
            <v>101020803001</v>
          </cell>
          <cell r="B54" t="str">
            <v xml:space="preserve">Anticipo gastos de viaje                                              </v>
          </cell>
          <cell r="C54">
            <v>1757.92</v>
          </cell>
          <cell r="D54">
            <v>265.76</v>
          </cell>
          <cell r="E54">
            <v>341.02</v>
          </cell>
          <cell r="F54">
            <v>-35.58</v>
          </cell>
          <cell r="G54">
            <v>0</v>
          </cell>
          <cell r="H54">
            <v>0</v>
          </cell>
          <cell r="I54">
            <v>-771.2</v>
          </cell>
          <cell r="J54">
            <v>-50</v>
          </cell>
          <cell r="K54">
            <v>90</v>
          </cell>
          <cell r="L54">
            <v>210.08</v>
          </cell>
          <cell r="M54">
            <v>-300</v>
          </cell>
          <cell r="N54">
            <v>0</v>
          </cell>
          <cell r="O54">
            <v>-1508</v>
          </cell>
          <cell r="P54">
            <v>0</v>
          </cell>
          <cell r="R54">
            <v>2023.68</v>
          </cell>
          <cell r="S54">
            <v>2364.6999999999998</v>
          </cell>
          <cell r="T54">
            <v>2329.12</v>
          </cell>
          <cell r="U54">
            <v>2329.12</v>
          </cell>
          <cell r="V54">
            <v>2329.12</v>
          </cell>
          <cell r="W54">
            <v>1557.9199999999998</v>
          </cell>
          <cell r="X54">
            <v>1507.9199999999998</v>
          </cell>
          <cell r="Y54">
            <v>1597.9199999999998</v>
          </cell>
          <cell r="Z54">
            <v>1807.9999999999998</v>
          </cell>
          <cell r="AA54">
            <v>1507.9999999999998</v>
          </cell>
          <cell r="AB54">
            <v>1507.9999999999998</v>
          </cell>
          <cell r="AC54">
            <v>0</v>
          </cell>
        </row>
        <row r="55">
          <cell r="A55">
            <v>101020803004</v>
          </cell>
          <cell r="B55" t="str">
            <v xml:space="preserve">Cuentas por cobrar IESS                                               </v>
          </cell>
          <cell r="C55">
            <v>693.29</v>
          </cell>
          <cell r="D55">
            <v>43.97</v>
          </cell>
          <cell r="E55">
            <v>145.35</v>
          </cell>
          <cell r="F55">
            <v>197.72</v>
          </cell>
          <cell r="G55">
            <v>-43.94</v>
          </cell>
          <cell r="H55">
            <v>-158.93</v>
          </cell>
          <cell r="I55">
            <v>119.9</v>
          </cell>
          <cell r="J55">
            <v>89.1</v>
          </cell>
          <cell r="K55">
            <v>-0.33</v>
          </cell>
          <cell r="L55">
            <v>2.21</v>
          </cell>
          <cell r="M55">
            <v>142.26</v>
          </cell>
          <cell r="N55">
            <v>145.12</v>
          </cell>
          <cell r="O55">
            <v>-1289.6400000000001</v>
          </cell>
          <cell r="P55">
            <v>86.08</v>
          </cell>
          <cell r="R55">
            <v>737.26</v>
          </cell>
          <cell r="S55">
            <v>882.61</v>
          </cell>
          <cell r="T55">
            <v>1080.33</v>
          </cell>
          <cell r="U55">
            <v>1036.3899999999999</v>
          </cell>
          <cell r="V55">
            <v>877.45999999999981</v>
          </cell>
          <cell r="W55">
            <v>997.35999999999979</v>
          </cell>
          <cell r="X55">
            <v>1086.4599999999998</v>
          </cell>
          <cell r="Y55">
            <v>1086.1299999999999</v>
          </cell>
          <cell r="Z55">
            <v>1088.3399999999999</v>
          </cell>
          <cell r="AA55">
            <v>1230.5999999999999</v>
          </cell>
          <cell r="AB55">
            <v>1375.7199999999998</v>
          </cell>
          <cell r="AC55">
            <v>86.0799999999997</v>
          </cell>
        </row>
        <row r="56">
          <cell r="A56">
            <v>101020803005</v>
          </cell>
          <cell r="B56" t="str">
            <v xml:space="preserve">Cuentas por liquidar                                                  </v>
          </cell>
          <cell r="C56">
            <v>509.15</v>
          </cell>
          <cell r="D56">
            <v>-4094.53</v>
          </cell>
          <cell r="E56">
            <v>-1088.76</v>
          </cell>
          <cell r="F56">
            <v>4864.83</v>
          </cell>
          <cell r="G56">
            <v>0</v>
          </cell>
          <cell r="H56">
            <v>-309.99</v>
          </cell>
          <cell r="I56">
            <v>-313.70999999999998</v>
          </cell>
          <cell r="J56">
            <v>441.05</v>
          </cell>
          <cell r="K56">
            <v>12264.08</v>
          </cell>
          <cell r="L56">
            <v>-772.13</v>
          </cell>
          <cell r="M56">
            <v>-4113.95</v>
          </cell>
          <cell r="N56">
            <v>4613.95</v>
          </cell>
          <cell r="O56">
            <v>112.01</v>
          </cell>
          <cell r="P56">
            <v>12112</v>
          </cell>
          <cell r="R56">
            <v>-3585.38</v>
          </cell>
          <cell r="S56">
            <v>-4674.1400000000003</v>
          </cell>
          <cell r="T56">
            <v>190.6899999999996</v>
          </cell>
          <cell r="U56">
            <v>190.6899999999996</v>
          </cell>
          <cell r="V56">
            <v>-119.30000000000041</v>
          </cell>
          <cell r="W56">
            <v>-433.01000000000039</v>
          </cell>
          <cell r="X56">
            <v>8.0399999999996226</v>
          </cell>
          <cell r="Y56">
            <v>12272.119999999999</v>
          </cell>
          <cell r="Z56">
            <v>11499.99</v>
          </cell>
          <cell r="AA56">
            <v>7386.04</v>
          </cell>
          <cell r="AB56">
            <v>11999.99</v>
          </cell>
          <cell r="AC56">
            <v>12112</v>
          </cell>
        </row>
        <row r="57">
          <cell r="A57">
            <v>101020803007</v>
          </cell>
          <cell r="B57" t="str">
            <v xml:space="preserve">Anticipo cuentas por rendir                                           </v>
          </cell>
          <cell r="C57">
            <v>1829.72</v>
          </cell>
          <cell r="D57">
            <v>27612.2</v>
          </cell>
          <cell r="E57">
            <v>38435.24</v>
          </cell>
          <cell r="F57">
            <v>25496.95</v>
          </cell>
          <cell r="G57">
            <v>13055.48</v>
          </cell>
          <cell r="H57">
            <v>20679.349999999999</v>
          </cell>
          <cell r="I57">
            <v>30567.68</v>
          </cell>
          <cell r="J57">
            <v>20861.64</v>
          </cell>
          <cell r="K57">
            <v>26686.33</v>
          </cell>
          <cell r="L57">
            <v>35585.83</v>
          </cell>
          <cell r="M57">
            <v>-29527.45</v>
          </cell>
          <cell r="N57">
            <v>9272.34</v>
          </cell>
          <cell r="O57">
            <v>-80584.2</v>
          </cell>
          <cell r="P57">
            <v>139971.10999999999</v>
          </cell>
          <cell r="R57">
            <v>29441.920000000002</v>
          </cell>
          <cell r="S57">
            <v>67877.16</v>
          </cell>
          <cell r="T57">
            <v>93374.11</v>
          </cell>
          <cell r="U57">
            <v>106429.59</v>
          </cell>
          <cell r="V57">
            <v>127108.94</v>
          </cell>
          <cell r="W57">
            <v>157676.62</v>
          </cell>
          <cell r="X57">
            <v>178538.26</v>
          </cell>
          <cell r="Y57">
            <v>205224.59000000003</v>
          </cell>
          <cell r="Z57">
            <v>240810.42000000004</v>
          </cell>
          <cell r="AA57">
            <v>211282.97000000003</v>
          </cell>
          <cell r="AB57">
            <v>220555.31000000003</v>
          </cell>
          <cell r="AC57">
            <v>139971.11000000004</v>
          </cell>
        </row>
        <row r="58">
          <cell r="A58">
            <v>101020803009</v>
          </cell>
          <cell r="B58" t="str">
            <v xml:space="preserve">Deudores varios                                                       </v>
          </cell>
          <cell r="C58">
            <v>44431.4</v>
          </cell>
          <cell r="D58">
            <v>-214.39</v>
          </cell>
          <cell r="E58">
            <v>-5135.2299999999996</v>
          </cell>
          <cell r="F58">
            <v>0</v>
          </cell>
          <cell r="G58">
            <v>43.78</v>
          </cell>
          <cell r="H58">
            <v>0</v>
          </cell>
          <cell r="I58">
            <v>34.07</v>
          </cell>
          <cell r="J58">
            <v>12879.48</v>
          </cell>
          <cell r="K58">
            <v>-15452.13</v>
          </cell>
          <cell r="L58">
            <v>-8426.92</v>
          </cell>
          <cell r="M58">
            <v>424.5</v>
          </cell>
          <cell r="N58">
            <v>0</v>
          </cell>
          <cell r="O58">
            <v>-12179.25</v>
          </cell>
          <cell r="P58">
            <v>16405.310000000001</v>
          </cell>
          <cell r="R58">
            <v>44217.01</v>
          </cell>
          <cell r="S58">
            <v>39081.78</v>
          </cell>
          <cell r="T58">
            <v>39081.78</v>
          </cell>
          <cell r="U58">
            <v>39125.56</v>
          </cell>
          <cell r="V58">
            <v>39125.56</v>
          </cell>
          <cell r="W58">
            <v>39159.629999999997</v>
          </cell>
          <cell r="X58">
            <v>52039.11</v>
          </cell>
          <cell r="Y58">
            <v>36586.980000000003</v>
          </cell>
          <cell r="Z58">
            <v>28160.060000000005</v>
          </cell>
          <cell r="AA58">
            <v>28584.560000000005</v>
          </cell>
          <cell r="AB58">
            <v>28584.560000000005</v>
          </cell>
          <cell r="AC58">
            <v>16405.310000000005</v>
          </cell>
        </row>
        <row r="59">
          <cell r="A59">
            <v>101020803010</v>
          </cell>
          <cell r="B59" t="str">
            <v xml:space="preserve">Anticipo movilizacion                                                 </v>
          </cell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160</v>
          </cell>
          <cell r="H59">
            <v>0</v>
          </cell>
          <cell r="I59">
            <v>-160</v>
          </cell>
          <cell r="J59">
            <v>160</v>
          </cell>
          <cell r="K59">
            <v>-160</v>
          </cell>
          <cell r="L59">
            <v>0</v>
          </cell>
          <cell r="M59">
            <v>160</v>
          </cell>
          <cell r="N59">
            <v>0</v>
          </cell>
          <cell r="O59">
            <v>-160</v>
          </cell>
          <cell r="P59">
            <v>0</v>
          </cell>
          <cell r="R59">
            <v>0</v>
          </cell>
          <cell r="S59">
            <v>0</v>
          </cell>
          <cell r="T59">
            <v>0</v>
          </cell>
          <cell r="U59">
            <v>160</v>
          </cell>
          <cell r="V59">
            <v>160</v>
          </cell>
          <cell r="W59">
            <v>0</v>
          </cell>
          <cell r="X59">
            <v>160</v>
          </cell>
          <cell r="Y59">
            <v>0</v>
          </cell>
          <cell r="Z59">
            <v>0</v>
          </cell>
          <cell r="AA59">
            <v>160</v>
          </cell>
          <cell r="AB59">
            <v>160</v>
          </cell>
          <cell r="AC59">
            <v>0</v>
          </cell>
        </row>
        <row r="60">
          <cell r="A60">
            <v>1010209</v>
          </cell>
          <cell r="B60" t="str">
            <v xml:space="preserve">(-) PROVISIÓN CUENTAS INCOBRABLES                                     </v>
          </cell>
          <cell r="C60">
            <v>-198742.49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-198742.49</v>
          </cell>
          <cell r="R60">
            <v>-198742.49</v>
          </cell>
          <cell r="S60">
            <v>-198742.49</v>
          </cell>
          <cell r="T60">
            <v>-198742.49</v>
          </cell>
          <cell r="U60">
            <v>-198742.49</v>
          </cell>
          <cell r="V60">
            <v>-198742.49</v>
          </cell>
          <cell r="W60">
            <v>-198742.49</v>
          </cell>
          <cell r="X60">
            <v>-198742.49</v>
          </cell>
          <cell r="Y60">
            <v>-198742.49</v>
          </cell>
          <cell r="Z60">
            <v>-198742.49</v>
          </cell>
          <cell r="AA60">
            <v>-198742.49</v>
          </cell>
          <cell r="AB60">
            <v>-198742.49</v>
          </cell>
          <cell r="AC60">
            <v>-198742.49</v>
          </cell>
        </row>
        <row r="61">
          <cell r="A61">
            <v>101020901</v>
          </cell>
          <cell r="B61" t="str">
            <v xml:space="preserve">(-) PROVISIÓN CUENTAS INCOBRABLES                                     </v>
          </cell>
          <cell r="C61">
            <v>-198742.49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-198742.49</v>
          </cell>
          <cell r="R61">
            <v>-198742.49</v>
          </cell>
          <cell r="S61">
            <v>-198742.49</v>
          </cell>
          <cell r="T61">
            <v>-198742.49</v>
          </cell>
          <cell r="U61">
            <v>-198742.49</v>
          </cell>
          <cell r="V61">
            <v>-198742.49</v>
          </cell>
          <cell r="W61">
            <v>-198742.49</v>
          </cell>
          <cell r="X61">
            <v>-198742.49</v>
          </cell>
          <cell r="Y61">
            <v>-198742.49</v>
          </cell>
          <cell r="Z61">
            <v>-198742.49</v>
          </cell>
          <cell r="AA61">
            <v>-198742.49</v>
          </cell>
          <cell r="AB61">
            <v>-198742.49</v>
          </cell>
          <cell r="AC61">
            <v>-198742.49</v>
          </cell>
        </row>
        <row r="62">
          <cell r="A62">
            <v>101020901001</v>
          </cell>
          <cell r="B62" t="str">
            <v xml:space="preserve">(-) Provisión Cuentas Incobrables                                     </v>
          </cell>
          <cell r="C62">
            <v>-198742.49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-198742.49</v>
          </cell>
          <cell r="R62">
            <v>-198742.49</v>
          </cell>
          <cell r="S62">
            <v>-198742.49</v>
          </cell>
          <cell r="T62">
            <v>-198742.49</v>
          </cell>
          <cell r="U62">
            <v>-198742.49</v>
          </cell>
          <cell r="V62">
            <v>-198742.49</v>
          </cell>
          <cell r="W62">
            <v>-198742.49</v>
          </cell>
          <cell r="X62">
            <v>-198742.49</v>
          </cell>
          <cell r="Y62">
            <v>-198742.49</v>
          </cell>
          <cell r="Z62">
            <v>-198742.49</v>
          </cell>
          <cell r="AA62">
            <v>-198742.49</v>
          </cell>
          <cell r="AB62">
            <v>-198742.49</v>
          </cell>
          <cell r="AC62">
            <v>-198742.49</v>
          </cell>
        </row>
        <row r="63">
          <cell r="A63">
            <v>10103</v>
          </cell>
          <cell r="B63" t="str">
            <v xml:space="preserve">INVENTARIOS                                                           </v>
          </cell>
          <cell r="C63">
            <v>6011292.7999999998</v>
          </cell>
          <cell r="D63">
            <v>-364415.61</v>
          </cell>
          <cell r="E63">
            <v>-565112.02</v>
          </cell>
          <cell r="F63">
            <v>738436.88</v>
          </cell>
          <cell r="G63">
            <v>-501257.57</v>
          </cell>
          <cell r="H63">
            <v>-861438.11</v>
          </cell>
          <cell r="I63">
            <v>1554889.54</v>
          </cell>
          <cell r="J63">
            <v>3347049.59</v>
          </cell>
          <cell r="K63">
            <v>399522.38</v>
          </cell>
          <cell r="L63">
            <v>-2293286.15</v>
          </cell>
          <cell r="M63">
            <v>599066.16</v>
          </cell>
          <cell r="N63">
            <v>-1201040.94</v>
          </cell>
          <cell r="O63">
            <v>-1135344.6399999999</v>
          </cell>
          <cell r="P63">
            <v>5728362.3099999996</v>
          </cell>
          <cell r="R63">
            <v>5646877.1899999995</v>
          </cell>
          <cell r="S63">
            <v>5081765.17</v>
          </cell>
          <cell r="T63">
            <v>5820202.0499999998</v>
          </cell>
          <cell r="U63">
            <v>5318944.4799999995</v>
          </cell>
          <cell r="V63">
            <v>4457506.3699999992</v>
          </cell>
          <cell r="W63">
            <v>6012395.9099999992</v>
          </cell>
          <cell r="X63">
            <v>9359445.5</v>
          </cell>
          <cell r="Y63">
            <v>9758967.8800000008</v>
          </cell>
          <cell r="Z63">
            <v>7465681.7300000004</v>
          </cell>
          <cell r="AA63">
            <v>8064747.8900000006</v>
          </cell>
          <cell r="AB63">
            <v>6863706.9500000011</v>
          </cell>
          <cell r="AC63">
            <v>5728362.3100000015</v>
          </cell>
        </row>
        <row r="64">
          <cell r="A64">
            <v>1010301</v>
          </cell>
          <cell r="B64" t="str">
            <v xml:space="preserve">INVENTARIOS DE MATERIA PRIMA                                          </v>
          </cell>
          <cell r="C64">
            <v>3910679.94</v>
          </cell>
          <cell r="D64">
            <v>-134852.85999999999</v>
          </cell>
          <cell r="E64">
            <v>804.1</v>
          </cell>
          <cell r="F64">
            <v>21737.47</v>
          </cell>
          <cell r="G64">
            <v>-798866.16</v>
          </cell>
          <cell r="H64">
            <v>-155395.88</v>
          </cell>
          <cell r="I64">
            <v>225551.79</v>
          </cell>
          <cell r="J64">
            <v>1795124.84</v>
          </cell>
          <cell r="K64">
            <v>1429718.4</v>
          </cell>
          <cell r="L64">
            <v>-1301219.8500000001</v>
          </cell>
          <cell r="M64">
            <v>-1721068.15</v>
          </cell>
          <cell r="N64">
            <v>-1845748.1</v>
          </cell>
          <cell r="O64">
            <v>2972231.11</v>
          </cell>
          <cell r="P64">
            <v>4398696.6500000004</v>
          </cell>
          <cell r="R64">
            <v>3775827.08</v>
          </cell>
          <cell r="S64">
            <v>3776631.18</v>
          </cell>
          <cell r="T64">
            <v>3798368.6500000004</v>
          </cell>
          <cell r="U64">
            <v>2999502.49</v>
          </cell>
          <cell r="V64">
            <v>2844106.6100000003</v>
          </cell>
          <cell r="W64">
            <v>3069658.4000000004</v>
          </cell>
          <cell r="X64">
            <v>4864783.24</v>
          </cell>
          <cell r="Y64">
            <v>6294501.6400000006</v>
          </cell>
          <cell r="Z64">
            <v>4993281.790000001</v>
          </cell>
          <cell r="AA64">
            <v>3272213.6400000011</v>
          </cell>
          <cell r="AB64">
            <v>1426465.540000001</v>
          </cell>
          <cell r="AC64">
            <v>4398696.6500000004</v>
          </cell>
        </row>
        <row r="65">
          <cell r="A65">
            <v>101030101</v>
          </cell>
          <cell r="B65" t="str">
            <v xml:space="preserve">INVENTARIO DE MATERIA PRIMA BRUTA                                     </v>
          </cell>
          <cell r="C65">
            <v>3479557.99</v>
          </cell>
          <cell r="D65">
            <v>-305075.88</v>
          </cell>
          <cell r="E65">
            <v>-347761.67</v>
          </cell>
          <cell r="F65">
            <v>496381.28</v>
          </cell>
          <cell r="G65">
            <v>-802825.09</v>
          </cell>
          <cell r="H65">
            <v>-225381.21</v>
          </cell>
          <cell r="I65">
            <v>80952.52</v>
          </cell>
          <cell r="J65">
            <v>1729574.86</v>
          </cell>
          <cell r="K65">
            <v>1984362.48</v>
          </cell>
          <cell r="L65">
            <v>282837.45</v>
          </cell>
          <cell r="M65">
            <v>-1071910.3799999999</v>
          </cell>
          <cell r="N65">
            <v>-1002554.17</v>
          </cell>
          <cell r="O65">
            <v>-256059.51</v>
          </cell>
          <cell r="P65">
            <v>4042098.67</v>
          </cell>
          <cell r="R65">
            <v>3174482.1100000003</v>
          </cell>
          <cell r="S65">
            <v>2826720.4400000004</v>
          </cell>
          <cell r="T65">
            <v>3323101.7200000007</v>
          </cell>
          <cell r="U65">
            <v>2520276.6300000008</v>
          </cell>
          <cell r="V65">
            <v>2294895.4200000009</v>
          </cell>
          <cell r="W65">
            <v>2375847.9400000009</v>
          </cell>
          <cell r="X65">
            <v>4105422.8000000007</v>
          </cell>
          <cell r="Y65">
            <v>6089785.2800000012</v>
          </cell>
          <cell r="Z65">
            <v>6372622.7300000014</v>
          </cell>
          <cell r="AA65">
            <v>5300712.3500000015</v>
          </cell>
          <cell r="AB65">
            <v>4298158.1800000016</v>
          </cell>
          <cell r="AC65">
            <v>4042098.6700000018</v>
          </cell>
        </row>
        <row r="66">
          <cell r="A66">
            <v>101030101001</v>
          </cell>
          <cell r="B66" t="str">
            <v xml:space="preserve">Inventario Bobinas                                                    </v>
          </cell>
          <cell r="C66">
            <v>3479557.99</v>
          </cell>
          <cell r="D66">
            <v>-305075.88</v>
          </cell>
          <cell r="E66">
            <v>-347761.67</v>
          </cell>
          <cell r="F66">
            <v>496381.28</v>
          </cell>
          <cell r="G66">
            <v>-802825.09</v>
          </cell>
          <cell r="H66">
            <v>-225381.21</v>
          </cell>
          <cell r="I66">
            <v>80952.52</v>
          </cell>
          <cell r="J66">
            <v>1729574.86</v>
          </cell>
          <cell r="K66">
            <v>1984362.48</v>
          </cell>
          <cell r="L66">
            <v>282837.45</v>
          </cell>
          <cell r="M66">
            <v>-1071910.3799999999</v>
          </cell>
          <cell r="N66">
            <v>-1002554.17</v>
          </cell>
          <cell r="O66">
            <v>-256059.51</v>
          </cell>
          <cell r="P66">
            <v>4042098.67</v>
          </cell>
          <cell r="R66">
            <v>3174482.1100000003</v>
          </cell>
          <cell r="S66">
            <v>2826720.4400000004</v>
          </cell>
          <cell r="T66">
            <v>3323101.7200000007</v>
          </cell>
          <cell r="U66">
            <v>2520276.6300000008</v>
          </cell>
          <cell r="V66">
            <v>2294895.4200000009</v>
          </cell>
          <cell r="W66">
            <v>2375847.9400000009</v>
          </cell>
          <cell r="X66">
            <v>4105422.8000000007</v>
          </cell>
          <cell r="Y66">
            <v>6089785.2800000012</v>
          </cell>
          <cell r="Z66">
            <v>6372622.7300000014</v>
          </cell>
          <cell r="AA66">
            <v>5300712.3500000015</v>
          </cell>
          <cell r="AB66">
            <v>4298158.1800000016</v>
          </cell>
          <cell r="AC66">
            <v>4042098.6700000018</v>
          </cell>
        </row>
        <row r="67">
          <cell r="A67">
            <v>101030102</v>
          </cell>
          <cell r="B67" t="str">
            <v xml:space="preserve">INVENTARIO DE MATERIA PRIMA PARA PRODUCCION                           </v>
          </cell>
          <cell r="C67">
            <v>431121.95</v>
          </cell>
          <cell r="D67">
            <v>170223.02</v>
          </cell>
          <cell r="E67">
            <v>348565.77</v>
          </cell>
          <cell r="F67">
            <v>-474643.81</v>
          </cell>
          <cell r="G67">
            <v>3958.93</v>
          </cell>
          <cell r="H67">
            <v>69985.33</v>
          </cell>
          <cell r="I67">
            <v>144599.26999999999</v>
          </cell>
          <cell r="J67">
            <v>65549.98</v>
          </cell>
          <cell r="K67">
            <v>-554644.07999999996</v>
          </cell>
          <cell r="L67">
            <v>-1584057.3</v>
          </cell>
          <cell r="M67">
            <v>-649157.77</v>
          </cell>
          <cell r="N67">
            <v>-843193.93</v>
          </cell>
          <cell r="O67">
            <v>3228290.62</v>
          </cell>
          <cell r="P67">
            <v>356597.98</v>
          </cell>
          <cell r="R67">
            <v>601344.97</v>
          </cell>
          <cell r="S67">
            <v>949910.74</v>
          </cell>
          <cell r="T67">
            <v>475266.93</v>
          </cell>
          <cell r="U67">
            <v>479225.86</v>
          </cell>
          <cell r="V67">
            <v>549211.18999999994</v>
          </cell>
          <cell r="W67">
            <v>693810.46</v>
          </cell>
          <cell r="X67">
            <v>759360.44</v>
          </cell>
          <cell r="Y67">
            <v>204716.36</v>
          </cell>
          <cell r="Z67">
            <v>-1379340.94</v>
          </cell>
          <cell r="AA67">
            <v>-2028498.71</v>
          </cell>
          <cell r="AB67">
            <v>-2871692.64</v>
          </cell>
          <cell r="AC67">
            <v>356597.98</v>
          </cell>
        </row>
        <row r="68">
          <cell r="A68">
            <v>101030102001</v>
          </cell>
          <cell r="B68" t="str">
            <v xml:space="preserve">Inventario Materia Prima                                              </v>
          </cell>
          <cell r="C68">
            <v>431121.95</v>
          </cell>
          <cell r="D68">
            <v>170223.02</v>
          </cell>
          <cell r="E68">
            <v>348565.77</v>
          </cell>
          <cell r="F68">
            <v>-474643.81</v>
          </cell>
          <cell r="G68">
            <v>3958.93</v>
          </cell>
          <cell r="H68">
            <v>69985.33</v>
          </cell>
          <cell r="I68">
            <v>144599.26999999999</v>
          </cell>
          <cell r="J68">
            <v>65549.98</v>
          </cell>
          <cell r="K68">
            <v>-554644.07999999996</v>
          </cell>
          <cell r="L68">
            <v>-1584057.3</v>
          </cell>
          <cell r="M68">
            <v>-649157.77</v>
          </cell>
          <cell r="N68">
            <v>-843193.93</v>
          </cell>
          <cell r="O68">
            <v>3228290.62</v>
          </cell>
          <cell r="P68">
            <v>356597.98</v>
          </cell>
          <cell r="R68">
            <v>601344.97</v>
          </cell>
          <cell r="S68">
            <v>949910.74</v>
          </cell>
          <cell r="T68">
            <v>475266.93</v>
          </cell>
          <cell r="U68">
            <v>479225.86</v>
          </cell>
          <cell r="V68">
            <v>549211.18999999994</v>
          </cell>
          <cell r="W68">
            <v>693810.46</v>
          </cell>
          <cell r="X68">
            <v>759360.44</v>
          </cell>
          <cell r="Y68">
            <v>204716.36</v>
          </cell>
          <cell r="Z68">
            <v>-1379340.94</v>
          </cell>
          <cell r="AA68">
            <v>-2028498.71</v>
          </cell>
          <cell r="AB68">
            <v>-2871692.64</v>
          </cell>
          <cell r="AC68">
            <v>356597.98</v>
          </cell>
        </row>
        <row r="69">
          <cell r="A69">
            <v>1010302</v>
          </cell>
          <cell r="B69" t="str">
            <v xml:space="preserve">INVENTARIO DE PRODUCTOS EN PROCESO                                    </v>
          </cell>
          <cell r="C69">
            <v>79533.31</v>
          </cell>
          <cell r="D69">
            <v>116039.45</v>
          </cell>
          <cell r="E69">
            <v>-80232.88</v>
          </cell>
          <cell r="F69">
            <v>-27549.360000000001</v>
          </cell>
          <cell r="G69">
            <v>55287.16</v>
          </cell>
          <cell r="H69">
            <v>-85501.759999999995</v>
          </cell>
          <cell r="I69">
            <v>-34853.74</v>
          </cell>
          <cell r="J69">
            <v>706.87</v>
          </cell>
          <cell r="K69">
            <v>491819.79</v>
          </cell>
          <cell r="L69">
            <v>0</v>
          </cell>
          <cell r="M69">
            <v>0</v>
          </cell>
          <cell r="N69">
            <v>0</v>
          </cell>
          <cell r="O69">
            <v>-508112.78</v>
          </cell>
          <cell r="P69">
            <v>7136.06</v>
          </cell>
          <cell r="R69">
            <v>195572.76</v>
          </cell>
          <cell r="S69">
            <v>115339.88</v>
          </cell>
          <cell r="T69">
            <v>87790.52</v>
          </cell>
          <cell r="U69">
            <v>143077.68</v>
          </cell>
          <cell r="V69">
            <v>57575.92</v>
          </cell>
          <cell r="W69">
            <v>22722.18</v>
          </cell>
          <cell r="X69">
            <v>23429.05</v>
          </cell>
          <cell r="Y69">
            <v>515248.83999999997</v>
          </cell>
          <cell r="Z69">
            <v>515248.83999999997</v>
          </cell>
          <cell r="AA69">
            <v>515248.83999999997</v>
          </cell>
          <cell r="AB69">
            <v>515248.83999999997</v>
          </cell>
          <cell r="AC69">
            <v>7136.0599999999395</v>
          </cell>
        </row>
        <row r="70">
          <cell r="A70">
            <v>101030201</v>
          </cell>
          <cell r="B70" t="str">
            <v xml:space="preserve">INVENTARIOS DE PRODUCTOS EN PROCESO                                   </v>
          </cell>
          <cell r="C70">
            <v>79533.31</v>
          </cell>
          <cell r="D70">
            <v>116039.45</v>
          </cell>
          <cell r="E70">
            <v>-80232.88</v>
          </cell>
          <cell r="F70">
            <v>-27549.360000000001</v>
          </cell>
          <cell r="G70">
            <v>55287.16</v>
          </cell>
          <cell r="H70">
            <v>-85501.759999999995</v>
          </cell>
          <cell r="I70">
            <v>-34853.74</v>
          </cell>
          <cell r="J70">
            <v>706.87</v>
          </cell>
          <cell r="K70">
            <v>491819.79</v>
          </cell>
          <cell r="L70">
            <v>0</v>
          </cell>
          <cell r="M70">
            <v>0</v>
          </cell>
          <cell r="N70">
            <v>0</v>
          </cell>
          <cell r="O70">
            <v>-508112.78</v>
          </cell>
          <cell r="P70">
            <v>7136.06</v>
          </cell>
          <cell r="R70">
            <v>195572.76</v>
          </cell>
          <cell r="S70">
            <v>115339.88</v>
          </cell>
          <cell r="T70">
            <v>87790.52</v>
          </cell>
          <cell r="U70">
            <v>143077.68</v>
          </cell>
          <cell r="V70">
            <v>57575.92</v>
          </cell>
          <cell r="W70">
            <v>22722.18</v>
          </cell>
          <cell r="X70">
            <v>23429.05</v>
          </cell>
          <cell r="Y70">
            <v>515248.83999999997</v>
          </cell>
          <cell r="Z70">
            <v>515248.83999999997</v>
          </cell>
          <cell r="AA70">
            <v>515248.83999999997</v>
          </cell>
          <cell r="AB70">
            <v>515248.83999999997</v>
          </cell>
          <cell r="AC70">
            <v>7136.0599999999395</v>
          </cell>
        </row>
        <row r="71">
          <cell r="A71">
            <v>101030201001</v>
          </cell>
          <cell r="B71" t="str">
            <v xml:space="preserve">Inventario de Productos en Proceso                                    </v>
          </cell>
          <cell r="C71">
            <v>79533.31</v>
          </cell>
          <cell r="D71">
            <v>116039.45</v>
          </cell>
          <cell r="E71">
            <v>-80232.88</v>
          </cell>
          <cell r="F71">
            <v>-27549.360000000001</v>
          </cell>
          <cell r="G71">
            <v>55287.16</v>
          </cell>
          <cell r="H71">
            <v>-85501.759999999995</v>
          </cell>
          <cell r="I71">
            <v>-34853.74</v>
          </cell>
          <cell r="J71">
            <v>706.87</v>
          </cell>
          <cell r="K71">
            <v>491819.79</v>
          </cell>
          <cell r="L71">
            <v>0</v>
          </cell>
          <cell r="M71">
            <v>0</v>
          </cell>
          <cell r="N71">
            <v>0</v>
          </cell>
          <cell r="O71">
            <v>-508112.78</v>
          </cell>
          <cell r="P71">
            <v>7136.06</v>
          </cell>
          <cell r="R71">
            <v>195572.76</v>
          </cell>
          <cell r="S71">
            <v>115339.88</v>
          </cell>
          <cell r="T71">
            <v>87790.52</v>
          </cell>
          <cell r="U71">
            <v>143077.68</v>
          </cell>
          <cell r="V71">
            <v>57575.92</v>
          </cell>
          <cell r="W71">
            <v>22722.18</v>
          </cell>
          <cell r="X71">
            <v>23429.05</v>
          </cell>
          <cell r="Y71">
            <v>515248.83999999997</v>
          </cell>
          <cell r="Z71">
            <v>515248.83999999997</v>
          </cell>
          <cell r="AA71">
            <v>515248.83999999997</v>
          </cell>
          <cell r="AB71">
            <v>515248.83999999997</v>
          </cell>
          <cell r="AC71">
            <v>7136.0599999999395</v>
          </cell>
        </row>
        <row r="72">
          <cell r="A72">
            <v>1010303</v>
          </cell>
          <cell r="B72" t="str">
            <v xml:space="preserve">INVENTARIO DE PRODUCTOS TERMINADOS                                    </v>
          </cell>
          <cell r="C72">
            <v>769107</v>
          </cell>
          <cell r="D72">
            <v>-72535.899999999994</v>
          </cell>
          <cell r="E72">
            <v>98346.13</v>
          </cell>
          <cell r="F72">
            <v>87779.199999999997</v>
          </cell>
          <cell r="G72">
            <v>-175881.97</v>
          </cell>
          <cell r="H72">
            <v>37488.83</v>
          </cell>
          <cell r="I72">
            <v>615550.56999999995</v>
          </cell>
          <cell r="J72">
            <v>-172962.05</v>
          </cell>
          <cell r="K72">
            <v>84111.8</v>
          </cell>
          <cell r="L72">
            <v>23425.200000000001</v>
          </cell>
          <cell r="M72">
            <v>-148302.39000000001</v>
          </cell>
          <cell r="N72">
            <v>0</v>
          </cell>
          <cell r="O72">
            <v>-554618.19999999995</v>
          </cell>
          <cell r="P72">
            <v>591508.22</v>
          </cell>
          <cell r="R72">
            <v>696571.1</v>
          </cell>
          <cell r="S72">
            <v>794917.23</v>
          </cell>
          <cell r="T72">
            <v>882696.42999999993</v>
          </cell>
          <cell r="U72">
            <v>706814.46</v>
          </cell>
          <cell r="V72">
            <v>744303.28999999992</v>
          </cell>
          <cell r="W72">
            <v>1359853.8599999999</v>
          </cell>
          <cell r="X72">
            <v>1186891.8099999998</v>
          </cell>
          <cell r="Y72">
            <v>1271003.6099999999</v>
          </cell>
          <cell r="Z72">
            <v>1294428.8099999998</v>
          </cell>
          <cell r="AA72">
            <v>1146126.42</v>
          </cell>
          <cell r="AB72">
            <v>1146126.42</v>
          </cell>
          <cell r="AC72">
            <v>591508.22</v>
          </cell>
        </row>
        <row r="73">
          <cell r="A73">
            <v>101030301</v>
          </cell>
          <cell r="B73" t="str">
            <v xml:space="preserve">INVENTARIO DE PRODUCTOS TERMINADOS                                    </v>
          </cell>
          <cell r="C73">
            <v>769107</v>
          </cell>
          <cell r="D73">
            <v>-72535.899999999994</v>
          </cell>
          <cell r="E73">
            <v>98346.13</v>
          </cell>
          <cell r="F73">
            <v>87779.199999999997</v>
          </cell>
          <cell r="G73">
            <v>-175881.97</v>
          </cell>
          <cell r="H73">
            <v>37488.83</v>
          </cell>
          <cell r="I73">
            <v>615550.56999999995</v>
          </cell>
          <cell r="J73">
            <v>-172962.05</v>
          </cell>
          <cell r="K73">
            <v>84111.8</v>
          </cell>
          <cell r="L73">
            <v>23425.200000000001</v>
          </cell>
          <cell r="M73">
            <v>-148302.39000000001</v>
          </cell>
          <cell r="N73">
            <v>0</v>
          </cell>
          <cell r="O73">
            <v>-554618.19999999995</v>
          </cell>
          <cell r="P73">
            <v>591508.22</v>
          </cell>
          <cell r="R73">
            <v>696571.1</v>
          </cell>
          <cell r="S73">
            <v>794917.23</v>
          </cell>
          <cell r="T73">
            <v>882696.42999999993</v>
          </cell>
          <cell r="U73">
            <v>706814.46</v>
          </cell>
          <cell r="V73">
            <v>744303.28999999992</v>
          </cell>
          <cell r="W73">
            <v>1359853.8599999999</v>
          </cell>
          <cell r="X73">
            <v>1186891.8099999998</v>
          </cell>
          <cell r="Y73">
            <v>1271003.6099999999</v>
          </cell>
          <cell r="Z73">
            <v>1294428.8099999998</v>
          </cell>
          <cell r="AA73">
            <v>1146126.42</v>
          </cell>
          <cell r="AB73">
            <v>1146126.42</v>
          </cell>
          <cell r="AC73">
            <v>591508.22</v>
          </cell>
        </row>
        <row r="74">
          <cell r="A74">
            <v>101030301001</v>
          </cell>
          <cell r="B74" t="str">
            <v xml:space="preserve">Inventario Productos Terminados                                       </v>
          </cell>
          <cell r="C74">
            <v>769107</v>
          </cell>
          <cell r="D74">
            <v>-72535.899999999994</v>
          </cell>
          <cell r="E74">
            <v>98346.13</v>
          </cell>
          <cell r="F74">
            <v>44415.199999999997</v>
          </cell>
          <cell r="G74">
            <v>-167458.87</v>
          </cell>
          <cell r="H74">
            <v>29514.22</v>
          </cell>
          <cell r="I74">
            <v>622486.91</v>
          </cell>
          <cell r="J74">
            <v>-144982.85</v>
          </cell>
          <cell r="K74">
            <v>84111.8</v>
          </cell>
          <cell r="L74">
            <v>-0.05</v>
          </cell>
          <cell r="M74">
            <v>-123964.59</v>
          </cell>
          <cell r="N74">
            <v>0</v>
          </cell>
          <cell r="O74">
            <v>-574032.74</v>
          </cell>
          <cell r="P74">
            <v>565006.26</v>
          </cell>
          <cell r="R74">
            <v>696571.1</v>
          </cell>
          <cell r="S74">
            <v>794917.23</v>
          </cell>
          <cell r="T74">
            <v>839332.42999999993</v>
          </cell>
          <cell r="U74">
            <v>671873.55999999994</v>
          </cell>
          <cell r="V74">
            <v>701387.77999999991</v>
          </cell>
          <cell r="W74">
            <v>1323874.69</v>
          </cell>
          <cell r="X74">
            <v>1178891.8399999999</v>
          </cell>
          <cell r="Y74">
            <v>1263003.6399999999</v>
          </cell>
          <cell r="Z74">
            <v>1263003.5899999999</v>
          </cell>
          <cell r="AA74">
            <v>1139038.9999999998</v>
          </cell>
          <cell r="AB74">
            <v>1139038.9999999998</v>
          </cell>
          <cell r="AC74">
            <v>565006.25999999978</v>
          </cell>
        </row>
        <row r="75">
          <cell r="A75">
            <v>101030301003</v>
          </cell>
          <cell r="B75" t="str">
            <v xml:space="preserve">Inventario Productos Terminados Adquirido                             </v>
          </cell>
          <cell r="C75">
            <v>0</v>
          </cell>
          <cell r="D75">
            <v>0</v>
          </cell>
          <cell r="E75">
            <v>0</v>
          </cell>
          <cell r="F75">
            <v>43364</v>
          </cell>
          <cell r="G75">
            <v>-8423.1</v>
          </cell>
          <cell r="H75">
            <v>7974.61</v>
          </cell>
          <cell r="I75">
            <v>-6936.34</v>
          </cell>
          <cell r="J75">
            <v>-27979.200000000001</v>
          </cell>
          <cell r="K75">
            <v>0</v>
          </cell>
          <cell r="L75">
            <v>23425.25</v>
          </cell>
          <cell r="M75">
            <v>-24337.8</v>
          </cell>
          <cell r="N75">
            <v>0</v>
          </cell>
          <cell r="O75">
            <v>19414.54</v>
          </cell>
          <cell r="P75">
            <v>26501.96</v>
          </cell>
          <cell r="R75">
            <v>0</v>
          </cell>
          <cell r="S75">
            <v>0</v>
          </cell>
          <cell r="T75">
            <v>43364</v>
          </cell>
          <cell r="U75">
            <v>34940.9</v>
          </cell>
          <cell r="V75">
            <v>42915.51</v>
          </cell>
          <cell r="W75">
            <v>35979.17</v>
          </cell>
          <cell r="X75">
            <v>7999.9699999999975</v>
          </cell>
          <cell r="Y75">
            <v>7999.9699999999975</v>
          </cell>
          <cell r="Z75">
            <v>31425.219999999998</v>
          </cell>
          <cell r="AA75">
            <v>7087.4199999999983</v>
          </cell>
          <cell r="AB75">
            <v>7087.4199999999983</v>
          </cell>
          <cell r="AC75">
            <v>26501.96</v>
          </cell>
        </row>
        <row r="76">
          <cell r="A76">
            <v>1010304</v>
          </cell>
          <cell r="B76" t="str">
            <v xml:space="preserve">INVENTARIOS DE EMPAQUES                                               </v>
          </cell>
          <cell r="C76">
            <v>50558.06</v>
          </cell>
          <cell r="D76">
            <v>-15294.85</v>
          </cell>
          <cell r="E76">
            <v>-4369.37</v>
          </cell>
          <cell r="F76">
            <v>12521.41</v>
          </cell>
          <cell r="G76">
            <v>900.55</v>
          </cell>
          <cell r="H76">
            <v>-17824.95</v>
          </cell>
          <cell r="I76">
            <v>8217.9599999999991</v>
          </cell>
          <cell r="J76">
            <v>4860.42</v>
          </cell>
          <cell r="K76">
            <v>4689.24</v>
          </cell>
          <cell r="L76">
            <v>2195.94</v>
          </cell>
          <cell r="M76">
            <v>-5095.6400000000003</v>
          </cell>
          <cell r="N76">
            <v>-859.62</v>
          </cell>
          <cell r="O76">
            <v>790.97</v>
          </cell>
          <cell r="P76">
            <v>41290.120000000003</v>
          </cell>
          <cell r="R76">
            <v>35263.21</v>
          </cell>
          <cell r="S76">
            <v>30893.84</v>
          </cell>
          <cell r="T76">
            <v>43415.25</v>
          </cell>
          <cell r="U76">
            <v>44315.8</v>
          </cell>
          <cell r="V76">
            <v>26490.850000000002</v>
          </cell>
          <cell r="W76">
            <v>34708.81</v>
          </cell>
          <cell r="X76">
            <v>39569.229999999996</v>
          </cell>
          <cell r="Y76">
            <v>44258.469999999994</v>
          </cell>
          <cell r="Z76">
            <v>46454.409999999996</v>
          </cell>
          <cell r="AA76">
            <v>41358.769999999997</v>
          </cell>
          <cell r="AB76">
            <v>40499.149999999994</v>
          </cell>
          <cell r="AC76">
            <v>41290.119999999995</v>
          </cell>
        </row>
        <row r="77">
          <cell r="A77">
            <v>101030401</v>
          </cell>
          <cell r="B77" t="str">
            <v xml:space="preserve">INVENTARIOS DE EMPAQUES                                               </v>
          </cell>
          <cell r="C77">
            <v>50558.06</v>
          </cell>
          <cell r="D77">
            <v>-15294.85</v>
          </cell>
          <cell r="E77">
            <v>-4369.37</v>
          </cell>
          <cell r="F77">
            <v>12521.41</v>
          </cell>
          <cell r="G77">
            <v>900.55</v>
          </cell>
          <cell r="H77">
            <v>-17824.95</v>
          </cell>
          <cell r="I77">
            <v>8217.9599999999991</v>
          </cell>
          <cell r="J77">
            <v>4860.42</v>
          </cell>
          <cell r="K77">
            <v>4689.24</v>
          </cell>
          <cell r="L77">
            <v>2195.94</v>
          </cell>
          <cell r="M77">
            <v>-5095.6400000000003</v>
          </cell>
          <cell r="N77">
            <v>-859.62</v>
          </cell>
          <cell r="O77">
            <v>790.97</v>
          </cell>
          <cell r="P77">
            <v>41290.120000000003</v>
          </cell>
          <cell r="R77">
            <v>35263.21</v>
          </cell>
          <cell r="S77">
            <v>30893.84</v>
          </cell>
          <cell r="T77">
            <v>43415.25</v>
          </cell>
          <cell r="U77">
            <v>44315.8</v>
          </cell>
          <cell r="V77">
            <v>26490.850000000002</v>
          </cell>
          <cell r="W77">
            <v>34708.81</v>
          </cell>
          <cell r="X77">
            <v>39569.229999999996</v>
          </cell>
          <cell r="Y77">
            <v>44258.469999999994</v>
          </cell>
          <cell r="Z77">
            <v>46454.409999999996</v>
          </cell>
          <cell r="AA77">
            <v>41358.769999999997</v>
          </cell>
          <cell r="AB77">
            <v>40499.149999999994</v>
          </cell>
          <cell r="AC77">
            <v>41290.119999999995</v>
          </cell>
        </row>
        <row r="78">
          <cell r="A78">
            <v>101030401001</v>
          </cell>
          <cell r="B78" t="str">
            <v xml:space="preserve">Inventario de Empaques                                                </v>
          </cell>
          <cell r="C78">
            <v>50558.06</v>
          </cell>
          <cell r="D78">
            <v>-15294.85</v>
          </cell>
          <cell r="E78">
            <v>-4369.37</v>
          </cell>
          <cell r="F78">
            <v>12521.41</v>
          </cell>
          <cell r="G78">
            <v>900.55</v>
          </cell>
          <cell r="H78">
            <v>-17824.95</v>
          </cell>
          <cell r="I78">
            <v>8217.9599999999991</v>
          </cell>
          <cell r="J78">
            <v>4860.42</v>
          </cell>
          <cell r="K78">
            <v>4689.24</v>
          </cell>
          <cell r="L78">
            <v>2195.94</v>
          </cell>
          <cell r="M78">
            <v>-5095.6400000000003</v>
          </cell>
          <cell r="N78">
            <v>-859.62</v>
          </cell>
          <cell r="O78">
            <v>790.97</v>
          </cell>
          <cell r="P78">
            <v>41290.120000000003</v>
          </cell>
          <cell r="R78">
            <v>35263.21</v>
          </cell>
          <cell r="S78">
            <v>30893.84</v>
          </cell>
          <cell r="T78">
            <v>43415.25</v>
          </cell>
          <cell r="U78">
            <v>44315.8</v>
          </cell>
          <cell r="V78">
            <v>26490.850000000002</v>
          </cell>
          <cell r="W78">
            <v>34708.81</v>
          </cell>
          <cell r="X78">
            <v>39569.229999999996</v>
          </cell>
          <cell r="Y78">
            <v>44258.469999999994</v>
          </cell>
          <cell r="Z78">
            <v>46454.409999999996</v>
          </cell>
          <cell r="AA78">
            <v>41358.769999999997</v>
          </cell>
          <cell r="AB78">
            <v>40499.149999999994</v>
          </cell>
          <cell r="AC78">
            <v>41290.119999999995</v>
          </cell>
        </row>
        <row r="79">
          <cell r="A79">
            <v>1010305</v>
          </cell>
          <cell r="B79" t="str">
            <v xml:space="preserve">INVENTARIOS DE SUMINISTROS INDUSTRIALES                               </v>
          </cell>
          <cell r="C79">
            <v>31940.65</v>
          </cell>
          <cell r="D79">
            <v>617.84</v>
          </cell>
          <cell r="E79">
            <v>5852.83</v>
          </cell>
          <cell r="F79">
            <v>11145.32</v>
          </cell>
          <cell r="G79">
            <v>14354.58</v>
          </cell>
          <cell r="H79">
            <v>-2155.98</v>
          </cell>
          <cell r="I79">
            <v>2583.21</v>
          </cell>
          <cell r="J79">
            <v>-9397.57</v>
          </cell>
          <cell r="K79">
            <v>-6103.4</v>
          </cell>
          <cell r="L79">
            <v>-256.79000000000002</v>
          </cell>
          <cell r="M79">
            <v>3655.46</v>
          </cell>
          <cell r="N79">
            <v>-14400.25</v>
          </cell>
          <cell r="O79">
            <v>548.41999999999996</v>
          </cell>
          <cell r="P79">
            <v>38384.32</v>
          </cell>
          <cell r="R79">
            <v>32558.49</v>
          </cell>
          <cell r="S79">
            <v>38411.32</v>
          </cell>
          <cell r="T79">
            <v>49556.639999999999</v>
          </cell>
          <cell r="U79">
            <v>63911.22</v>
          </cell>
          <cell r="V79">
            <v>61755.24</v>
          </cell>
          <cell r="W79">
            <v>64338.45</v>
          </cell>
          <cell r="X79">
            <v>54940.88</v>
          </cell>
          <cell r="Y79">
            <v>48837.479999999996</v>
          </cell>
          <cell r="Z79">
            <v>48580.689999999995</v>
          </cell>
          <cell r="AA79">
            <v>52236.149999999994</v>
          </cell>
          <cell r="AB79">
            <v>37835.899999999994</v>
          </cell>
          <cell r="AC79">
            <v>38384.319999999992</v>
          </cell>
        </row>
        <row r="80">
          <cell r="A80">
            <v>101030501</v>
          </cell>
          <cell r="B80" t="str">
            <v xml:space="preserve">INVENTARIOS DE SUMINISTROS INDUSTRIALES                               </v>
          </cell>
          <cell r="C80">
            <v>31940.65</v>
          </cell>
          <cell r="D80">
            <v>617.84</v>
          </cell>
          <cell r="E80">
            <v>5852.83</v>
          </cell>
          <cell r="F80">
            <v>11145.32</v>
          </cell>
          <cell r="G80">
            <v>14354.58</v>
          </cell>
          <cell r="H80">
            <v>-2155.98</v>
          </cell>
          <cell r="I80">
            <v>2583.21</v>
          </cell>
          <cell r="J80">
            <v>-9397.57</v>
          </cell>
          <cell r="K80">
            <v>-6103.4</v>
          </cell>
          <cell r="L80">
            <v>-256.79000000000002</v>
          </cell>
          <cell r="M80">
            <v>3655.46</v>
          </cell>
          <cell r="N80">
            <v>-14400.25</v>
          </cell>
          <cell r="O80">
            <v>548.41999999999996</v>
          </cell>
          <cell r="P80">
            <v>38384.32</v>
          </cell>
          <cell r="R80">
            <v>32558.49</v>
          </cell>
          <cell r="S80">
            <v>38411.32</v>
          </cell>
          <cell r="T80">
            <v>49556.639999999999</v>
          </cell>
          <cell r="U80">
            <v>63911.22</v>
          </cell>
          <cell r="V80">
            <v>61755.24</v>
          </cell>
          <cell r="W80">
            <v>64338.45</v>
          </cell>
          <cell r="X80">
            <v>54940.88</v>
          </cell>
          <cell r="Y80">
            <v>48837.479999999996</v>
          </cell>
          <cell r="Z80">
            <v>48580.689999999995</v>
          </cell>
          <cell r="AA80">
            <v>52236.149999999994</v>
          </cell>
          <cell r="AB80">
            <v>37835.899999999994</v>
          </cell>
          <cell r="AC80">
            <v>38384.319999999992</v>
          </cell>
        </row>
        <row r="81">
          <cell r="A81">
            <v>101030501001</v>
          </cell>
          <cell r="B81" t="str">
            <v xml:space="preserve">Inventarios de Suministros Industriales                               </v>
          </cell>
          <cell r="C81">
            <v>31940.65</v>
          </cell>
          <cell r="D81">
            <v>617.84</v>
          </cell>
          <cell r="E81">
            <v>5852.83</v>
          </cell>
          <cell r="F81">
            <v>11145.32</v>
          </cell>
          <cell r="G81">
            <v>14354.58</v>
          </cell>
          <cell r="H81">
            <v>-2155.98</v>
          </cell>
          <cell r="I81">
            <v>2583.21</v>
          </cell>
          <cell r="J81">
            <v>-9397.57</v>
          </cell>
          <cell r="K81">
            <v>-6103.4</v>
          </cell>
          <cell r="L81">
            <v>-256.79000000000002</v>
          </cell>
          <cell r="M81">
            <v>3655.46</v>
          </cell>
          <cell r="N81">
            <v>-14400.25</v>
          </cell>
          <cell r="O81">
            <v>548.41999999999996</v>
          </cell>
          <cell r="P81">
            <v>38384.32</v>
          </cell>
          <cell r="R81">
            <v>32558.49</v>
          </cell>
          <cell r="S81">
            <v>38411.32</v>
          </cell>
          <cell r="T81">
            <v>49556.639999999999</v>
          </cell>
          <cell r="U81">
            <v>63911.22</v>
          </cell>
          <cell r="V81">
            <v>61755.24</v>
          </cell>
          <cell r="W81">
            <v>64338.45</v>
          </cell>
          <cell r="X81">
            <v>54940.88</v>
          </cell>
          <cell r="Y81">
            <v>48837.479999999996</v>
          </cell>
          <cell r="Z81">
            <v>48580.689999999995</v>
          </cell>
          <cell r="AA81">
            <v>52236.149999999994</v>
          </cell>
          <cell r="AB81">
            <v>37835.899999999994</v>
          </cell>
          <cell r="AC81">
            <v>38384.319999999992</v>
          </cell>
        </row>
        <row r="82">
          <cell r="A82">
            <v>1010306</v>
          </cell>
          <cell r="B82" t="str">
            <v xml:space="preserve">INVENTARIOS DE REPUESTOS, HERRAMIENTAS Y ACCESORIOS                   </v>
          </cell>
          <cell r="C82">
            <v>293866.99</v>
          </cell>
          <cell r="D82">
            <v>4852.16</v>
          </cell>
          <cell r="E82">
            <v>-51024</v>
          </cell>
          <cell r="F82">
            <v>8392.61</v>
          </cell>
          <cell r="G82">
            <v>12977.38</v>
          </cell>
          <cell r="H82">
            <v>9350.56</v>
          </cell>
          <cell r="I82">
            <v>19957.61</v>
          </cell>
          <cell r="J82">
            <v>55371.79</v>
          </cell>
          <cell r="K82">
            <v>-737.71</v>
          </cell>
          <cell r="L82">
            <v>14711.28</v>
          </cell>
          <cell r="M82">
            <v>26940.98</v>
          </cell>
          <cell r="N82">
            <v>-2780.01</v>
          </cell>
          <cell r="O82">
            <v>8586.2199999999993</v>
          </cell>
          <cell r="P82">
            <v>400465.86</v>
          </cell>
          <cell r="R82">
            <v>298719.14999999997</v>
          </cell>
          <cell r="S82">
            <v>247695.14999999997</v>
          </cell>
          <cell r="T82">
            <v>256087.75999999995</v>
          </cell>
          <cell r="U82">
            <v>269065.13999999996</v>
          </cell>
          <cell r="V82">
            <v>278415.69999999995</v>
          </cell>
          <cell r="W82">
            <v>298373.30999999994</v>
          </cell>
          <cell r="X82">
            <v>353745.09999999992</v>
          </cell>
          <cell r="Y82">
            <v>353007.3899999999</v>
          </cell>
          <cell r="Z82">
            <v>367718.66999999993</v>
          </cell>
          <cell r="AA82">
            <v>394659.64999999991</v>
          </cell>
          <cell r="AB82">
            <v>391879.6399999999</v>
          </cell>
          <cell r="AC82">
            <v>400465.85999999987</v>
          </cell>
        </row>
        <row r="83">
          <cell r="A83">
            <v>101030601</v>
          </cell>
          <cell r="B83" t="str">
            <v xml:space="preserve">INVENTARIOS DE REPUESTOS Y OTROS                                      </v>
          </cell>
          <cell r="C83">
            <v>293866.99</v>
          </cell>
          <cell r="D83">
            <v>4852.16</v>
          </cell>
          <cell r="E83">
            <v>-51024</v>
          </cell>
          <cell r="F83">
            <v>8392.61</v>
          </cell>
          <cell r="G83">
            <v>12977.38</v>
          </cell>
          <cell r="H83">
            <v>9350.56</v>
          </cell>
          <cell r="I83">
            <v>19957.61</v>
          </cell>
          <cell r="J83">
            <v>55371.79</v>
          </cell>
          <cell r="K83">
            <v>-737.71</v>
          </cell>
          <cell r="L83">
            <v>14711.28</v>
          </cell>
          <cell r="M83">
            <v>26940.98</v>
          </cell>
          <cell r="N83">
            <v>-2780.01</v>
          </cell>
          <cell r="O83">
            <v>8586.2199999999993</v>
          </cell>
          <cell r="P83">
            <v>400465.86</v>
          </cell>
          <cell r="R83">
            <v>298719.14999999997</v>
          </cell>
          <cell r="S83">
            <v>247695.14999999997</v>
          </cell>
          <cell r="T83">
            <v>256087.75999999995</v>
          </cell>
          <cell r="U83">
            <v>269065.13999999996</v>
          </cell>
          <cell r="V83">
            <v>278415.69999999995</v>
          </cell>
          <cell r="W83">
            <v>298373.30999999994</v>
          </cell>
          <cell r="X83">
            <v>353745.09999999992</v>
          </cell>
          <cell r="Y83">
            <v>353007.3899999999</v>
          </cell>
          <cell r="Z83">
            <v>367718.66999999993</v>
          </cell>
          <cell r="AA83">
            <v>394659.64999999991</v>
          </cell>
          <cell r="AB83">
            <v>391879.6399999999</v>
          </cell>
          <cell r="AC83">
            <v>400465.85999999987</v>
          </cell>
        </row>
        <row r="84">
          <cell r="A84">
            <v>101030601001</v>
          </cell>
          <cell r="B84" t="str">
            <v xml:space="preserve">Inventario de Repuestos                                               </v>
          </cell>
          <cell r="C84">
            <v>293866.99</v>
          </cell>
          <cell r="D84">
            <v>4852.16</v>
          </cell>
          <cell r="E84">
            <v>-51024</v>
          </cell>
          <cell r="F84">
            <v>8392.61</v>
          </cell>
          <cell r="G84">
            <v>12977.38</v>
          </cell>
          <cell r="H84">
            <v>9350.56</v>
          </cell>
          <cell r="I84">
            <v>19957.61</v>
          </cell>
          <cell r="J84">
            <v>55371.79</v>
          </cell>
          <cell r="K84">
            <v>-737.71</v>
          </cell>
          <cell r="L84">
            <v>14711.28</v>
          </cell>
          <cell r="M84">
            <v>26940.98</v>
          </cell>
          <cell r="N84">
            <v>-2780.01</v>
          </cell>
          <cell r="O84">
            <v>8586.2199999999993</v>
          </cell>
          <cell r="P84">
            <v>400465.86</v>
          </cell>
          <cell r="R84">
            <v>298719.14999999997</v>
          </cell>
          <cell r="S84">
            <v>247695.14999999997</v>
          </cell>
          <cell r="T84">
            <v>256087.75999999995</v>
          </cell>
          <cell r="U84">
            <v>269065.13999999996</v>
          </cell>
          <cell r="V84">
            <v>278415.69999999995</v>
          </cell>
          <cell r="W84">
            <v>298373.30999999994</v>
          </cell>
          <cell r="X84">
            <v>353745.09999999992</v>
          </cell>
          <cell r="Y84">
            <v>353007.3899999999</v>
          </cell>
          <cell r="Z84">
            <v>367718.66999999993</v>
          </cell>
          <cell r="AA84">
            <v>394659.64999999991</v>
          </cell>
          <cell r="AB84">
            <v>391879.6399999999</v>
          </cell>
          <cell r="AC84">
            <v>400465.85999999987</v>
          </cell>
        </row>
        <row r="85">
          <cell r="A85">
            <v>1010307</v>
          </cell>
          <cell r="B85" t="str">
            <v xml:space="preserve">IMPORTACIONES EN TRANSITO                                             </v>
          </cell>
          <cell r="C85">
            <v>689421.63</v>
          </cell>
          <cell r="D85">
            <v>-184220.26</v>
          </cell>
          <cell r="E85">
            <v>-497249.85</v>
          </cell>
          <cell r="F85">
            <v>604487</v>
          </cell>
          <cell r="G85">
            <v>207852.37</v>
          </cell>
          <cell r="H85">
            <v>-524825.54</v>
          </cell>
          <cell r="I85">
            <v>1089730.45</v>
          </cell>
          <cell r="J85">
            <v>1397929.11</v>
          </cell>
          <cell r="K85">
            <v>-1647912.85</v>
          </cell>
          <cell r="L85">
            <v>-1048792.79</v>
          </cell>
          <cell r="M85">
            <v>-62329.68</v>
          </cell>
          <cell r="N85">
            <v>433921.87</v>
          </cell>
          <cell r="O85">
            <v>34775.599999999999</v>
          </cell>
          <cell r="P85">
            <v>492787.06</v>
          </cell>
          <cell r="R85">
            <v>505201.37</v>
          </cell>
          <cell r="S85">
            <v>7951.5200000000186</v>
          </cell>
          <cell r="T85">
            <v>612438.52</v>
          </cell>
          <cell r="U85">
            <v>820290.89</v>
          </cell>
          <cell r="V85">
            <v>295465.34999999998</v>
          </cell>
          <cell r="W85">
            <v>1385195.7999999998</v>
          </cell>
          <cell r="X85">
            <v>2783124.91</v>
          </cell>
          <cell r="Y85">
            <v>1135212.06</v>
          </cell>
          <cell r="Z85">
            <v>86419.270000000019</v>
          </cell>
          <cell r="AA85">
            <v>24089.590000000018</v>
          </cell>
          <cell r="AB85">
            <v>458011.46</v>
          </cell>
          <cell r="AC85">
            <v>492787.06</v>
          </cell>
        </row>
        <row r="86">
          <cell r="A86">
            <v>101030701</v>
          </cell>
          <cell r="B86" t="str">
            <v xml:space="preserve">IMPORTACIONES EN TRANSITO                                             </v>
          </cell>
          <cell r="C86">
            <v>689421.63</v>
          </cell>
          <cell r="D86">
            <v>-184220.26</v>
          </cell>
          <cell r="E86">
            <v>-497249.85</v>
          </cell>
          <cell r="F86">
            <v>604487</v>
          </cell>
          <cell r="G86">
            <v>207852.37</v>
          </cell>
          <cell r="H86">
            <v>-524825.54</v>
          </cell>
          <cell r="I86">
            <v>1089730.45</v>
          </cell>
          <cell r="J86">
            <v>1397929.11</v>
          </cell>
          <cell r="K86">
            <v>-1647912.85</v>
          </cell>
          <cell r="L86">
            <v>-1048792.79</v>
          </cell>
          <cell r="M86">
            <v>-62329.68</v>
          </cell>
          <cell r="N86">
            <v>433921.87</v>
          </cell>
          <cell r="O86">
            <v>34775.599999999999</v>
          </cell>
          <cell r="P86">
            <v>492787.06</v>
          </cell>
          <cell r="R86">
            <v>505201.37</v>
          </cell>
          <cell r="S86">
            <v>7951.5200000000186</v>
          </cell>
          <cell r="T86">
            <v>612438.52</v>
          </cell>
          <cell r="U86">
            <v>820290.89</v>
          </cell>
          <cell r="V86">
            <v>295465.34999999998</v>
          </cell>
          <cell r="W86">
            <v>1385195.7999999998</v>
          </cell>
          <cell r="X86">
            <v>2783124.91</v>
          </cell>
          <cell r="Y86">
            <v>1135212.06</v>
          </cell>
          <cell r="Z86">
            <v>86419.270000000019</v>
          </cell>
          <cell r="AA86">
            <v>24089.590000000018</v>
          </cell>
          <cell r="AB86">
            <v>458011.46</v>
          </cell>
          <cell r="AC86">
            <v>492787.06</v>
          </cell>
        </row>
        <row r="87">
          <cell r="A87">
            <v>101030701001</v>
          </cell>
          <cell r="B87" t="str">
            <v xml:space="preserve">Importaciones en Transito                                             </v>
          </cell>
          <cell r="C87">
            <v>689421.63</v>
          </cell>
          <cell r="D87">
            <v>-184220.26</v>
          </cell>
          <cell r="E87">
            <v>-497249.85</v>
          </cell>
          <cell r="F87">
            <v>604487</v>
          </cell>
          <cell r="G87">
            <v>207852.37</v>
          </cell>
          <cell r="H87">
            <v>-524825.54</v>
          </cell>
          <cell r="I87">
            <v>1089730.45</v>
          </cell>
          <cell r="J87">
            <v>1397929.11</v>
          </cell>
          <cell r="K87">
            <v>-1647912.85</v>
          </cell>
          <cell r="L87">
            <v>-1048792.79</v>
          </cell>
          <cell r="M87">
            <v>-62329.68</v>
          </cell>
          <cell r="N87">
            <v>433921.87</v>
          </cell>
          <cell r="O87">
            <v>34775.599999999999</v>
          </cell>
          <cell r="P87">
            <v>492787.06</v>
          </cell>
          <cell r="R87">
            <v>505201.37</v>
          </cell>
          <cell r="S87">
            <v>7951.5200000000186</v>
          </cell>
          <cell r="T87">
            <v>612438.52</v>
          </cell>
          <cell r="U87">
            <v>820290.89</v>
          </cell>
          <cell r="V87">
            <v>295465.34999999998</v>
          </cell>
          <cell r="W87">
            <v>1385195.7999999998</v>
          </cell>
          <cell r="X87">
            <v>2783124.91</v>
          </cell>
          <cell r="Y87">
            <v>1135212.06</v>
          </cell>
          <cell r="Z87">
            <v>86419.270000000019</v>
          </cell>
          <cell r="AA87">
            <v>24089.590000000018</v>
          </cell>
          <cell r="AB87">
            <v>458011.46</v>
          </cell>
          <cell r="AC87">
            <v>492787.06</v>
          </cell>
        </row>
        <row r="88">
          <cell r="A88">
            <v>1010308</v>
          </cell>
          <cell r="B88" t="str">
            <v xml:space="preserve">MOV. DE INVENTARIO EN TRANSITO                                        </v>
          </cell>
          <cell r="C88">
            <v>186185.22</v>
          </cell>
          <cell r="D88">
            <v>-79021.19</v>
          </cell>
          <cell r="E88">
            <v>-37238.980000000003</v>
          </cell>
          <cell r="F88">
            <v>19923.23</v>
          </cell>
          <cell r="G88">
            <v>182118.52</v>
          </cell>
          <cell r="H88">
            <v>-122573.39</v>
          </cell>
          <cell r="I88">
            <v>-371848.31</v>
          </cell>
          <cell r="J88">
            <v>275416.18</v>
          </cell>
          <cell r="K88">
            <v>43937.11</v>
          </cell>
          <cell r="L88">
            <v>16650.86</v>
          </cell>
          <cell r="M88">
            <v>2505265.58</v>
          </cell>
          <cell r="N88">
            <v>228825.17</v>
          </cell>
          <cell r="O88">
            <v>-3089545.98</v>
          </cell>
          <cell r="P88">
            <v>-241905.98</v>
          </cell>
          <cell r="R88">
            <v>107164.03</v>
          </cell>
          <cell r="S88">
            <v>69925.049999999988</v>
          </cell>
          <cell r="T88">
            <v>89848.279999999984</v>
          </cell>
          <cell r="U88">
            <v>271966.8</v>
          </cell>
          <cell r="V88">
            <v>149393.40999999997</v>
          </cell>
          <cell r="W88">
            <v>-222454.90000000002</v>
          </cell>
          <cell r="X88">
            <v>52961.27999999997</v>
          </cell>
          <cell r="Y88">
            <v>96898.38999999997</v>
          </cell>
          <cell r="Z88">
            <v>113549.24999999997</v>
          </cell>
          <cell r="AA88">
            <v>2618814.83</v>
          </cell>
          <cell r="AB88">
            <v>2847640</v>
          </cell>
          <cell r="AC88">
            <v>-241905.97999999998</v>
          </cell>
        </row>
        <row r="89">
          <cell r="A89">
            <v>101030801</v>
          </cell>
          <cell r="B89" t="str">
            <v xml:space="preserve">MOV. DE INVENTARIO EN TRANSITO                                        </v>
          </cell>
          <cell r="C89">
            <v>186185.22</v>
          </cell>
          <cell r="D89">
            <v>-79021.19</v>
          </cell>
          <cell r="E89">
            <v>-37238.980000000003</v>
          </cell>
          <cell r="F89">
            <v>19923.23</v>
          </cell>
          <cell r="G89">
            <v>182118.52</v>
          </cell>
          <cell r="H89">
            <v>-122573.39</v>
          </cell>
          <cell r="I89">
            <v>-371848.31</v>
          </cell>
          <cell r="J89">
            <v>275416.18</v>
          </cell>
          <cell r="K89">
            <v>43937.11</v>
          </cell>
          <cell r="L89">
            <v>16650.86</v>
          </cell>
          <cell r="M89">
            <v>2505265.58</v>
          </cell>
          <cell r="N89">
            <v>228825.17</v>
          </cell>
          <cell r="O89">
            <v>-3089545.98</v>
          </cell>
          <cell r="P89">
            <v>-241905.98</v>
          </cell>
          <cell r="R89">
            <v>107164.03</v>
          </cell>
          <cell r="S89">
            <v>69925.049999999988</v>
          </cell>
          <cell r="T89">
            <v>89848.279999999984</v>
          </cell>
          <cell r="U89">
            <v>271966.8</v>
          </cell>
          <cell r="V89">
            <v>149393.40999999997</v>
          </cell>
          <cell r="W89">
            <v>-222454.90000000002</v>
          </cell>
          <cell r="X89">
            <v>52961.27999999997</v>
          </cell>
          <cell r="Y89">
            <v>96898.38999999997</v>
          </cell>
          <cell r="Z89">
            <v>113549.24999999997</v>
          </cell>
          <cell r="AA89">
            <v>2618814.83</v>
          </cell>
          <cell r="AB89">
            <v>2847640</v>
          </cell>
          <cell r="AC89">
            <v>-241905.97999999998</v>
          </cell>
        </row>
        <row r="90">
          <cell r="A90">
            <v>101030801001</v>
          </cell>
          <cell r="B90" t="str">
            <v xml:space="preserve">Mov. de Inventario en Transito                                        </v>
          </cell>
          <cell r="C90">
            <v>186185.22</v>
          </cell>
          <cell r="D90">
            <v>-79021.19</v>
          </cell>
          <cell r="E90">
            <v>-37238.980000000003</v>
          </cell>
          <cell r="F90">
            <v>19923.23</v>
          </cell>
          <cell r="G90">
            <v>182118.52</v>
          </cell>
          <cell r="H90">
            <v>-122573.39</v>
          </cell>
          <cell r="I90">
            <v>-371848.31</v>
          </cell>
          <cell r="J90">
            <v>275416.18</v>
          </cell>
          <cell r="K90">
            <v>43937.11</v>
          </cell>
          <cell r="L90">
            <v>16650.86</v>
          </cell>
          <cell r="M90">
            <v>2505265.58</v>
          </cell>
          <cell r="N90">
            <v>228825.17</v>
          </cell>
          <cell r="O90">
            <v>-3089545.98</v>
          </cell>
          <cell r="P90">
            <v>-241905.98</v>
          </cell>
          <cell r="R90">
            <v>107164.03</v>
          </cell>
          <cell r="S90">
            <v>69925.049999999988</v>
          </cell>
          <cell r="T90">
            <v>89848.279999999984</v>
          </cell>
          <cell r="U90">
            <v>271966.8</v>
          </cell>
          <cell r="V90">
            <v>149393.40999999997</v>
          </cell>
          <cell r="W90">
            <v>-222454.90000000002</v>
          </cell>
          <cell r="X90">
            <v>52961.27999999997</v>
          </cell>
          <cell r="Y90">
            <v>96898.38999999997</v>
          </cell>
          <cell r="Z90">
            <v>113549.24999999997</v>
          </cell>
          <cell r="AA90">
            <v>2618814.83</v>
          </cell>
          <cell r="AB90">
            <v>2847640</v>
          </cell>
          <cell r="AC90">
            <v>-241905.97999999998</v>
          </cell>
        </row>
        <row r="91">
          <cell r="A91">
            <v>10104</v>
          </cell>
          <cell r="B91" t="str">
            <v xml:space="preserve">SERVICIOS Y OTROS GASTOS ANTICIPADOS                                  </v>
          </cell>
          <cell r="C91">
            <v>26371.14</v>
          </cell>
          <cell r="D91">
            <v>-4699.2</v>
          </cell>
          <cell r="E91">
            <v>-3643.41</v>
          </cell>
          <cell r="F91">
            <v>-3148.23</v>
          </cell>
          <cell r="G91">
            <v>-3102.16</v>
          </cell>
          <cell r="H91">
            <v>-3066.15</v>
          </cell>
          <cell r="I91">
            <v>-1480.26</v>
          </cell>
          <cell r="J91">
            <v>31096.68</v>
          </cell>
          <cell r="K91">
            <v>-8491.81</v>
          </cell>
          <cell r="L91">
            <v>-2904.44</v>
          </cell>
          <cell r="M91">
            <v>-1751.64</v>
          </cell>
          <cell r="N91">
            <v>-2851.64</v>
          </cell>
          <cell r="O91">
            <v>-1969.47</v>
          </cell>
          <cell r="P91">
            <v>20359.41</v>
          </cell>
          <cell r="R91">
            <v>21671.94</v>
          </cell>
          <cell r="S91">
            <v>18028.53</v>
          </cell>
          <cell r="T91">
            <v>14880.3</v>
          </cell>
          <cell r="U91">
            <v>11778.14</v>
          </cell>
          <cell r="V91">
            <v>8711.99</v>
          </cell>
          <cell r="W91">
            <v>7231.73</v>
          </cell>
          <cell r="X91">
            <v>38328.410000000003</v>
          </cell>
          <cell r="Y91">
            <v>29836.600000000006</v>
          </cell>
          <cell r="Z91">
            <v>26932.160000000007</v>
          </cell>
          <cell r="AA91">
            <v>25180.520000000008</v>
          </cell>
          <cell r="AB91">
            <v>22328.880000000008</v>
          </cell>
          <cell r="AC91">
            <v>20359.410000000007</v>
          </cell>
        </row>
        <row r="92">
          <cell r="A92">
            <v>1010401</v>
          </cell>
          <cell r="B92" t="str">
            <v xml:space="preserve">SERVICIOS Y OTROS GASTOS ANTICIPADOS                                  </v>
          </cell>
          <cell r="C92">
            <v>25851.14</v>
          </cell>
          <cell r="D92">
            <v>-4699.2</v>
          </cell>
          <cell r="E92">
            <v>-3643.41</v>
          </cell>
          <cell r="F92">
            <v>-3148.23</v>
          </cell>
          <cell r="G92">
            <v>-3102.16</v>
          </cell>
          <cell r="H92">
            <v>-3066.15</v>
          </cell>
          <cell r="I92">
            <v>-1480.26</v>
          </cell>
          <cell r="J92">
            <v>31096.68</v>
          </cell>
          <cell r="K92">
            <v>-8491.81</v>
          </cell>
          <cell r="L92">
            <v>-2904.44</v>
          </cell>
          <cell r="M92">
            <v>-1751.64</v>
          </cell>
          <cell r="N92">
            <v>-2851.64</v>
          </cell>
          <cell r="O92">
            <v>-1449.47</v>
          </cell>
          <cell r="P92">
            <v>20359.41</v>
          </cell>
          <cell r="R92">
            <v>21151.94</v>
          </cell>
          <cell r="S92">
            <v>17508.53</v>
          </cell>
          <cell r="T92">
            <v>14360.3</v>
          </cell>
          <cell r="U92">
            <v>11258.14</v>
          </cell>
          <cell r="V92">
            <v>8191.99</v>
          </cell>
          <cell r="W92">
            <v>6711.73</v>
          </cell>
          <cell r="X92">
            <v>37808.410000000003</v>
          </cell>
          <cell r="Y92">
            <v>29316.600000000006</v>
          </cell>
          <cell r="Z92">
            <v>26412.160000000007</v>
          </cell>
          <cell r="AA92">
            <v>24660.520000000008</v>
          </cell>
          <cell r="AB92">
            <v>21808.880000000008</v>
          </cell>
          <cell r="AC92">
            <v>20359.410000000007</v>
          </cell>
        </row>
        <row r="93">
          <cell r="A93">
            <v>101040101</v>
          </cell>
          <cell r="B93" t="str">
            <v xml:space="preserve">SEGUROS PAGADOS POR  ANTICIPADOS                                      </v>
          </cell>
          <cell r="C93">
            <v>25851.14</v>
          </cell>
          <cell r="D93">
            <v>-4699.2</v>
          </cell>
          <cell r="E93">
            <v>-3643.41</v>
          </cell>
          <cell r="F93">
            <v>-3148.23</v>
          </cell>
          <cell r="G93">
            <v>-3102.16</v>
          </cell>
          <cell r="H93">
            <v>-3066.15</v>
          </cell>
          <cell r="I93">
            <v>-1480.26</v>
          </cell>
          <cell r="J93">
            <v>31096.68</v>
          </cell>
          <cell r="K93">
            <v>-8491.81</v>
          </cell>
          <cell r="L93">
            <v>-2904.44</v>
          </cell>
          <cell r="M93">
            <v>-1751.64</v>
          </cell>
          <cell r="N93">
            <v>-2851.64</v>
          </cell>
          <cell r="O93">
            <v>-1449.47</v>
          </cell>
          <cell r="P93">
            <v>20359.41</v>
          </cell>
          <cell r="R93">
            <v>21151.94</v>
          </cell>
          <cell r="S93">
            <v>17508.53</v>
          </cell>
          <cell r="T93">
            <v>14360.3</v>
          </cell>
          <cell r="U93">
            <v>11258.14</v>
          </cell>
          <cell r="V93">
            <v>8191.99</v>
          </cell>
          <cell r="W93">
            <v>6711.73</v>
          </cell>
          <cell r="X93">
            <v>37808.410000000003</v>
          </cell>
          <cell r="Y93">
            <v>29316.600000000006</v>
          </cell>
          <cell r="Z93">
            <v>26412.160000000007</v>
          </cell>
          <cell r="AA93">
            <v>24660.520000000008</v>
          </cell>
          <cell r="AB93">
            <v>21808.880000000008</v>
          </cell>
          <cell r="AC93">
            <v>20359.410000000007</v>
          </cell>
        </row>
        <row r="94">
          <cell r="A94">
            <v>101040101001</v>
          </cell>
          <cell r="B94" t="str">
            <v xml:space="preserve">Seguros Pagado por Anticipado                                         </v>
          </cell>
          <cell r="C94">
            <v>21901.49</v>
          </cell>
          <cell r="D94">
            <v>-4918.0600000000004</v>
          </cell>
          <cell r="E94">
            <v>-3280.27</v>
          </cell>
          <cell r="F94">
            <v>-2785.09</v>
          </cell>
          <cell r="G94">
            <v>-2739.02</v>
          </cell>
          <cell r="H94">
            <v>-2703.01</v>
          </cell>
          <cell r="I94">
            <v>-2017.12</v>
          </cell>
          <cell r="J94">
            <v>31459.82</v>
          </cell>
          <cell r="K94">
            <v>-8220.34</v>
          </cell>
          <cell r="L94">
            <v>-2632.97</v>
          </cell>
          <cell r="M94">
            <v>-2488.5</v>
          </cell>
          <cell r="N94">
            <v>-2488.5</v>
          </cell>
          <cell r="O94">
            <v>-1086.33</v>
          </cell>
          <cell r="P94">
            <v>18002.099999999999</v>
          </cell>
          <cell r="R94">
            <v>16983.43</v>
          </cell>
          <cell r="S94">
            <v>13703.16</v>
          </cell>
          <cell r="T94">
            <v>10918.07</v>
          </cell>
          <cell r="U94">
            <v>8179.0499999999993</v>
          </cell>
          <cell r="V94">
            <v>5476.0399999999991</v>
          </cell>
          <cell r="W94">
            <v>3458.9199999999992</v>
          </cell>
          <cell r="X94">
            <v>34918.74</v>
          </cell>
          <cell r="Y94">
            <v>26698.399999999998</v>
          </cell>
          <cell r="Z94">
            <v>24065.429999999997</v>
          </cell>
          <cell r="AA94">
            <v>21576.929999999997</v>
          </cell>
          <cell r="AB94">
            <v>19088.429999999997</v>
          </cell>
          <cell r="AC94">
            <v>18002.099999999999</v>
          </cell>
        </row>
        <row r="95">
          <cell r="A95">
            <v>101040101002</v>
          </cell>
          <cell r="B95" t="str">
            <v xml:space="preserve">Servicios pagados por anticipado                                      </v>
          </cell>
          <cell r="C95">
            <v>3949.65</v>
          </cell>
          <cell r="D95">
            <v>218.86</v>
          </cell>
          <cell r="E95">
            <v>-363.14</v>
          </cell>
          <cell r="F95">
            <v>-363.14</v>
          </cell>
          <cell r="G95">
            <v>-363.14</v>
          </cell>
          <cell r="H95">
            <v>-363.14</v>
          </cell>
          <cell r="I95">
            <v>536.86</v>
          </cell>
          <cell r="J95">
            <v>-363.14</v>
          </cell>
          <cell r="K95">
            <v>-271.47000000000003</v>
          </cell>
          <cell r="L95">
            <v>-271.47000000000003</v>
          </cell>
          <cell r="M95">
            <v>736.86</v>
          </cell>
          <cell r="N95">
            <v>-363.14</v>
          </cell>
          <cell r="O95">
            <v>-363.14</v>
          </cell>
          <cell r="P95">
            <v>2357.31</v>
          </cell>
          <cell r="R95">
            <v>4168.51</v>
          </cell>
          <cell r="S95">
            <v>3805.3700000000003</v>
          </cell>
          <cell r="T95">
            <v>3442.2300000000005</v>
          </cell>
          <cell r="U95">
            <v>3079.0900000000006</v>
          </cell>
          <cell r="V95">
            <v>2715.9500000000007</v>
          </cell>
          <cell r="W95">
            <v>3252.8100000000009</v>
          </cell>
          <cell r="X95">
            <v>2889.670000000001</v>
          </cell>
          <cell r="Y95">
            <v>2618.2000000000007</v>
          </cell>
          <cell r="Z95">
            <v>2346.7300000000005</v>
          </cell>
          <cell r="AA95">
            <v>3083.5900000000006</v>
          </cell>
          <cell r="AB95">
            <v>2720.4500000000007</v>
          </cell>
          <cell r="AC95">
            <v>2357.3100000000009</v>
          </cell>
        </row>
        <row r="96">
          <cell r="A96">
            <v>1010402</v>
          </cell>
          <cell r="B96" t="str">
            <v xml:space="preserve">OTROS ANTICIPOS ENTREGADOS                                            </v>
          </cell>
          <cell r="C96">
            <v>520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-520</v>
          </cell>
          <cell r="P96">
            <v>0</v>
          </cell>
          <cell r="R96">
            <v>520</v>
          </cell>
          <cell r="S96">
            <v>520</v>
          </cell>
          <cell r="T96">
            <v>520</v>
          </cell>
          <cell r="U96">
            <v>520</v>
          </cell>
          <cell r="V96">
            <v>520</v>
          </cell>
          <cell r="W96">
            <v>520</v>
          </cell>
          <cell r="X96">
            <v>520</v>
          </cell>
          <cell r="Y96">
            <v>520</v>
          </cell>
          <cell r="Z96">
            <v>520</v>
          </cell>
          <cell r="AA96">
            <v>520</v>
          </cell>
          <cell r="AB96">
            <v>520</v>
          </cell>
          <cell r="AC96">
            <v>0</v>
          </cell>
        </row>
        <row r="97">
          <cell r="A97">
            <v>101040201</v>
          </cell>
          <cell r="B97" t="str">
            <v xml:space="preserve">DEPOSITOS EN GARANTIA                                                 </v>
          </cell>
          <cell r="C97">
            <v>520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-520</v>
          </cell>
          <cell r="P97">
            <v>0</v>
          </cell>
          <cell r="R97">
            <v>520</v>
          </cell>
          <cell r="S97">
            <v>520</v>
          </cell>
          <cell r="T97">
            <v>520</v>
          </cell>
          <cell r="U97">
            <v>520</v>
          </cell>
          <cell r="V97">
            <v>520</v>
          </cell>
          <cell r="W97">
            <v>520</v>
          </cell>
          <cell r="X97">
            <v>520</v>
          </cell>
          <cell r="Y97">
            <v>520</v>
          </cell>
          <cell r="Z97">
            <v>520</v>
          </cell>
          <cell r="AA97">
            <v>520</v>
          </cell>
          <cell r="AB97">
            <v>520</v>
          </cell>
          <cell r="AC97">
            <v>0</v>
          </cell>
        </row>
        <row r="98">
          <cell r="A98">
            <v>101040202002</v>
          </cell>
          <cell r="B98" t="str">
            <v xml:space="preserve">Garantias a proveedores                                               </v>
          </cell>
          <cell r="C98">
            <v>520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-520</v>
          </cell>
          <cell r="P98">
            <v>0</v>
          </cell>
          <cell r="R98">
            <v>520</v>
          </cell>
          <cell r="S98">
            <v>520</v>
          </cell>
          <cell r="T98">
            <v>520</v>
          </cell>
          <cell r="U98">
            <v>520</v>
          </cell>
          <cell r="V98">
            <v>520</v>
          </cell>
          <cell r="W98">
            <v>520</v>
          </cell>
          <cell r="X98">
            <v>520</v>
          </cell>
          <cell r="Y98">
            <v>520</v>
          </cell>
          <cell r="Z98">
            <v>520</v>
          </cell>
          <cell r="AA98">
            <v>520</v>
          </cell>
          <cell r="AB98">
            <v>520</v>
          </cell>
          <cell r="AC98">
            <v>0</v>
          </cell>
        </row>
        <row r="99">
          <cell r="A99">
            <v>10105</v>
          </cell>
          <cell r="B99" t="str">
            <v xml:space="preserve">ACTIVOS POR IMPUESTOS CORRIENTES                                      </v>
          </cell>
          <cell r="C99">
            <v>48359.71</v>
          </cell>
          <cell r="D99">
            <v>-1184.76</v>
          </cell>
          <cell r="E99">
            <v>19917.09</v>
          </cell>
          <cell r="F99">
            <v>21513.22</v>
          </cell>
          <cell r="G99">
            <v>71315.009999999995</v>
          </cell>
          <cell r="H99">
            <v>26426.91</v>
          </cell>
          <cell r="I99">
            <v>31570.77</v>
          </cell>
          <cell r="J99">
            <v>47465.72</v>
          </cell>
          <cell r="K99">
            <v>5248.96</v>
          </cell>
          <cell r="L99">
            <v>12514.16</v>
          </cell>
          <cell r="M99">
            <v>30766.77</v>
          </cell>
          <cell r="N99">
            <v>42371.67</v>
          </cell>
          <cell r="O99">
            <v>24801.59</v>
          </cell>
          <cell r="P99">
            <v>381086.82</v>
          </cell>
          <cell r="R99">
            <v>47174.95</v>
          </cell>
          <cell r="S99">
            <v>67092.039999999994</v>
          </cell>
          <cell r="T99">
            <v>88605.26</v>
          </cell>
          <cell r="U99">
            <v>159920.26999999999</v>
          </cell>
          <cell r="V99">
            <v>186347.18</v>
          </cell>
          <cell r="W99">
            <v>217917.94999999998</v>
          </cell>
          <cell r="X99">
            <v>265383.67</v>
          </cell>
          <cell r="Y99">
            <v>270632.63</v>
          </cell>
          <cell r="Z99">
            <v>283146.78999999998</v>
          </cell>
          <cell r="AA99">
            <v>313913.56</v>
          </cell>
          <cell r="AB99">
            <v>356285.23</v>
          </cell>
          <cell r="AC99">
            <v>381086.82</v>
          </cell>
        </row>
        <row r="100">
          <cell r="A100">
            <v>1010501</v>
          </cell>
          <cell r="B100" t="str">
            <v xml:space="preserve">CRÉDITO TRIBUTARIO A/F DE LA EMPRESA (I.V.A.)                         </v>
          </cell>
          <cell r="C100">
            <v>22500.09</v>
          </cell>
          <cell r="D100">
            <v>-22389.19</v>
          </cell>
          <cell r="E100">
            <v>-110.9</v>
          </cell>
          <cell r="F100">
            <v>7944.55</v>
          </cell>
          <cell r="G100">
            <v>35945.129999999997</v>
          </cell>
          <cell r="H100">
            <v>-11405.37</v>
          </cell>
          <cell r="I100">
            <v>-3265.45</v>
          </cell>
          <cell r="J100">
            <v>19960.47</v>
          </cell>
          <cell r="K100">
            <v>-26418.75</v>
          </cell>
          <cell r="L100">
            <v>-22760.58</v>
          </cell>
          <cell r="M100">
            <v>271.58999999999997</v>
          </cell>
          <cell r="N100">
            <v>2520.14</v>
          </cell>
          <cell r="O100">
            <v>-2791.73</v>
          </cell>
          <cell r="P100">
            <v>0</v>
          </cell>
          <cell r="R100">
            <v>110.90000000000146</v>
          </cell>
          <cell r="S100">
            <v>1.4495071809506044E-12</v>
          </cell>
          <cell r="T100">
            <v>7944.550000000002</v>
          </cell>
          <cell r="U100">
            <v>43889.68</v>
          </cell>
          <cell r="V100">
            <v>32484.309999999998</v>
          </cell>
          <cell r="W100">
            <v>29218.859999999997</v>
          </cell>
          <cell r="X100">
            <v>49179.33</v>
          </cell>
          <cell r="Y100">
            <v>22760.58</v>
          </cell>
          <cell r="Z100">
            <v>0</v>
          </cell>
          <cell r="AA100">
            <v>271.58999999999997</v>
          </cell>
          <cell r="AB100">
            <v>2791.73</v>
          </cell>
          <cell r="AC100">
            <v>0</v>
          </cell>
        </row>
        <row r="101">
          <cell r="A101">
            <v>101050101</v>
          </cell>
          <cell r="B101" t="str">
            <v xml:space="preserve">I.VA. PAGADO POR COMPRAS                                              </v>
          </cell>
          <cell r="C101">
            <v>22500.09</v>
          </cell>
          <cell r="D101">
            <v>-22389.19</v>
          </cell>
          <cell r="E101">
            <v>-110.9</v>
          </cell>
          <cell r="F101">
            <v>7944.55</v>
          </cell>
          <cell r="G101">
            <v>35945.129999999997</v>
          </cell>
          <cell r="H101">
            <v>-11405.37</v>
          </cell>
          <cell r="I101">
            <v>-3265.45</v>
          </cell>
          <cell r="J101">
            <v>19960.47</v>
          </cell>
          <cell r="K101">
            <v>-26418.75</v>
          </cell>
          <cell r="L101">
            <v>-22760.58</v>
          </cell>
          <cell r="M101">
            <v>271.58999999999997</v>
          </cell>
          <cell r="N101">
            <v>2520.14</v>
          </cell>
          <cell r="O101">
            <v>-2791.73</v>
          </cell>
          <cell r="P101">
            <v>0</v>
          </cell>
          <cell r="R101">
            <v>110.90000000000146</v>
          </cell>
          <cell r="S101">
            <v>1.4495071809506044E-12</v>
          </cell>
          <cell r="T101">
            <v>7944.550000000002</v>
          </cell>
          <cell r="U101">
            <v>43889.68</v>
          </cell>
          <cell r="V101">
            <v>32484.309999999998</v>
          </cell>
          <cell r="W101">
            <v>29218.859999999997</v>
          </cell>
          <cell r="X101">
            <v>49179.33</v>
          </cell>
          <cell r="Y101">
            <v>22760.58</v>
          </cell>
          <cell r="Z101">
            <v>0</v>
          </cell>
          <cell r="AA101">
            <v>271.58999999999997</v>
          </cell>
          <cell r="AB101">
            <v>2791.73</v>
          </cell>
          <cell r="AC101">
            <v>0</v>
          </cell>
        </row>
        <row r="102">
          <cell r="A102">
            <v>101050101001</v>
          </cell>
          <cell r="B102" t="str">
            <v xml:space="preserve">IVA pagado 12%- Credito Tributario                                    </v>
          </cell>
          <cell r="C102">
            <v>171.58</v>
          </cell>
          <cell r="D102">
            <v>-60.68</v>
          </cell>
          <cell r="E102">
            <v>-110.9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271.58999999999997</v>
          </cell>
          <cell r="N102">
            <v>2520.14</v>
          </cell>
          <cell r="O102">
            <v>-2791.73</v>
          </cell>
          <cell r="P102">
            <v>0</v>
          </cell>
          <cell r="R102">
            <v>110.9</v>
          </cell>
          <cell r="S102">
            <v>0</v>
          </cell>
          <cell r="T102">
            <v>0</v>
          </cell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271.58999999999997</v>
          </cell>
          <cell r="AB102">
            <v>2791.73</v>
          </cell>
          <cell r="AC102">
            <v>0</v>
          </cell>
        </row>
        <row r="103">
          <cell r="A103">
            <v>101050101002</v>
          </cell>
          <cell r="B103" t="str">
            <v xml:space="preserve">Cred. tribut.  para prox mes por adquisic e importaciones             </v>
          </cell>
          <cell r="C103">
            <v>0</v>
          </cell>
          <cell r="D103">
            <v>0</v>
          </cell>
          <cell r="E103">
            <v>0</v>
          </cell>
          <cell r="F103">
            <v>0</v>
          </cell>
          <cell r="G103">
            <v>16364.98</v>
          </cell>
          <cell r="H103">
            <v>-16364.98</v>
          </cell>
          <cell r="I103">
            <v>0</v>
          </cell>
          <cell r="J103">
            <v>5218.25</v>
          </cell>
          <cell r="K103">
            <v>-5218.25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R103">
            <v>0</v>
          </cell>
          <cell r="S103">
            <v>0</v>
          </cell>
          <cell r="T103">
            <v>0</v>
          </cell>
          <cell r="U103">
            <v>16364.98</v>
          </cell>
          <cell r="V103">
            <v>0</v>
          </cell>
          <cell r="W103">
            <v>0</v>
          </cell>
          <cell r="X103">
            <v>5218.25</v>
          </cell>
          <cell r="Y103">
            <v>0</v>
          </cell>
          <cell r="Z103">
            <v>0</v>
          </cell>
          <cell r="AA103">
            <v>0</v>
          </cell>
          <cell r="AB103">
            <v>0</v>
          </cell>
          <cell r="AC103">
            <v>0</v>
          </cell>
        </row>
        <row r="104">
          <cell r="A104">
            <v>101050101003</v>
          </cell>
          <cell r="B104" t="str">
            <v xml:space="preserve">Cred. tribut. para prox mes por ret en la fuente de iva               </v>
          </cell>
          <cell r="C104">
            <v>22328.51</v>
          </cell>
          <cell r="D104">
            <v>-22328.51</v>
          </cell>
          <cell r="E104">
            <v>0</v>
          </cell>
          <cell r="F104">
            <v>7944.55</v>
          </cell>
          <cell r="G104">
            <v>19580.150000000001</v>
          </cell>
          <cell r="H104">
            <v>4959.6099999999997</v>
          </cell>
          <cell r="I104">
            <v>-3265.45</v>
          </cell>
          <cell r="J104">
            <v>14742.22</v>
          </cell>
          <cell r="K104">
            <v>-21200.5</v>
          </cell>
          <cell r="L104">
            <v>-22760.58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R104">
            <v>0</v>
          </cell>
          <cell r="S104">
            <v>0</v>
          </cell>
          <cell r="T104">
            <v>7944.55</v>
          </cell>
          <cell r="U104">
            <v>27524.7</v>
          </cell>
          <cell r="V104">
            <v>32484.31</v>
          </cell>
          <cell r="W104">
            <v>29218.86</v>
          </cell>
          <cell r="X104">
            <v>43961.08</v>
          </cell>
          <cell r="Y104">
            <v>22760.58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</row>
        <row r="105">
          <cell r="A105">
            <v>1010502</v>
          </cell>
          <cell r="B105" t="str">
            <v xml:space="preserve">CRÉDITO TRIBUTARIO A/F DE LA EMPRESA  (I.R.)                          </v>
          </cell>
          <cell r="C105">
            <v>25859.62</v>
          </cell>
          <cell r="D105">
            <v>21204.43</v>
          </cell>
          <cell r="E105">
            <v>20027.990000000002</v>
          </cell>
          <cell r="F105">
            <v>13568.67</v>
          </cell>
          <cell r="G105">
            <v>35369.879999999997</v>
          </cell>
          <cell r="H105">
            <v>37832.28</v>
          </cell>
          <cell r="I105">
            <v>34836.22</v>
          </cell>
          <cell r="J105">
            <v>27505.25</v>
          </cell>
          <cell r="K105">
            <v>31667.71</v>
          </cell>
          <cell r="L105">
            <v>28195.48</v>
          </cell>
          <cell r="M105">
            <v>30495.18</v>
          </cell>
          <cell r="N105">
            <v>39851.53</v>
          </cell>
          <cell r="O105">
            <v>27593.32</v>
          </cell>
          <cell r="P105">
            <v>374007.56</v>
          </cell>
          <cell r="R105">
            <v>47064.05</v>
          </cell>
          <cell r="S105">
            <v>67092.040000000008</v>
          </cell>
          <cell r="T105">
            <v>80660.710000000006</v>
          </cell>
          <cell r="U105">
            <v>116030.59</v>
          </cell>
          <cell r="V105">
            <v>153862.87</v>
          </cell>
          <cell r="W105">
            <v>188699.09</v>
          </cell>
          <cell r="X105">
            <v>216204.34</v>
          </cell>
          <cell r="Y105">
            <v>247872.05</v>
          </cell>
          <cell r="Z105">
            <v>276067.52999999997</v>
          </cell>
          <cell r="AA105">
            <v>306562.70999999996</v>
          </cell>
          <cell r="AB105">
            <v>346414.24</v>
          </cell>
          <cell r="AC105">
            <v>374007.56</v>
          </cell>
        </row>
        <row r="106">
          <cell r="A106">
            <v>101050201</v>
          </cell>
          <cell r="B106" t="str">
            <v xml:space="preserve">CRÉDITO TRIBUTARIO A/F DE LA EMPRESA  (I.R.)                          </v>
          </cell>
          <cell r="C106">
            <v>25859.62</v>
          </cell>
          <cell r="D106">
            <v>21204.43</v>
          </cell>
          <cell r="E106">
            <v>20027.990000000002</v>
          </cell>
          <cell r="F106">
            <v>13568.67</v>
          </cell>
          <cell r="G106">
            <v>35369.879999999997</v>
          </cell>
          <cell r="H106">
            <v>37832.28</v>
          </cell>
          <cell r="I106">
            <v>34836.22</v>
          </cell>
          <cell r="J106">
            <v>27505.25</v>
          </cell>
          <cell r="K106">
            <v>31667.71</v>
          </cell>
          <cell r="L106">
            <v>28195.48</v>
          </cell>
          <cell r="M106">
            <v>30495.18</v>
          </cell>
          <cell r="N106">
            <v>39851.53</v>
          </cell>
          <cell r="O106">
            <v>27593.32</v>
          </cell>
          <cell r="P106">
            <v>374007.56</v>
          </cell>
          <cell r="R106">
            <v>47064.05</v>
          </cell>
          <cell r="S106">
            <v>67092.040000000008</v>
          </cell>
          <cell r="T106">
            <v>80660.710000000006</v>
          </cell>
          <cell r="U106">
            <v>116030.59</v>
          </cell>
          <cell r="V106">
            <v>153862.87</v>
          </cell>
          <cell r="W106">
            <v>188699.09</v>
          </cell>
          <cell r="X106">
            <v>216204.34</v>
          </cell>
          <cell r="Y106">
            <v>247872.05</v>
          </cell>
          <cell r="Z106">
            <v>276067.52999999997</v>
          </cell>
          <cell r="AA106">
            <v>306562.70999999996</v>
          </cell>
          <cell r="AB106">
            <v>346414.24</v>
          </cell>
          <cell r="AC106">
            <v>374007.56</v>
          </cell>
        </row>
        <row r="107">
          <cell r="A107">
            <v>101050201001</v>
          </cell>
          <cell r="B107" t="str">
            <v xml:space="preserve">Retención en la Fuente I.R.1%                                         </v>
          </cell>
          <cell r="C107">
            <v>0</v>
          </cell>
          <cell r="D107">
            <v>18540.46</v>
          </cell>
          <cell r="E107">
            <v>17508.740000000002</v>
          </cell>
          <cell r="F107">
            <v>13232.3</v>
          </cell>
          <cell r="G107">
            <v>33298.730000000003</v>
          </cell>
          <cell r="H107">
            <v>31010.81</v>
          </cell>
          <cell r="I107">
            <v>31220.799999999999</v>
          </cell>
          <cell r="J107">
            <v>24467.41</v>
          </cell>
          <cell r="K107">
            <v>28663.47</v>
          </cell>
          <cell r="L107">
            <v>28018.68</v>
          </cell>
          <cell r="M107">
            <v>23468.9</v>
          </cell>
          <cell r="N107">
            <v>37283.18</v>
          </cell>
          <cell r="O107">
            <v>26133.3</v>
          </cell>
          <cell r="P107">
            <v>312846.78000000003</v>
          </cell>
          <cell r="R107">
            <v>18540.46</v>
          </cell>
          <cell r="S107">
            <v>36049.199999999997</v>
          </cell>
          <cell r="T107">
            <v>49281.5</v>
          </cell>
          <cell r="U107">
            <v>82580.23000000001</v>
          </cell>
          <cell r="V107">
            <v>113591.04000000001</v>
          </cell>
          <cell r="W107">
            <v>144811.84</v>
          </cell>
          <cell r="X107">
            <v>169279.25</v>
          </cell>
          <cell r="Y107">
            <v>197942.72</v>
          </cell>
          <cell r="Z107">
            <v>225961.4</v>
          </cell>
          <cell r="AA107">
            <v>249430.3</v>
          </cell>
          <cell r="AB107">
            <v>286713.48</v>
          </cell>
          <cell r="AC107">
            <v>312846.77999999997</v>
          </cell>
        </row>
        <row r="108">
          <cell r="A108">
            <v>101050201002</v>
          </cell>
          <cell r="B108" t="str">
            <v xml:space="preserve">Retención en la Fuente I.R.2%                                         </v>
          </cell>
          <cell r="C108">
            <v>0</v>
          </cell>
          <cell r="D108">
            <v>148.72999999999999</v>
          </cell>
          <cell r="E108">
            <v>321.27</v>
          </cell>
          <cell r="F108">
            <v>335.67</v>
          </cell>
          <cell r="G108">
            <v>49.92</v>
          </cell>
          <cell r="H108">
            <v>18.84</v>
          </cell>
          <cell r="I108">
            <v>109.78</v>
          </cell>
          <cell r="J108">
            <v>471.02</v>
          </cell>
          <cell r="K108">
            <v>336</v>
          </cell>
          <cell r="L108">
            <v>161.91999999999999</v>
          </cell>
          <cell r="M108">
            <v>107.84</v>
          </cell>
          <cell r="N108">
            <v>121.88</v>
          </cell>
          <cell r="O108">
            <v>93.45</v>
          </cell>
          <cell r="P108">
            <v>2276.3200000000002</v>
          </cell>
          <cell r="R108">
            <v>148.72999999999999</v>
          </cell>
          <cell r="S108">
            <v>470</v>
          </cell>
          <cell r="T108">
            <v>805.67000000000007</v>
          </cell>
          <cell r="U108">
            <v>855.59</v>
          </cell>
          <cell r="V108">
            <v>874.43000000000006</v>
          </cell>
          <cell r="W108">
            <v>984.21</v>
          </cell>
          <cell r="X108">
            <v>1455.23</v>
          </cell>
          <cell r="Y108">
            <v>1791.23</v>
          </cell>
          <cell r="Z108">
            <v>1953.15</v>
          </cell>
          <cell r="AA108">
            <v>2060.9900000000002</v>
          </cell>
          <cell r="AB108">
            <v>2182.8700000000003</v>
          </cell>
          <cell r="AC108">
            <v>2276.3200000000002</v>
          </cell>
        </row>
        <row r="109">
          <cell r="A109">
            <v>101050201003</v>
          </cell>
          <cell r="B109" t="str">
            <v xml:space="preserve">Retencion en la fuente ISD                                            </v>
          </cell>
          <cell r="C109">
            <v>0</v>
          </cell>
          <cell r="D109">
            <v>2514.02</v>
          </cell>
          <cell r="E109">
            <v>2196.9299999999998</v>
          </cell>
          <cell r="F109">
            <v>0</v>
          </cell>
          <cell r="G109">
            <v>2020.72</v>
          </cell>
          <cell r="H109">
            <v>6794.63</v>
          </cell>
          <cell r="I109">
            <v>3493.44</v>
          </cell>
          <cell r="J109">
            <v>2551.1999999999998</v>
          </cell>
          <cell r="K109">
            <v>2645.37</v>
          </cell>
          <cell r="L109">
            <v>0</v>
          </cell>
          <cell r="M109">
            <v>6917.82</v>
          </cell>
          <cell r="N109">
            <v>2446.4699999999998</v>
          </cell>
          <cell r="O109">
            <v>1362.68</v>
          </cell>
          <cell r="P109">
            <v>32943.279999999999</v>
          </cell>
          <cell r="R109">
            <v>2514.02</v>
          </cell>
          <cell r="S109">
            <v>4710.95</v>
          </cell>
          <cell r="T109">
            <v>4710.95</v>
          </cell>
          <cell r="U109">
            <v>6731.67</v>
          </cell>
          <cell r="V109">
            <v>13526.3</v>
          </cell>
          <cell r="W109">
            <v>17019.739999999998</v>
          </cell>
          <cell r="X109">
            <v>19570.939999999999</v>
          </cell>
          <cell r="Y109">
            <v>22216.309999999998</v>
          </cell>
          <cell r="Z109">
            <v>22216.309999999998</v>
          </cell>
          <cell r="AA109">
            <v>29134.129999999997</v>
          </cell>
          <cell r="AB109">
            <v>31580.6</v>
          </cell>
          <cell r="AC109">
            <v>32943.279999999999</v>
          </cell>
        </row>
        <row r="110">
          <cell r="A110">
            <v>101050201004</v>
          </cell>
          <cell r="B110" t="str">
            <v xml:space="preserve">Reclamos al SRI                                                       </v>
          </cell>
          <cell r="C110">
            <v>24500.880000000001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24500.880000000001</v>
          </cell>
          <cell r="R110">
            <v>24500.880000000001</v>
          </cell>
          <cell r="S110">
            <v>24500.880000000001</v>
          </cell>
          <cell r="T110">
            <v>24500.880000000001</v>
          </cell>
          <cell r="U110">
            <v>24500.880000000001</v>
          </cell>
          <cell r="V110">
            <v>24500.880000000001</v>
          </cell>
          <cell r="W110">
            <v>24500.880000000001</v>
          </cell>
          <cell r="X110">
            <v>24500.880000000001</v>
          </cell>
          <cell r="Y110">
            <v>24500.880000000001</v>
          </cell>
          <cell r="Z110">
            <v>24500.880000000001</v>
          </cell>
          <cell r="AA110">
            <v>24500.880000000001</v>
          </cell>
          <cell r="AB110">
            <v>24500.880000000001</v>
          </cell>
          <cell r="AC110">
            <v>24500.880000000001</v>
          </cell>
        </row>
        <row r="111">
          <cell r="A111">
            <v>101050201005</v>
          </cell>
          <cell r="B111" t="str">
            <v xml:space="preserve">Retencion en la fuente rendimientos financ.                           </v>
          </cell>
          <cell r="C111">
            <v>0</v>
          </cell>
          <cell r="D111">
            <v>1.22</v>
          </cell>
          <cell r="E111">
            <v>1.05</v>
          </cell>
          <cell r="F111">
            <v>0.7</v>
          </cell>
          <cell r="G111">
            <v>0.51</v>
          </cell>
          <cell r="H111">
            <v>8</v>
          </cell>
          <cell r="I111">
            <v>12.2</v>
          </cell>
          <cell r="J111">
            <v>15.62</v>
          </cell>
          <cell r="K111">
            <v>22.87</v>
          </cell>
          <cell r="L111">
            <v>14.88</v>
          </cell>
          <cell r="M111">
            <v>0.62</v>
          </cell>
          <cell r="N111">
            <v>0</v>
          </cell>
          <cell r="O111">
            <v>3.89</v>
          </cell>
          <cell r="P111">
            <v>81.56</v>
          </cell>
          <cell r="R111">
            <v>1.22</v>
          </cell>
          <cell r="S111">
            <v>2.27</v>
          </cell>
          <cell r="T111">
            <v>2.9699999999999998</v>
          </cell>
          <cell r="U111">
            <v>3.4799999999999995</v>
          </cell>
          <cell r="V111">
            <v>11.48</v>
          </cell>
          <cell r="W111">
            <v>23.68</v>
          </cell>
          <cell r="X111">
            <v>39.299999999999997</v>
          </cell>
          <cell r="Y111">
            <v>62.17</v>
          </cell>
          <cell r="Z111">
            <v>77.05</v>
          </cell>
          <cell r="AA111">
            <v>77.67</v>
          </cell>
          <cell r="AB111">
            <v>77.67</v>
          </cell>
          <cell r="AC111">
            <v>81.56</v>
          </cell>
        </row>
        <row r="112">
          <cell r="A112">
            <v>101050201006</v>
          </cell>
          <cell r="B112" t="str">
            <v xml:space="preserve">Remanente Ret Fte. Años Anteriores                                    </v>
          </cell>
          <cell r="C112">
            <v>1358.74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1358.74</v>
          </cell>
          <cell r="R112">
            <v>1358.74</v>
          </cell>
          <cell r="S112">
            <v>1358.74</v>
          </cell>
          <cell r="T112">
            <v>1358.74</v>
          </cell>
          <cell r="U112">
            <v>1358.74</v>
          </cell>
          <cell r="V112">
            <v>1358.74</v>
          </cell>
          <cell r="W112">
            <v>1358.74</v>
          </cell>
          <cell r="X112">
            <v>1358.74</v>
          </cell>
          <cell r="Y112">
            <v>1358.74</v>
          </cell>
          <cell r="Z112">
            <v>1358.74</v>
          </cell>
          <cell r="AA112">
            <v>1358.74</v>
          </cell>
          <cell r="AB112">
            <v>1358.74</v>
          </cell>
          <cell r="AC112">
            <v>1358.74</v>
          </cell>
        </row>
        <row r="113">
          <cell r="A113">
            <v>1010503</v>
          </cell>
          <cell r="B113" t="str">
            <v xml:space="preserve">ANTICIPOS DE IMPUESTO A LA RENTA                                      </v>
          </cell>
          <cell r="C113">
            <v>0</v>
          </cell>
          <cell r="D113">
            <v>0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7079.26</v>
          </cell>
          <cell r="M113">
            <v>0</v>
          </cell>
          <cell r="N113">
            <v>0</v>
          </cell>
          <cell r="O113">
            <v>0</v>
          </cell>
          <cell r="P113">
            <v>7079.26</v>
          </cell>
          <cell r="R113">
            <v>0</v>
          </cell>
          <cell r="S113">
            <v>0</v>
          </cell>
          <cell r="T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  <cell r="Z113">
            <v>7079.26</v>
          </cell>
          <cell r="AA113">
            <v>7079.26</v>
          </cell>
          <cell r="AB113">
            <v>7079.26</v>
          </cell>
          <cell r="AC113">
            <v>7079.26</v>
          </cell>
        </row>
        <row r="114">
          <cell r="A114">
            <v>101050301</v>
          </cell>
          <cell r="B114" t="str">
            <v xml:space="preserve">ANTICIPOS DE IMPUESTO A LA RENTA                                      </v>
          </cell>
          <cell r="C114">
            <v>0</v>
          </cell>
          <cell r="D114">
            <v>0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7079.26</v>
          </cell>
          <cell r="M114">
            <v>0</v>
          </cell>
          <cell r="N114">
            <v>0</v>
          </cell>
          <cell r="O114">
            <v>0</v>
          </cell>
          <cell r="P114">
            <v>7079.26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  <cell r="V114">
            <v>0</v>
          </cell>
          <cell r="W114">
            <v>0</v>
          </cell>
          <cell r="X114">
            <v>0</v>
          </cell>
          <cell r="Y114">
            <v>0</v>
          </cell>
          <cell r="Z114">
            <v>7079.26</v>
          </cell>
          <cell r="AA114">
            <v>7079.26</v>
          </cell>
          <cell r="AB114">
            <v>7079.26</v>
          </cell>
          <cell r="AC114">
            <v>7079.26</v>
          </cell>
        </row>
        <row r="115">
          <cell r="A115">
            <v>101050301001</v>
          </cell>
          <cell r="B115" t="str">
            <v xml:space="preserve">Crédito Tributario Anticipo de Impuesto a la Renta                    </v>
          </cell>
          <cell r="C115">
            <v>0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7079.26</v>
          </cell>
          <cell r="M115">
            <v>0</v>
          </cell>
          <cell r="N115">
            <v>0</v>
          </cell>
          <cell r="O115">
            <v>0</v>
          </cell>
          <cell r="P115">
            <v>7079.26</v>
          </cell>
          <cell r="R115">
            <v>0</v>
          </cell>
          <cell r="S115">
            <v>0</v>
          </cell>
          <cell r="T115">
            <v>0</v>
          </cell>
          <cell r="U115">
            <v>0</v>
          </cell>
          <cell r="V115">
            <v>0</v>
          </cell>
          <cell r="W115">
            <v>0</v>
          </cell>
          <cell r="X115">
            <v>0</v>
          </cell>
          <cell r="Y115">
            <v>0</v>
          </cell>
          <cell r="Z115">
            <v>7079.26</v>
          </cell>
          <cell r="AA115">
            <v>7079.26</v>
          </cell>
          <cell r="AB115">
            <v>7079.26</v>
          </cell>
          <cell r="AC115">
            <v>7079.26</v>
          </cell>
        </row>
        <row r="116">
          <cell r="A116">
            <v>10106</v>
          </cell>
          <cell r="B116" t="str">
            <v xml:space="preserve">OTROS ACTIVOS CORRIENTES                                              </v>
          </cell>
          <cell r="C116">
            <v>84662.48</v>
          </cell>
          <cell r="D116">
            <v>-62829.760000000002</v>
          </cell>
          <cell r="E116">
            <v>-21832.720000000001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R116">
            <v>21832.719999999994</v>
          </cell>
          <cell r="S116">
            <v>0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  <cell r="AB116">
            <v>0</v>
          </cell>
          <cell r="AC116">
            <v>0</v>
          </cell>
        </row>
        <row r="117">
          <cell r="A117">
            <v>1010601</v>
          </cell>
          <cell r="B117" t="str">
            <v xml:space="preserve">OTROS ACTIVOS CORRIENTES                                              </v>
          </cell>
          <cell r="C117">
            <v>84662.48</v>
          </cell>
          <cell r="D117">
            <v>-62829.760000000002</v>
          </cell>
          <cell r="E117">
            <v>-21832.720000000001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R117">
            <v>21832.719999999994</v>
          </cell>
          <cell r="S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  <cell r="AB117">
            <v>0</v>
          </cell>
          <cell r="AC117">
            <v>0</v>
          </cell>
        </row>
        <row r="118">
          <cell r="A118">
            <v>101060101003</v>
          </cell>
          <cell r="B118" t="str">
            <v xml:space="preserve">Nota de Credito SRI Ecuador                                           </v>
          </cell>
          <cell r="C118">
            <v>84662.48</v>
          </cell>
          <cell r="D118">
            <v>-62829.760000000002</v>
          </cell>
          <cell r="E118">
            <v>-21832.720000000001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R118">
            <v>21832.719999999994</v>
          </cell>
          <cell r="S118">
            <v>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>
            <v>0</v>
          </cell>
          <cell r="Y118">
            <v>0</v>
          </cell>
          <cell r="Z118">
            <v>0</v>
          </cell>
          <cell r="AA118">
            <v>0</v>
          </cell>
          <cell r="AB118">
            <v>0</v>
          </cell>
          <cell r="AC118">
            <v>0</v>
          </cell>
        </row>
        <row r="119">
          <cell r="A119">
            <v>102</v>
          </cell>
          <cell r="B119" t="str">
            <v xml:space="preserve">ACTIVO FIIJO                                                          </v>
          </cell>
          <cell r="C119">
            <v>6837170.6900000004</v>
          </cell>
          <cell r="D119">
            <v>-53774.06</v>
          </cell>
          <cell r="E119">
            <v>-53682.79</v>
          </cell>
          <cell r="F119">
            <v>-53371.91</v>
          </cell>
          <cell r="G119">
            <v>328789.69</v>
          </cell>
          <cell r="H119">
            <v>19135.91</v>
          </cell>
          <cell r="I119">
            <v>-53786</v>
          </cell>
          <cell r="J119">
            <v>-52362.5</v>
          </cell>
          <cell r="K119">
            <v>-52681.3</v>
          </cell>
          <cell r="L119">
            <v>-52678.36</v>
          </cell>
          <cell r="M119">
            <v>-18047.18</v>
          </cell>
          <cell r="N119">
            <v>-52249.67</v>
          </cell>
          <cell r="O119">
            <v>-54813.09</v>
          </cell>
          <cell r="P119">
            <v>6687649.4299999997</v>
          </cell>
          <cell r="R119">
            <v>6783396.6300000008</v>
          </cell>
          <cell r="S119">
            <v>6729713.8400000008</v>
          </cell>
          <cell r="T119">
            <v>6676341.9300000006</v>
          </cell>
          <cell r="U119">
            <v>7005131.620000001</v>
          </cell>
          <cell r="V119">
            <v>7024267.5300000012</v>
          </cell>
          <cell r="W119">
            <v>6970481.5300000012</v>
          </cell>
          <cell r="X119">
            <v>6918119.0300000012</v>
          </cell>
          <cell r="Y119">
            <v>6865437.7300000014</v>
          </cell>
          <cell r="Z119">
            <v>6812759.370000001</v>
          </cell>
          <cell r="AA119">
            <v>6794712.1900000013</v>
          </cell>
          <cell r="AB119">
            <v>6742462.5200000014</v>
          </cell>
          <cell r="AC119">
            <v>6687649.4300000016</v>
          </cell>
        </row>
        <row r="120">
          <cell r="A120">
            <v>10201</v>
          </cell>
          <cell r="B120" t="str">
            <v xml:space="preserve">PROPIEDADES, PLANTA Y EQUIPO                                          </v>
          </cell>
          <cell r="C120">
            <v>6813531.7800000003</v>
          </cell>
          <cell r="D120">
            <v>-51626.84</v>
          </cell>
          <cell r="E120">
            <v>-51535.57</v>
          </cell>
          <cell r="F120">
            <v>-51224.69</v>
          </cell>
          <cell r="G120">
            <v>330936.90999999997</v>
          </cell>
          <cell r="H120">
            <v>21283.13</v>
          </cell>
          <cell r="I120">
            <v>-51638.78</v>
          </cell>
          <cell r="J120">
            <v>-50215.28</v>
          </cell>
          <cell r="K120">
            <v>-51246.58</v>
          </cell>
          <cell r="L120">
            <v>-51243.64</v>
          </cell>
          <cell r="M120">
            <v>-16612.46</v>
          </cell>
          <cell r="N120">
            <v>-50814.95</v>
          </cell>
          <cell r="O120">
            <v>-53469</v>
          </cell>
          <cell r="P120">
            <v>6686124.0300000003</v>
          </cell>
          <cell r="R120">
            <v>6761904.9400000004</v>
          </cell>
          <cell r="S120">
            <v>6710369.3700000001</v>
          </cell>
          <cell r="T120">
            <v>6659144.6799999997</v>
          </cell>
          <cell r="U120">
            <v>6990081.5899999999</v>
          </cell>
          <cell r="V120">
            <v>7011364.7199999997</v>
          </cell>
          <cell r="W120">
            <v>6959725.9399999995</v>
          </cell>
          <cell r="X120">
            <v>6909510.6599999992</v>
          </cell>
          <cell r="Y120">
            <v>6858264.0799999991</v>
          </cell>
          <cell r="Z120">
            <v>6807020.4399999995</v>
          </cell>
          <cell r="AA120">
            <v>6790407.9799999995</v>
          </cell>
          <cell r="AB120">
            <v>6739593.0299999993</v>
          </cell>
          <cell r="AC120">
            <v>6686124.0299999993</v>
          </cell>
        </row>
        <row r="121">
          <cell r="A121">
            <v>1020101</v>
          </cell>
          <cell r="B121" t="str">
            <v xml:space="preserve">ACTIVOS NO DEPRECIABLES                                               </v>
          </cell>
          <cell r="C121">
            <v>2810636.68</v>
          </cell>
          <cell r="D121">
            <v>-461156.96</v>
          </cell>
          <cell r="E121">
            <v>0</v>
          </cell>
          <cell r="F121">
            <v>0</v>
          </cell>
          <cell r="G121">
            <v>355088.32</v>
          </cell>
          <cell r="H121">
            <v>52487.9</v>
          </cell>
          <cell r="I121">
            <v>0</v>
          </cell>
          <cell r="J121">
            <v>-52487.9</v>
          </cell>
          <cell r="K121">
            <v>0</v>
          </cell>
          <cell r="L121">
            <v>0</v>
          </cell>
          <cell r="M121">
            <v>32793.370000000003</v>
          </cell>
          <cell r="N121">
            <v>0</v>
          </cell>
          <cell r="O121">
            <v>-355088.32</v>
          </cell>
          <cell r="P121">
            <v>2382273.09</v>
          </cell>
          <cell r="R121">
            <v>2349479.7200000002</v>
          </cell>
          <cell r="S121">
            <v>2349479.7200000002</v>
          </cell>
          <cell r="T121">
            <v>2349479.7200000002</v>
          </cell>
          <cell r="U121">
            <v>2704568.04</v>
          </cell>
          <cell r="V121">
            <v>2757055.94</v>
          </cell>
          <cell r="W121">
            <v>2757055.94</v>
          </cell>
          <cell r="X121">
            <v>2704568.04</v>
          </cell>
          <cell r="Y121">
            <v>2704568.04</v>
          </cell>
          <cell r="Z121">
            <v>2704568.04</v>
          </cell>
          <cell r="AA121">
            <v>2737361.41</v>
          </cell>
          <cell r="AB121">
            <v>2737361.41</v>
          </cell>
          <cell r="AC121">
            <v>2382273.0900000003</v>
          </cell>
        </row>
        <row r="122">
          <cell r="A122">
            <v>102010101</v>
          </cell>
          <cell r="B122" t="str">
            <v xml:space="preserve">NO DEPRECIABLES                                                       </v>
          </cell>
          <cell r="C122">
            <v>2810636.68</v>
          </cell>
          <cell r="D122">
            <v>-461156.96</v>
          </cell>
          <cell r="E122">
            <v>0</v>
          </cell>
          <cell r="F122">
            <v>0</v>
          </cell>
          <cell r="G122">
            <v>355088.32</v>
          </cell>
          <cell r="H122">
            <v>52487.9</v>
          </cell>
          <cell r="I122">
            <v>0</v>
          </cell>
          <cell r="J122">
            <v>-52487.9</v>
          </cell>
          <cell r="K122">
            <v>0</v>
          </cell>
          <cell r="L122">
            <v>0</v>
          </cell>
          <cell r="M122">
            <v>32793.370000000003</v>
          </cell>
          <cell r="N122">
            <v>0</v>
          </cell>
          <cell r="O122">
            <v>-355088.32</v>
          </cell>
          <cell r="P122">
            <v>2382273.09</v>
          </cell>
          <cell r="R122">
            <v>2349479.7200000002</v>
          </cell>
          <cell r="S122">
            <v>2349479.7200000002</v>
          </cell>
          <cell r="T122">
            <v>2349479.7200000002</v>
          </cell>
          <cell r="U122">
            <v>2704568.04</v>
          </cell>
          <cell r="V122">
            <v>2757055.94</v>
          </cell>
          <cell r="W122">
            <v>2757055.94</v>
          </cell>
          <cell r="X122">
            <v>2704568.04</v>
          </cell>
          <cell r="Y122">
            <v>2704568.04</v>
          </cell>
          <cell r="Z122">
            <v>2704568.04</v>
          </cell>
          <cell r="AA122">
            <v>2737361.41</v>
          </cell>
          <cell r="AB122">
            <v>2737361.41</v>
          </cell>
          <cell r="AC122">
            <v>2382273.0900000003</v>
          </cell>
        </row>
        <row r="123">
          <cell r="A123">
            <v>102010101001</v>
          </cell>
          <cell r="B123" t="str">
            <v xml:space="preserve">Terrenos                                                              </v>
          </cell>
          <cell r="C123">
            <v>2359296.6</v>
          </cell>
          <cell r="D123">
            <v>-461156.96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1898139.64</v>
          </cell>
          <cell r="R123">
            <v>1898139.6400000001</v>
          </cell>
          <cell r="S123">
            <v>1898139.6400000001</v>
          </cell>
          <cell r="T123">
            <v>1898139.6400000001</v>
          </cell>
          <cell r="U123">
            <v>1898139.6400000001</v>
          </cell>
          <cell r="V123">
            <v>1898139.6400000001</v>
          </cell>
          <cell r="W123">
            <v>1898139.6400000001</v>
          </cell>
          <cell r="X123">
            <v>1898139.6400000001</v>
          </cell>
          <cell r="Y123">
            <v>1898139.6400000001</v>
          </cell>
          <cell r="Z123">
            <v>1898139.6400000001</v>
          </cell>
          <cell r="AA123">
            <v>1898139.6400000001</v>
          </cell>
          <cell r="AB123">
            <v>1898139.6400000001</v>
          </cell>
          <cell r="AC123">
            <v>1898139.6400000001</v>
          </cell>
        </row>
        <row r="124">
          <cell r="A124">
            <v>102010101002</v>
          </cell>
          <cell r="B124" t="str">
            <v xml:space="preserve">Construcciones en Curso y Montajes                                    </v>
          </cell>
          <cell r="C124">
            <v>451340.08</v>
          </cell>
          <cell r="D124">
            <v>0</v>
          </cell>
          <cell r="E124">
            <v>0</v>
          </cell>
          <cell r="F124">
            <v>0</v>
          </cell>
          <cell r="G124">
            <v>355088.32</v>
          </cell>
          <cell r="H124">
            <v>52487.9</v>
          </cell>
          <cell r="I124">
            <v>0</v>
          </cell>
          <cell r="J124">
            <v>-52487.9</v>
          </cell>
          <cell r="K124">
            <v>0</v>
          </cell>
          <cell r="L124">
            <v>0</v>
          </cell>
          <cell r="M124">
            <v>32793.370000000003</v>
          </cell>
          <cell r="N124">
            <v>0</v>
          </cell>
          <cell r="O124">
            <v>-355088.32</v>
          </cell>
          <cell r="P124">
            <v>484133.45</v>
          </cell>
          <cell r="R124">
            <v>451340.08</v>
          </cell>
          <cell r="S124">
            <v>451340.08</v>
          </cell>
          <cell r="T124">
            <v>451340.08</v>
          </cell>
          <cell r="U124">
            <v>806428.4</v>
          </cell>
          <cell r="V124">
            <v>858916.3</v>
          </cell>
          <cell r="W124">
            <v>858916.3</v>
          </cell>
          <cell r="X124">
            <v>806428.4</v>
          </cell>
          <cell r="Y124">
            <v>806428.4</v>
          </cell>
          <cell r="Z124">
            <v>806428.4</v>
          </cell>
          <cell r="AA124">
            <v>839221.77</v>
          </cell>
          <cell r="AB124">
            <v>839221.77</v>
          </cell>
          <cell r="AC124">
            <v>484133.45</v>
          </cell>
        </row>
        <row r="125">
          <cell r="A125">
            <v>1020102</v>
          </cell>
          <cell r="B125" t="str">
            <v xml:space="preserve">ACTIVOS DEPRECIABLES                                                  </v>
          </cell>
          <cell r="C125">
            <v>8023230.5</v>
          </cell>
          <cell r="D125">
            <v>461156.96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47008.88</v>
          </cell>
          <cell r="J125">
            <v>54167.9</v>
          </cell>
          <cell r="K125">
            <v>160</v>
          </cell>
          <cell r="L125">
            <v>0</v>
          </cell>
          <cell r="M125">
            <v>1450</v>
          </cell>
          <cell r="N125">
            <v>0</v>
          </cell>
          <cell r="O125">
            <v>355087.42</v>
          </cell>
          <cell r="P125">
            <v>8942261.6600000001</v>
          </cell>
          <cell r="R125">
            <v>8484387.4600000009</v>
          </cell>
          <cell r="S125">
            <v>8484387.4600000009</v>
          </cell>
          <cell r="T125">
            <v>8484387.4600000009</v>
          </cell>
          <cell r="U125">
            <v>8484387.4600000009</v>
          </cell>
          <cell r="V125">
            <v>8484387.4600000009</v>
          </cell>
          <cell r="W125">
            <v>8531396.3400000017</v>
          </cell>
          <cell r="X125">
            <v>8585564.2400000021</v>
          </cell>
          <cell r="Y125">
            <v>8585724.2400000021</v>
          </cell>
          <cell r="Z125">
            <v>8585724.2400000021</v>
          </cell>
          <cell r="AA125">
            <v>8587174.2400000021</v>
          </cell>
          <cell r="AB125">
            <v>8587174.2400000021</v>
          </cell>
          <cell r="AC125">
            <v>8942261.660000002</v>
          </cell>
        </row>
        <row r="126">
          <cell r="A126">
            <v>102010201</v>
          </cell>
          <cell r="B126" t="str">
            <v xml:space="preserve">DEPRECIABLES                                                          </v>
          </cell>
          <cell r="C126">
            <v>8023230.5</v>
          </cell>
          <cell r="D126">
            <v>461156.96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47008.88</v>
          </cell>
          <cell r="J126">
            <v>54167.9</v>
          </cell>
          <cell r="K126">
            <v>160</v>
          </cell>
          <cell r="L126">
            <v>0</v>
          </cell>
          <cell r="M126">
            <v>1450</v>
          </cell>
          <cell r="N126">
            <v>0</v>
          </cell>
          <cell r="O126">
            <v>355087.42</v>
          </cell>
          <cell r="P126">
            <v>8942261.6600000001</v>
          </cell>
          <cell r="R126">
            <v>8484387.4600000009</v>
          </cell>
          <cell r="S126">
            <v>8484387.4600000009</v>
          </cell>
          <cell r="T126">
            <v>8484387.4600000009</v>
          </cell>
          <cell r="U126">
            <v>8484387.4600000009</v>
          </cell>
          <cell r="V126">
            <v>8484387.4600000009</v>
          </cell>
          <cell r="W126">
            <v>8531396.3400000017</v>
          </cell>
          <cell r="X126">
            <v>8585564.2400000021</v>
          </cell>
          <cell r="Y126">
            <v>8585724.2400000021</v>
          </cell>
          <cell r="Z126">
            <v>8585724.2400000021</v>
          </cell>
          <cell r="AA126">
            <v>8587174.2400000021</v>
          </cell>
          <cell r="AB126">
            <v>8587174.2400000021</v>
          </cell>
          <cell r="AC126">
            <v>8942261.660000002</v>
          </cell>
        </row>
        <row r="127">
          <cell r="A127">
            <v>102010201001</v>
          </cell>
          <cell r="B127" t="str">
            <v xml:space="preserve">Edificios                                                             </v>
          </cell>
          <cell r="C127">
            <v>0</v>
          </cell>
          <cell r="D127">
            <v>461156.96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461156.96</v>
          </cell>
          <cell r="R127">
            <v>461156.96</v>
          </cell>
          <cell r="S127">
            <v>461156.96</v>
          </cell>
          <cell r="T127">
            <v>461156.96</v>
          </cell>
          <cell r="U127">
            <v>461156.96</v>
          </cell>
          <cell r="V127">
            <v>461156.96</v>
          </cell>
          <cell r="W127">
            <v>461156.96</v>
          </cell>
          <cell r="X127">
            <v>461156.96</v>
          </cell>
          <cell r="Y127">
            <v>461156.96</v>
          </cell>
          <cell r="Z127">
            <v>461156.96</v>
          </cell>
          <cell r="AA127">
            <v>461156.96</v>
          </cell>
          <cell r="AB127">
            <v>461156.96</v>
          </cell>
          <cell r="AC127">
            <v>461156.96</v>
          </cell>
        </row>
        <row r="128">
          <cell r="A128">
            <v>102010201004</v>
          </cell>
          <cell r="B128" t="str">
            <v xml:space="preserve">Muebles y Enseres                                                     </v>
          </cell>
          <cell r="C128">
            <v>198639.52</v>
          </cell>
          <cell r="D128">
            <v>0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160</v>
          </cell>
          <cell r="L128">
            <v>0</v>
          </cell>
          <cell r="M128">
            <v>0</v>
          </cell>
          <cell r="N128">
            <v>0</v>
          </cell>
          <cell r="O128">
            <v>-0.9</v>
          </cell>
          <cell r="P128">
            <v>198798.62</v>
          </cell>
          <cell r="R128">
            <v>198639.52</v>
          </cell>
          <cell r="S128">
            <v>198639.52</v>
          </cell>
          <cell r="T128">
            <v>198639.52</v>
          </cell>
          <cell r="U128">
            <v>198639.52</v>
          </cell>
          <cell r="V128">
            <v>198639.52</v>
          </cell>
          <cell r="W128">
            <v>198639.52</v>
          </cell>
          <cell r="X128">
            <v>198639.52</v>
          </cell>
          <cell r="Y128">
            <v>198799.52</v>
          </cell>
          <cell r="Z128">
            <v>198799.52</v>
          </cell>
          <cell r="AA128">
            <v>198799.52</v>
          </cell>
          <cell r="AB128">
            <v>198799.52</v>
          </cell>
          <cell r="AC128">
            <v>198798.62</v>
          </cell>
        </row>
        <row r="129">
          <cell r="A129">
            <v>102010201005</v>
          </cell>
          <cell r="B129" t="str">
            <v xml:space="preserve">Maquinarias y Equipos                                                 </v>
          </cell>
          <cell r="C129">
            <v>7187317.2800000003</v>
          </cell>
          <cell r="D129">
            <v>0</v>
          </cell>
          <cell r="E129">
            <v>0</v>
          </cell>
          <cell r="F129">
            <v>0</v>
          </cell>
          <cell r="G129">
            <v>0</v>
          </cell>
          <cell r="H129">
            <v>0</v>
          </cell>
          <cell r="I129">
            <v>27008.880000000001</v>
          </cell>
          <cell r="J129">
            <v>52487.9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355088.32</v>
          </cell>
          <cell r="P129">
            <v>7621902.3799999999</v>
          </cell>
          <cell r="R129">
            <v>7187317.2800000003</v>
          </cell>
          <cell r="S129">
            <v>7187317.2800000003</v>
          </cell>
          <cell r="T129">
            <v>7187317.2800000003</v>
          </cell>
          <cell r="U129">
            <v>7187317.2800000003</v>
          </cell>
          <cell r="V129">
            <v>7187317.2800000003</v>
          </cell>
          <cell r="W129">
            <v>7214326.1600000001</v>
          </cell>
          <cell r="X129">
            <v>7266814.0600000005</v>
          </cell>
          <cell r="Y129">
            <v>7266814.0600000005</v>
          </cell>
          <cell r="Z129">
            <v>7266814.0600000005</v>
          </cell>
          <cell r="AA129">
            <v>7266814.0600000005</v>
          </cell>
          <cell r="AB129">
            <v>7266814.0600000005</v>
          </cell>
          <cell r="AC129">
            <v>7621902.3800000008</v>
          </cell>
        </row>
        <row r="130">
          <cell r="A130">
            <v>102010201006</v>
          </cell>
          <cell r="B130" t="str">
            <v xml:space="preserve">Equipo de Seguridad                                                   </v>
          </cell>
          <cell r="C130">
            <v>15974.66</v>
          </cell>
          <cell r="D130">
            <v>0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15974.66</v>
          </cell>
          <cell r="R130">
            <v>15974.66</v>
          </cell>
          <cell r="S130">
            <v>15974.66</v>
          </cell>
          <cell r="T130">
            <v>15974.66</v>
          </cell>
          <cell r="U130">
            <v>15974.66</v>
          </cell>
          <cell r="V130">
            <v>15974.66</v>
          </cell>
          <cell r="W130">
            <v>15974.66</v>
          </cell>
          <cell r="X130">
            <v>15974.66</v>
          </cell>
          <cell r="Y130">
            <v>15974.66</v>
          </cell>
          <cell r="Z130">
            <v>15974.66</v>
          </cell>
          <cell r="AA130">
            <v>15974.66</v>
          </cell>
          <cell r="AB130">
            <v>15974.66</v>
          </cell>
          <cell r="AC130">
            <v>15974.66</v>
          </cell>
        </row>
        <row r="131">
          <cell r="A131">
            <v>102010201007</v>
          </cell>
          <cell r="B131" t="str">
            <v xml:space="preserve">Equipos de Computación                                                </v>
          </cell>
          <cell r="C131">
            <v>138315.51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1680</v>
          </cell>
          <cell r="K131">
            <v>0</v>
          </cell>
          <cell r="L131">
            <v>0</v>
          </cell>
          <cell r="M131">
            <v>1450</v>
          </cell>
          <cell r="N131">
            <v>0</v>
          </cell>
          <cell r="O131">
            <v>0</v>
          </cell>
          <cell r="P131">
            <v>141445.51</v>
          </cell>
          <cell r="R131">
            <v>138315.51</v>
          </cell>
          <cell r="S131">
            <v>138315.51</v>
          </cell>
          <cell r="T131">
            <v>138315.51</v>
          </cell>
          <cell r="U131">
            <v>138315.51</v>
          </cell>
          <cell r="V131">
            <v>138315.51</v>
          </cell>
          <cell r="W131">
            <v>138315.51</v>
          </cell>
          <cell r="X131">
            <v>139995.51</v>
          </cell>
          <cell r="Y131">
            <v>139995.51</v>
          </cell>
          <cell r="Z131">
            <v>139995.51</v>
          </cell>
          <cell r="AA131">
            <v>141445.51</v>
          </cell>
          <cell r="AB131">
            <v>141445.51</v>
          </cell>
          <cell r="AC131">
            <v>141445.51</v>
          </cell>
        </row>
        <row r="132">
          <cell r="A132">
            <v>102010201009</v>
          </cell>
          <cell r="B132" t="str">
            <v xml:space="preserve">Vehiculos                                                             </v>
          </cell>
          <cell r="C132">
            <v>482983.53</v>
          </cell>
          <cell r="D132">
            <v>0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20000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502983.53</v>
          </cell>
          <cell r="R132">
            <v>482983.53</v>
          </cell>
          <cell r="S132">
            <v>482983.53</v>
          </cell>
          <cell r="T132">
            <v>482983.53</v>
          </cell>
          <cell r="U132">
            <v>482983.53</v>
          </cell>
          <cell r="V132">
            <v>482983.53</v>
          </cell>
          <cell r="W132">
            <v>502983.53</v>
          </cell>
          <cell r="X132">
            <v>502983.53</v>
          </cell>
          <cell r="Y132">
            <v>502983.53</v>
          </cell>
          <cell r="Z132">
            <v>502983.53</v>
          </cell>
          <cell r="AA132">
            <v>502983.53</v>
          </cell>
          <cell r="AB132">
            <v>502983.53</v>
          </cell>
          <cell r="AC132">
            <v>502983.53</v>
          </cell>
        </row>
        <row r="133">
          <cell r="A133">
            <v>1020103</v>
          </cell>
          <cell r="B133" t="str">
            <v xml:space="preserve">(-) DEPRECIACIÓN ACUMULADA DE PROPIEDADES, PLANTAS Y EQUIPOS          </v>
          </cell>
          <cell r="C133">
            <v>-4020335.4</v>
          </cell>
          <cell r="D133">
            <v>-51626.84</v>
          </cell>
          <cell r="E133">
            <v>-51535.57</v>
          </cell>
          <cell r="F133">
            <v>-51224.69</v>
          </cell>
          <cell r="G133">
            <v>-51160.29</v>
          </cell>
          <cell r="H133">
            <v>-51204.77</v>
          </cell>
          <cell r="I133">
            <v>-51638.78</v>
          </cell>
          <cell r="J133">
            <v>-51895.28</v>
          </cell>
          <cell r="K133">
            <v>-51406.58</v>
          </cell>
          <cell r="L133">
            <v>-51243.64</v>
          </cell>
          <cell r="M133">
            <v>-50855.83</v>
          </cell>
          <cell r="N133">
            <v>-50814.95</v>
          </cell>
          <cell r="O133">
            <v>-53468.1</v>
          </cell>
          <cell r="P133">
            <v>-4638410.72</v>
          </cell>
          <cell r="R133">
            <v>-4071962.2399999998</v>
          </cell>
          <cell r="S133">
            <v>-4123497.8099999996</v>
          </cell>
          <cell r="T133">
            <v>-4174722.4999999995</v>
          </cell>
          <cell r="U133">
            <v>-4225882.7899999991</v>
          </cell>
          <cell r="V133">
            <v>-4277087.5599999987</v>
          </cell>
          <cell r="W133">
            <v>-4328726.3399999989</v>
          </cell>
          <cell r="X133">
            <v>-4380621.6199999992</v>
          </cell>
          <cell r="Y133">
            <v>-4432028.1999999993</v>
          </cell>
          <cell r="Z133">
            <v>-4483271.8399999989</v>
          </cell>
          <cell r="AA133">
            <v>-4534127.669999999</v>
          </cell>
          <cell r="AB133">
            <v>-4584942.6199999992</v>
          </cell>
          <cell r="AC133">
            <v>-4638410.7199999988</v>
          </cell>
        </row>
        <row r="134">
          <cell r="A134">
            <v>102010301</v>
          </cell>
          <cell r="B134" t="str">
            <v xml:space="preserve">(-) DEPRECIACIÓN ACUMULADA DE ACTIVOS FIJOS                           </v>
          </cell>
          <cell r="C134">
            <v>-4020335.4</v>
          </cell>
          <cell r="D134">
            <v>-51626.84</v>
          </cell>
          <cell r="E134">
            <v>-51535.57</v>
          </cell>
          <cell r="F134">
            <v>-51224.69</v>
          </cell>
          <cell r="G134">
            <v>-51160.29</v>
          </cell>
          <cell r="H134">
            <v>-51204.77</v>
          </cell>
          <cell r="I134">
            <v>-51638.78</v>
          </cell>
          <cell r="J134">
            <v>-51895.28</v>
          </cell>
          <cell r="K134">
            <v>-51406.58</v>
          </cell>
          <cell r="L134">
            <v>-51243.64</v>
          </cell>
          <cell r="M134">
            <v>-50855.83</v>
          </cell>
          <cell r="N134">
            <v>-50814.95</v>
          </cell>
          <cell r="O134">
            <v>-53468.1</v>
          </cell>
          <cell r="P134">
            <v>-4638410.72</v>
          </cell>
          <cell r="R134">
            <v>-4071962.2399999998</v>
          </cell>
          <cell r="S134">
            <v>-4123497.8099999996</v>
          </cell>
          <cell r="T134">
            <v>-4174722.4999999995</v>
          </cell>
          <cell r="U134">
            <v>-4225882.7899999991</v>
          </cell>
          <cell r="V134">
            <v>-4277087.5599999987</v>
          </cell>
          <cell r="W134">
            <v>-4328726.3399999989</v>
          </cell>
          <cell r="X134">
            <v>-4380621.6199999992</v>
          </cell>
          <cell r="Y134">
            <v>-4432028.1999999993</v>
          </cell>
          <cell r="Z134">
            <v>-4483271.8399999989</v>
          </cell>
          <cell r="AA134">
            <v>-4534127.669999999</v>
          </cell>
          <cell r="AB134">
            <v>-4584942.6199999992</v>
          </cell>
          <cell r="AC134">
            <v>-4638410.7199999988</v>
          </cell>
        </row>
        <row r="135">
          <cell r="A135">
            <v>102010301001</v>
          </cell>
          <cell r="B135" t="str">
            <v xml:space="preserve">Depreciación Acumulada Edificios                                      </v>
          </cell>
          <cell r="C135">
            <v>0</v>
          </cell>
          <cell r="D135">
            <v>-682.68</v>
          </cell>
          <cell r="E135">
            <v>-682.68</v>
          </cell>
          <cell r="F135">
            <v>-682.68</v>
          </cell>
          <cell r="G135">
            <v>-682.68</v>
          </cell>
          <cell r="H135">
            <v>-682.68</v>
          </cell>
          <cell r="I135">
            <v>-682.68</v>
          </cell>
          <cell r="J135">
            <v>-682.68</v>
          </cell>
          <cell r="K135">
            <v>-682.68</v>
          </cell>
          <cell r="L135">
            <v>-682.68</v>
          </cell>
          <cell r="M135">
            <v>-682.68</v>
          </cell>
          <cell r="N135">
            <v>-682.68</v>
          </cell>
          <cell r="O135">
            <v>-682.68</v>
          </cell>
          <cell r="P135">
            <v>-8192.16</v>
          </cell>
          <cell r="R135">
            <v>-682.68</v>
          </cell>
          <cell r="S135">
            <v>-1365.36</v>
          </cell>
          <cell r="T135">
            <v>-2048.04</v>
          </cell>
          <cell r="U135">
            <v>-2730.72</v>
          </cell>
          <cell r="V135">
            <v>-3413.3999999999996</v>
          </cell>
          <cell r="W135">
            <v>-4096.08</v>
          </cell>
          <cell r="X135">
            <v>-4778.76</v>
          </cell>
          <cell r="Y135">
            <v>-5461.4400000000005</v>
          </cell>
          <cell r="Z135">
            <v>-6144.1200000000008</v>
          </cell>
          <cell r="AA135">
            <v>-6826.8000000000011</v>
          </cell>
          <cell r="AB135">
            <v>-7509.4800000000014</v>
          </cell>
          <cell r="AC135">
            <v>-8192.1600000000017</v>
          </cell>
        </row>
        <row r="136">
          <cell r="A136">
            <v>102010301004</v>
          </cell>
          <cell r="B136" t="str">
            <v xml:space="preserve">Depreciación Acumulada Muebles y Enseres                              </v>
          </cell>
          <cell r="C136">
            <v>-147493.94</v>
          </cell>
          <cell r="D136">
            <v>-715.52</v>
          </cell>
          <cell r="E136">
            <v>-709.77</v>
          </cell>
          <cell r="F136">
            <v>-702.67</v>
          </cell>
          <cell r="G136">
            <v>-700.25</v>
          </cell>
          <cell r="H136">
            <v>-693.3</v>
          </cell>
          <cell r="I136">
            <v>-688.32</v>
          </cell>
          <cell r="J136">
            <v>-688.32</v>
          </cell>
          <cell r="K136">
            <v>-688.32</v>
          </cell>
          <cell r="L136">
            <v>-688.32</v>
          </cell>
          <cell r="M136">
            <v>-688.32</v>
          </cell>
          <cell r="N136">
            <v>-688.32</v>
          </cell>
          <cell r="O136">
            <v>-687.42</v>
          </cell>
          <cell r="P136">
            <v>-155832.79</v>
          </cell>
          <cell r="R136">
            <v>-148209.46</v>
          </cell>
          <cell r="S136">
            <v>-148919.22999999998</v>
          </cell>
          <cell r="T136">
            <v>-149621.9</v>
          </cell>
          <cell r="U136">
            <v>-150322.15</v>
          </cell>
          <cell r="V136">
            <v>-151015.44999999998</v>
          </cell>
          <cell r="W136">
            <v>-151703.76999999999</v>
          </cell>
          <cell r="X136">
            <v>-152392.09</v>
          </cell>
          <cell r="Y136">
            <v>-153080.41</v>
          </cell>
          <cell r="Z136">
            <v>-153768.73000000001</v>
          </cell>
          <cell r="AA136">
            <v>-154457.05000000002</v>
          </cell>
          <cell r="AB136">
            <v>-155145.37000000002</v>
          </cell>
          <cell r="AC136">
            <v>-155832.79000000004</v>
          </cell>
        </row>
        <row r="137">
          <cell r="A137">
            <v>102010301005</v>
          </cell>
          <cell r="B137" t="str">
            <v xml:space="preserve">Depreciación Acumulada Maquinarias y Equipos                          </v>
          </cell>
          <cell r="C137">
            <v>-3485173.97</v>
          </cell>
          <cell r="D137">
            <v>-44396.21</v>
          </cell>
          <cell r="E137">
            <v>-44396.21</v>
          </cell>
          <cell r="F137">
            <v>-44396.21</v>
          </cell>
          <cell r="G137">
            <v>-44333.75</v>
          </cell>
          <cell r="H137">
            <v>-44396.21</v>
          </cell>
          <cell r="I137">
            <v>-44598.78</v>
          </cell>
          <cell r="J137">
            <v>-44992.44</v>
          </cell>
          <cell r="K137">
            <v>-44992.44</v>
          </cell>
          <cell r="L137">
            <v>-44992.44</v>
          </cell>
          <cell r="M137">
            <v>-44992.44</v>
          </cell>
          <cell r="N137">
            <v>-44992.44</v>
          </cell>
          <cell r="O137">
            <v>-47654.29</v>
          </cell>
          <cell r="P137">
            <v>-4024307.83</v>
          </cell>
          <cell r="R137">
            <v>-3529570.18</v>
          </cell>
          <cell r="S137">
            <v>-3573966.39</v>
          </cell>
          <cell r="T137">
            <v>-3618362.6</v>
          </cell>
          <cell r="U137">
            <v>-3662696.35</v>
          </cell>
          <cell r="V137">
            <v>-3707092.56</v>
          </cell>
          <cell r="W137">
            <v>-3751691.34</v>
          </cell>
          <cell r="X137">
            <v>-3796683.78</v>
          </cell>
          <cell r="Y137">
            <v>-3841676.2199999997</v>
          </cell>
          <cell r="Z137">
            <v>-3886668.6599999997</v>
          </cell>
          <cell r="AA137">
            <v>-3931661.0999999996</v>
          </cell>
          <cell r="AB137">
            <v>-3976653.5399999996</v>
          </cell>
          <cell r="AC137">
            <v>-4024307.8299999996</v>
          </cell>
        </row>
        <row r="138">
          <cell r="A138">
            <v>102010301006</v>
          </cell>
          <cell r="B138" t="str">
            <v xml:space="preserve">Depreciación Acumulada Equipo de Seguridad                            </v>
          </cell>
          <cell r="C138">
            <v>-14825.81</v>
          </cell>
          <cell r="D138">
            <v>-62.99</v>
          </cell>
          <cell r="E138">
            <v>-62.99</v>
          </cell>
          <cell r="F138">
            <v>124.39</v>
          </cell>
          <cell r="G138">
            <v>-62.99</v>
          </cell>
          <cell r="H138">
            <v>-62.99</v>
          </cell>
          <cell r="I138">
            <v>-62.99</v>
          </cell>
          <cell r="J138">
            <v>-62.99</v>
          </cell>
          <cell r="K138">
            <v>-62.99</v>
          </cell>
          <cell r="L138">
            <v>-62.99</v>
          </cell>
          <cell r="M138">
            <v>-51.92</v>
          </cell>
          <cell r="N138">
            <v>-36.32</v>
          </cell>
          <cell r="O138">
            <v>-36.32</v>
          </cell>
          <cell r="P138">
            <v>-15329.9</v>
          </cell>
          <cell r="R138">
            <v>-14888.8</v>
          </cell>
          <cell r="S138">
            <v>-14951.789999999999</v>
          </cell>
          <cell r="T138">
            <v>-14827.4</v>
          </cell>
          <cell r="U138">
            <v>-14890.39</v>
          </cell>
          <cell r="V138">
            <v>-14953.38</v>
          </cell>
          <cell r="W138">
            <v>-15016.369999999999</v>
          </cell>
          <cell r="X138">
            <v>-15079.359999999999</v>
          </cell>
          <cell r="Y138">
            <v>-15142.349999999999</v>
          </cell>
          <cell r="Z138">
            <v>-15205.339999999998</v>
          </cell>
          <cell r="AA138">
            <v>-15257.259999999998</v>
          </cell>
          <cell r="AB138">
            <v>-15293.579999999998</v>
          </cell>
          <cell r="AC138">
            <v>-15329.899999999998</v>
          </cell>
        </row>
        <row r="139">
          <cell r="A139">
            <v>102010301007</v>
          </cell>
          <cell r="B139" t="str">
            <v xml:space="preserve">Depreciaciión Acumulada Equipos de Computación                        </v>
          </cell>
          <cell r="C139">
            <v>-110638.32</v>
          </cell>
          <cell r="D139">
            <v>-976.54</v>
          </cell>
          <cell r="E139">
            <v>-891.02</v>
          </cell>
          <cell r="F139">
            <v>-774.62</v>
          </cell>
          <cell r="G139">
            <v>-587.72</v>
          </cell>
          <cell r="H139">
            <v>-576.69000000000005</v>
          </cell>
          <cell r="I139">
            <v>-513.11</v>
          </cell>
          <cell r="J139">
            <v>-526.9</v>
          </cell>
          <cell r="K139">
            <v>-535.98</v>
          </cell>
          <cell r="L139">
            <v>-536.09</v>
          </cell>
          <cell r="M139">
            <v>-540.52</v>
          </cell>
          <cell r="N139">
            <v>-515.24</v>
          </cell>
          <cell r="O139">
            <v>-507.44</v>
          </cell>
          <cell r="P139">
            <v>-118120.19</v>
          </cell>
          <cell r="R139">
            <v>-111614.86</v>
          </cell>
          <cell r="S139">
            <v>-112505.88</v>
          </cell>
          <cell r="T139">
            <v>-113280.5</v>
          </cell>
          <cell r="U139">
            <v>-113868.22</v>
          </cell>
          <cell r="V139">
            <v>-114444.91</v>
          </cell>
          <cell r="W139">
            <v>-114958.02</v>
          </cell>
          <cell r="X139">
            <v>-115484.92</v>
          </cell>
          <cell r="Y139">
            <v>-116020.9</v>
          </cell>
          <cell r="Z139">
            <v>-116556.98999999999</v>
          </cell>
          <cell r="AA139">
            <v>-117097.51</v>
          </cell>
          <cell r="AB139">
            <v>-117612.75</v>
          </cell>
          <cell r="AC139">
            <v>-118120.19</v>
          </cell>
        </row>
        <row r="140">
          <cell r="A140">
            <v>102010301009</v>
          </cell>
          <cell r="B140" t="str">
            <v xml:space="preserve">Depreciacion Acumulada Vehiculos                                      </v>
          </cell>
          <cell r="C140">
            <v>-262203.36</v>
          </cell>
          <cell r="D140">
            <v>-4792.8999999999996</v>
          </cell>
          <cell r="E140">
            <v>-4792.8999999999996</v>
          </cell>
          <cell r="F140">
            <v>-4792.8999999999996</v>
          </cell>
          <cell r="G140">
            <v>-4792.8999999999996</v>
          </cell>
          <cell r="H140">
            <v>-4792.8999999999996</v>
          </cell>
          <cell r="I140">
            <v>-5092.8999999999996</v>
          </cell>
          <cell r="J140">
            <v>-4941.95</v>
          </cell>
          <cell r="K140">
            <v>-4444.17</v>
          </cell>
          <cell r="L140">
            <v>-4281.12</v>
          </cell>
          <cell r="M140">
            <v>-3899.95</v>
          </cell>
          <cell r="N140">
            <v>-3899.95</v>
          </cell>
          <cell r="O140">
            <v>-3899.95</v>
          </cell>
          <cell r="P140">
            <v>-316627.84999999998</v>
          </cell>
          <cell r="R140">
            <v>-266996.26</v>
          </cell>
          <cell r="S140">
            <v>-271789.16000000003</v>
          </cell>
          <cell r="T140">
            <v>-276582.06000000006</v>
          </cell>
          <cell r="U140">
            <v>-281374.96000000008</v>
          </cell>
          <cell r="V140">
            <v>-286167.8600000001</v>
          </cell>
          <cell r="W140">
            <v>-291260.76000000013</v>
          </cell>
          <cell r="X140">
            <v>-296202.71000000014</v>
          </cell>
          <cell r="Y140">
            <v>-300646.88000000012</v>
          </cell>
          <cell r="Z140">
            <v>-304928.00000000012</v>
          </cell>
          <cell r="AA140">
            <v>-308827.95000000013</v>
          </cell>
          <cell r="AB140">
            <v>-312727.90000000014</v>
          </cell>
          <cell r="AC140">
            <v>-316627.85000000015</v>
          </cell>
        </row>
        <row r="141">
          <cell r="A141">
            <v>1020105</v>
          </cell>
          <cell r="B141" t="str">
            <v xml:space="preserve">Activos fijos en tránsito                                             </v>
          </cell>
          <cell r="C141">
            <v>0</v>
          </cell>
          <cell r="D141">
            <v>0</v>
          </cell>
          <cell r="E141">
            <v>0</v>
          </cell>
          <cell r="F141">
            <v>0</v>
          </cell>
          <cell r="G141">
            <v>27008.880000000001</v>
          </cell>
          <cell r="H141">
            <v>20000</v>
          </cell>
          <cell r="I141">
            <v>-47008.88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  <cell r="P141">
            <v>0</v>
          </cell>
          <cell r="R141">
            <v>0</v>
          </cell>
          <cell r="S141">
            <v>0</v>
          </cell>
          <cell r="T141">
            <v>0</v>
          </cell>
          <cell r="U141">
            <v>27008.880000000001</v>
          </cell>
          <cell r="V141">
            <v>47008.880000000005</v>
          </cell>
          <cell r="W141">
            <v>0</v>
          </cell>
          <cell r="X141">
            <v>0</v>
          </cell>
          <cell r="Y141">
            <v>0</v>
          </cell>
          <cell r="Z141">
            <v>0</v>
          </cell>
          <cell r="AA141">
            <v>0</v>
          </cell>
          <cell r="AB141">
            <v>0</v>
          </cell>
          <cell r="AC141">
            <v>0</v>
          </cell>
        </row>
        <row r="142">
          <cell r="A142">
            <v>102010501</v>
          </cell>
          <cell r="B142" t="str">
            <v xml:space="preserve">Activos fijos en tránsito                                             </v>
          </cell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G142">
            <v>27008.880000000001</v>
          </cell>
          <cell r="H142">
            <v>20000</v>
          </cell>
          <cell r="I142">
            <v>-47008.88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27008.880000000001</v>
          </cell>
          <cell r="V142">
            <v>47008.880000000005</v>
          </cell>
          <cell r="W142">
            <v>0</v>
          </cell>
          <cell r="X142">
            <v>0</v>
          </cell>
          <cell r="Y142">
            <v>0</v>
          </cell>
          <cell r="Z142">
            <v>0</v>
          </cell>
          <cell r="AA142">
            <v>0</v>
          </cell>
          <cell r="AB142">
            <v>0</v>
          </cell>
          <cell r="AC142">
            <v>0</v>
          </cell>
        </row>
        <row r="143">
          <cell r="A143">
            <v>102010501001</v>
          </cell>
          <cell r="B143" t="str">
            <v xml:space="preserve">Activo Fijo en Transito                                               </v>
          </cell>
          <cell r="C143">
            <v>0</v>
          </cell>
          <cell r="D143">
            <v>0</v>
          </cell>
          <cell r="E143">
            <v>0</v>
          </cell>
          <cell r="F143">
            <v>0</v>
          </cell>
          <cell r="G143">
            <v>27008.880000000001</v>
          </cell>
          <cell r="H143">
            <v>20000</v>
          </cell>
          <cell r="I143">
            <v>-47008.88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  <cell r="R143">
            <v>0</v>
          </cell>
          <cell r="S143">
            <v>0</v>
          </cell>
          <cell r="T143">
            <v>0</v>
          </cell>
          <cell r="U143">
            <v>27008.880000000001</v>
          </cell>
          <cell r="V143">
            <v>47008.880000000005</v>
          </cell>
          <cell r="W143">
            <v>0</v>
          </cell>
          <cell r="X143">
            <v>0</v>
          </cell>
          <cell r="Y143">
            <v>0</v>
          </cell>
          <cell r="Z143">
            <v>0</v>
          </cell>
          <cell r="AA143">
            <v>0</v>
          </cell>
          <cell r="AB143">
            <v>0</v>
          </cell>
          <cell r="AC143">
            <v>0</v>
          </cell>
        </row>
        <row r="144">
          <cell r="A144">
            <v>10202</v>
          </cell>
          <cell r="B144" t="str">
            <v xml:space="preserve">ACTIVOS INTANGIBLE                                                    </v>
          </cell>
          <cell r="C144">
            <v>23638.91</v>
          </cell>
          <cell r="D144">
            <v>-2147.2199999999998</v>
          </cell>
          <cell r="E144">
            <v>-2147.2199999999998</v>
          </cell>
          <cell r="F144">
            <v>-2147.2199999999998</v>
          </cell>
          <cell r="G144">
            <v>-2147.2199999999998</v>
          </cell>
          <cell r="H144">
            <v>-2147.2199999999998</v>
          </cell>
          <cell r="I144">
            <v>-2147.2199999999998</v>
          </cell>
          <cell r="J144">
            <v>-2147.2199999999998</v>
          </cell>
          <cell r="K144">
            <v>-1434.72</v>
          </cell>
          <cell r="L144">
            <v>-1434.72</v>
          </cell>
          <cell r="M144">
            <v>-1434.72</v>
          </cell>
          <cell r="N144">
            <v>-1434.72</v>
          </cell>
          <cell r="O144">
            <v>-1344.09</v>
          </cell>
          <cell r="P144">
            <v>1525.4</v>
          </cell>
          <cell r="R144">
            <v>21491.69</v>
          </cell>
          <cell r="S144">
            <v>19344.469999999998</v>
          </cell>
          <cell r="T144">
            <v>17197.249999999996</v>
          </cell>
          <cell r="U144">
            <v>15050.029999999997</v>
          </cell>
          <cell r="V144">
            <v>12902.809999999998</v>
          </cell>
          <cell r="W144">
            <v>10755.589999999998</v>
          </cell>
          <cell r="X144">
            <v>8608.369999999999</v>
          </cell>
          <cell r="Y144">
            <v>7173.6499999999987</v>
          </cell>
          <cell r="Z144">
            <v>5738.9299999999985</v>
          </cell>
          <cell r="AA144">
            <v>4304.2099999999982</v>
          </cell>
          <cell r="AB144">
            <v>2869.489999999998</v>
          </cell>
          <cell r="AC144">
            <v>1525.399999999998</v>
          </cell>
        </row>
        <row r="145">
          <cell r="A145">
            <v>1020201</v>
          </cell>
          <cell r="B145" t="str">
            <v xml:space="preserve">INTANGIBLES AMORTIZABLE                                               </v>
          </cell>
          <cell r="C145">
            <v>82108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82108</v>
          </cell>
          <cell r="R145">
            <v>82108</v>
          </cell>
          <cell r="S145">
            <v>82108</v>
          </cell>
          <cell r="T145">
            <v>82108</v>
          </cell>
          <cell r="U145">
            <v>82108</v>
          </cell>
          <cell r="V145">
            <v>82108</v>
          </cell>
          <cell r="W145">
            <v>82108</v>
          </cell>
          <cell r="X145">
            <v>82108</v>
          </cell>
          <cell r="Y145">
            <v>82108</v>
          </cell>
          <cell r="Z145">
            <v>82108</v>
          </cell>
          <cell r="AA145">
            <v>82108</v>
          </cell>
          <cell r="AB145">
            <v>82108</v>
          </cell>
          <cell r="AC145">
            <v>82108</v>
          </cell>
        </row>
        <row r="146">
          <cell r="A146">
            <v>102020101</v>
          </cell>
          <cell r="B146" t="str">
            <v>MARCAS, PATENTES, LICENCIAS, DERECHOS DE LLAVE, CUOTAS PATRIMONIALES Y</v>
          </cell>
          <cell r="C146">
            <v>82108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82108</v>
          </cell>
          <cell r="R146">
            <v>82108</v>
          </cell>
          <cell r="S146">
            <v>82108</v>
          </cell>
          <cell r="T146">
            <v>82108</v>
          </cell>
          <cell r="U146">
            <v>82108</v>
          </cell>
          <cell r="V146">
            <v>82108</v>
          </cell>
          <cell r="W146">
            <v>82108</v>
          </cell>
          <cell r="X146">
            <v>82108</v>
          </cell>
          <cell r="Y146">
            <v>82108</v>
          </cell>
          <cell r="Z146">
            <v>82108</v>
          </cell>
          <cell r="AA146">
            <v>82108</v>
          </cell>
          <cell r="AB146">
            <v>82108</v>
          </cell>
          <cell r="AC146">
            <v>82108</v>
          </cell>
        </row>
        <row r="147">
          <cell r="A147">
            <v>102020101004</v>
          </cell>
          <cell r="B147" t="str">
            <v xml:space="preserve">Software                                                              </v>
          </cell>
          <cell r="C147">
            <v>82108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  <cell r="P147">
            <v>82108</v>
          </cell>
          <cell r="R147">
            <v>82108</v>
          </cell>
          <cell r="S147">
            <v>82108</v>
          </cell>
          <cell r="T147">
            <v>82108</v>
          </cell>
          <cell r="U147">
            <v>82108</v>
          </cell>
          <cell r="V147">
            <v>82108</v>
          </cell>
          <cell r="W147">
            <v>82108</v>
          </cell>
          <cell r="X147">
            <v>82108</v>
          </cell>
          <cell r="Y147">
            <v>82108</v>
          </cell>
          <cell r="Z147">
            <v>82108</v>
          </cell>
          <cell r="AA147">
            <v>82108</v>
          </cell>
          <cell r="AB147">
            <v>82108</v>
          </cell>
          <cell r="AC147">
            <v>82108</v>
          </cell>
        </row>
        <row r="148">
          <cell r="A148">
            <v>1020202</v>
          </cell>
          <cell r="B148" t="str">
            <v xml:space="preserve">(-) AMORTIZACION ACUMULADA DE ACTIVOS INTANGIBLES                     </v>
          </cell>
          <cell r="C148">
            <v>-58469.09</v>
          </cell>
          <cell r="D148">
            <v>-2147.2199999999998</v>
          </cell>
          <cell r="E148">
            <v>-2147.2199999999998</v>
          </cell>
          <cell r="F148">
            <v>-2147.2199999999998</v>
          </cell>
          <cell r="G148">
            <v>-2147.2199999999998</v>
          </cell>
          <cell r="H148">
            <v>-2147.2199999999998</v>
          </cell>
          <cell r="I148">
            <v>-2147.2199999999998</v>
          </cell>
          <cell r="J148">
            <v>-2147.2199999999998</v>
          </cell>
          <cell r="K148">
            <v>-1434.72</v>
          </cell>
          <cell r="L148">
            <v>-1434.72</v>
          </cell>
          <cell r="M148">
            <v>-1434.72</v>
          </cell>
          <cell r="N148">
            <v>-1434.72</v>
          </cell>
          <cell r="O148">
            <v>-1344.09</v>
          </cell>
          <cell r="P148">
            <v>-80582.600000000006</v>
          </cell>
          <cell r="R148">
            <v>-60616.31</v>
          </cell>
          <cell r="S148">
            <v>-62763.53</v>
          </cell>
          <cell r="T148">
            <v>-64910.75</v>
          </cell>
          <cell r="U148">
            <v>-67057.97</v>
          </cell>
          <cell r="V148">
            <v>-69205.19</v>
          </cell>
          <cell r="W148">
            <v>-71352.41</v>
          </cell>
          <cell r="X148">
            <v>-73499.63</v>
          </cell>
          <cell r="Y148">
            <v>-74934.350000000006</v>
          </cell>
          <cell r="Z148">
            <v>-76369.070000000007</v>
          </cell>
          <cell r="AA148">
            <v>-77803.790000000008</v>
          </cell>
          <cell r="AB148">
            <v>-79238.510000000009</v>
          </cell>
          <cell r="AC148">
            <v>-80582.600000000006</v>
          </cell>
        </row>
        <row r="149">
          <cell r="A149">
            <v>102020201</v>
          </cell>
          <cell r="B149" t="str">
            <v xml:space="preserve">(-) AMORTIZACION ACUMULADA DE ACTIVOS INTANGIBLES                     </v>
          </cell>
          <cell r="C149">
            <v>-58469.09</v>
          </cell>
          <cell r="D149">
            <v>-2147.2199999999998</v>
          </cell>
          <cell r="E149">
            <v>-2147.2199999999998</v>
          </cell>
          <cell r="F149">
            <v>-2147.2199999999998</v>
          </cell>
          <cell r="G149">
            <v>-2147.2199999999998</v>
          </cell>
          <cell r="H149">
            <v>-2147.2199999999998</v>
          </cell>
          <cell r="I149">
            <v>-2147.2199999999998</v>
          </cell>
          <cell r="J149">
            <v>-2147.2199999999998</v>
          </cell>
          <cell r="K149">
            <v>-1434.72</v>
          </cell>
          <cell r="L149">
            <v>-1434.72</v>
          </cell>
          <cell r="M149">
            <v>-1434.72</v>
          </cell>
          <cell r="N149">
            <v>-1434.72</v>
          </cell>
          <cell r="O149">
            <v>-1344.09</v>
          </cell>
          <cell r="P149">
            <v>-80582.600000000006</v>
          </cell>
          <cell r="R149">
            <v>-60616.31</v>
          </cell>
          <cell r="S149">
            <v>-62763.53</v>
          </cell>
          <cell r="T149">
            <v>-64910.75</v>
          </cell>
          <cell r="U149">
            <v>-67057.97</v>
          </cell>
          <cell r="V149">
            <v>-69205.19</v>
          </cell>
          <cell r="W149">
            <v>-71352.41</v>
          </cell>
          <cell r="X149">
            <v>-73499.63</v>
          </cell>
          <cell r="Y149">
            <v>-74934.350000000006</v>
          </cell>
          <cell r="Z149">
            <v>-76369.070000000007</v>
          </cell>
          <cell r="AA149">
            <v>-77803.790000000008</v>
          </cell>
          <cell r="AB149">
            <v>-79238.510000000009</v>
          </cell>
          <cell r="AC149">
            <v>-80582.600000000006</v>
          </cell>
        </row>
        <row r="150">
          <cell r="A150">
            <v>102020201001</v>
          </cell>
          <cell r="B150" t="str">
            <v xml:space="preserve">(-) Amortizacion acumulada de activos intangibles                     </v>
          </cell>
          <cell r="C150">
            <v>-58469.09</v>
          </cell>
          <cell r="D150">
            <v>-2147.2199999999998</v>
          </cell>
          <cell r="E150">
            <v>-2147.2199999999998</v>
          </cell>
          <cell r="F150">
            <v>-2147.2199999999998</v>
          </cell>
          <cell r="G150">
            <v>-2147.2199999999998</v>
          </cell>
          <cell r="H150">
            <v>-2147.2199999999998</v>
          </cell>
          <cell r="I150">
            <v>-2147.2199999999998</v>
          </cell>
          <cell r="J150">
            <v>-2147.2199999999998</v>
          </cell>
          <cell r="K150">
            <v>-1434.72</v>
          </cell>
          <cell r="L150">
            <v>-1434.72</v>
          </cell>
          <cell r="M150">
            <v>-1434.72</v>
          </cell>
          <cell r="N150">
            <v>-1434.72</v>
          </cell>
          <cell r="O150">
            <v>-1344.09</v>
          </cell>
          <cell r="P150">
            <v>-80582.600000000006</v>
          </cell>
          <cell r="R150">
            <v>-60616.31</v>
          </cell>
          <cell r="S150">
            <v>-62763.53</v>
          </cell>
          <cell r="T150">
            <v>-64910.75</v>
          </cell>
          <cell r="U150">
            <v>-67057.97</v>
          </cell>
          <cell r="V150">
            <v>-69205.19</v>
          </cell>
          <cell r="W150">
            <v>-71352.41</v>
          </cell>
          <cell r="X150">
            <v>-73499.63</v>
          </cell>
          <cell r="Y150">
            <v>-74934.350000000006</v>
          </cell>
          <cell r="Z150">
            <v>-76369.070000000007</v>
          </cell>
          <cell r="AA150">
            <v>-77803.790000000008</v>
          </cell>
          <cell r="AB150">
            <v>-79238.510000000009</v>
          </cell>
          <cell r="AC150">
            <v>-80582.600000000006</v>
          </cell>
        </row>
        <row r="151">
          <cell r="A151">
            <v>104</v>
          </cell>
          <cell r="B151" t="str">
            <v xml:space="preserve">ACTIVOS POR IMPUESTOS DIFERIDOS                                       </v>
          </cell>
          <cell r="C151">
            <v>50019.4</v>
          </cell>
          <cell r="D151">
            <v>0</v>
          </cell>
          <cell r="E151">
            <v>0</v>
          </cell>
          <cell r="F151">
            <v>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-11310.59</v>
          </cell>
          <cell r="P151">
            <v>38708.81</v>
          </cell>
          <cell r="R151">
            <v>50019.4</v>
          </cell>
          <cell r="S151">
            <v>50019.4</v>
          </cell>
          <cell r="T151">
            <v>50019.4</v>
          </cell>
          <cell r="U151">
            <v>50019.4</v>
          </cell>
          <cell r="V151">
            <v>50019.4</v>
          </cell>
          <cell r="W151">
            <v>50019.4</v>
          </cell>
          <cell r="X151">
            <v>50019.4</v>
          </cell>
          <cell r="Y151">
            <v>50019.4</v>
          </cell>
          <cell r="Z151">
            <v>50019.4</v>
          </cell>
          <cell r="AA151">
            <v>50019.4</v>
          </cell>
          <cell r="AB151">
            <v>50019.4</v>
          </cell>
          <cell r="AC151">
            <v>38708.81</v>
          </cell>
        </row>
        <row r="152">
          <cell r="A152">
            <v>10401</v>
          </cell>
          <cell r="B152" t="str">
            <v xml:space="preserve">ACTIVOS POR IMPUESTOS DIFERIDOS                                       </v>
          </cell>
          <cell r="C152">
            <v>50019.4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O152">
            <v>-11310.59</v>
          </cell>
          <cell r="P152">
            <v>38708.81</v>
          </cell>
          <cell r="R152">
            <v>50019.4</v>
          </cell>
          <cell r="S152">
            <v>50019.4</v>
          </cell>
          <cell r="T152">
            <v>50019.4</v>
          </cell>
          <cell r="U152">
            <v>50019.4</v>
          </cell>
          <cell r="V152">
            <v>50019.4</v>
          </cell>
          <cell r="W152">
            <v>50019.4</v>
          </cell>
          <cell r="X152">
            <v>50019.4</v>
          </cell>
          <cell r="Y152">
            <v>50019.4</v>
          </cell>
          <cell r="Z152">
            <v>50019.4</v>
          </cell>
          <cell r="AA152">
            <v>50019.4</v>
          </cell>
          <cell r="AB152">
            <v>50019.4</v>
          </cell>
          <cell r="AC152">
            <v>38708.81</v>
          </cell>
        </row>
        <row r="153">
          <cell r="A153">
            <v>1040101</v>
          </cell>
          <cell r="B153" t="str">
            <v xml:space="preserve">ACTIVOS POR IMPUESTOS DIFERIDOS                                       </v>
          </cell>
          <cell r="C153">
            <v>50019.4</v>
          </cell>
          <cell r="D153">
            <v>0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-11310.59</v>
          </cell>
          <cell r="P153">
            <v>38708.81</v>
          </cell>
          <cell r="R153">
            <v>50019.4</v>
          </cell>
          <cell r="S153">
            <v>50019.4</v>
          </cell>
          <cell r="T153">
            <v>50019.4</v>
          </cell>
          <cell r="U153">
            <v>50019.4</v>
          </cell>
          <cell r="V153">
            <v>50019.4</v>
          </cell>
          <cell r="W153">
            <v>50019.4</v>
          </cell>
          <cell r="X153">
            <v>50019.4</v>
          </cell>
          <cell r="Y153">
            <v>50019.4</v>
          </cell>
          <cell r="Z153">
            <v>50019.4</v>
          </cell>
          <cell r="AA153">
            <v>50019.4</v>
          </cell>
          <cell r="AB153">
            <v>50019.4</v>
          </cell>
          <cell r="AC153">
            <v>38708.81</v>
          </cell>
        </row>
        <row r="154">
          <cell r="A154">
            <v>104010101</v>
          </cell>
          <cell r="B154" t="str">
            <v xml:space="preserve">ACTIVOS POR IMPUESTOS DIFERIDOS                                       </v>
          </cell>
          <cell r="C154">
            <v>50019.4</v>
          </cell>
          <cell r="D154">
            <v>0</v>
          </cell>
          <cell r="E154">
            <v>0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-11310.59</v>
          </cell>
          <cell r="P154">
            <v>38708.81</v>
          </cell>
          <cell r="R154">
            <v>50019.4</v>
          </cell>
          <cell r="S154">
            <v>50019.4</v>
          </cell>
          <cell r="T154">
            <v>50019.4</v>
          </cell>
          <cell r="U154">
            <v>50019.4</v>
          </cell>
          <cell r="V154">
            <v>50019.4</v>
          </cell>
          <cell r="W154">
            <v>50019.4</v>
          </cell>
          <cell r="X154">
            <v>50019.4</v>
          </cell>
          <cell r="Y154">
            <v>50019.4</v>
          </cell>
          <cell r="Z154">
            <v>50019.4</v>
          </cell>
          <cell r="AA154">
            <v>50019.4</v>
          </cell>
          <cell r="AB154">
            <v>50019.4</v>
          </cell>
          <cell r="AC154">
            <v>38708.81</v>
          </cell>
        </row>
        <row r="155">
          <cell r="A155">
            <v>104010101001</v>
          </cell>
          <cell r="B155" t="str">
            <v xml:space="preserve">Por Diferencias Temporales                                            </v>
          </cell>
          <cell r="C155">
            <v>50019.4</v>
          </cell>
          <cell r="D155">
            <v>0</v>
          </cell>
          <cell r="E155">
            <v>0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O155">
            <v>-11310.59</v>
          </cell>
          <cell r="P155">
            <v>38708.81</v>
          </cell>
          <cell r="R155">
            <v>50019.4</v>
          </cell>
          <cell r="S155">
            <v>50019.4</v>
          </cell>
          <cell r="T155">
            <v>50019.4</v>
          </cell>
          <cell r="U155">
            <v>50019.4</v>
          </cell>
          <cell r="V155">
            <v>50019.4</v>
          </cell>
          <cell r="W155">
            <v>50019.4</v>
          </cell>
          <cell r="X155">
            <v>50019.4</v>
          </cell>
          <cell r="Y155">
            <v>50019.4</v>
          </cell>
          <cell r="Z155">
            <v>50019.4</v>
          </cell>
          <cell r="AA155">
            <v>50019.4</v>
          </cell>
          <cell r="AB155">
            <v>50019.4</v>
          </cell>
          <cell r="AC155">
            <v>38708.81</v>
          </cell>
        </row>
        <row r="156">
          <cell r="A156">
            <v>2</v>
          </cell>
          <cell r="B156" t="str">
            <v xml:space="preserve">PASIVO                                                                </v>
          </cell>
          <cell r="C156">
            <v>10360778.32</v>
          </cell>
          <cell r="D156">
            <v>-1098114.95</v>
          </cell>
          <cell r="E156">
            <v>-303037.17</v>
          </cell>
          <cell r="F156">
            <v>984746.05</v>
          </cell>
          <cell r="G156">
            <v>-861405.19</v>
          </cell>
          <cell r="H156">
            <v>-839223.79</v>
          </cell>
          <cell r="I156">
            <v>1326118.6200000001</v>
          </cell>
          <cell r="J156">
            <v>2482792.88</v>
          </cell>
          <cell r="K156">
            <v>116112.09</v>
          </cell>
          <cell r="L156">
            <v>-1757563.58</v>
          </cell>
          <cell r="M156">
            <v>-1169482.7</v>
          </cell>
          <cell r="N156">
            <v>-321628.96000000002</v>
          </cell>
          <cell r="O156">
            <v>-485777.95</v>
          </cell>
          <cell r="P156">
            <v>8434313.6699999999</v>
          </cell>
          <cell r="R156">
            <v>9262663.370000001</v>
          </cell>
          <cell r="S156">
            <v>8959626.2000000011</v>
          </cell>
          <cell r="T156">
            <v>9944372.2500000019</v>
          </cell>
          <cell r="U156">
            <v>9082967.0600000024</v>
          </cell>
          <cell r="V156">
            <v>8243743.2700000023</v>
          </cell>
          <cell r="W156">
            <v>9569861.8900000025</v>
          </cell>
          <cell r="X156">
            <v>12052654.770000003</v>
          </cell>
          <cell r="Y156">
            <v>12168766.860000003</v>
          </cell>
          <cell r="Z156">
            <v>10411203.280000003</v>
          </cell>
          <cell r="AA156">
            <v>9241720.5800000038</v>
          </cell>
          <cell r="AB156">
            <v>8920091.6200000029</v>
          </cell>
          <cell r="AC156">
            <v>8434313.6700000037</v>
          </cell>
        </row>
        <row r="157">
          <cell r="A157">
            <v>201</v>
          </cell>
          <cell r="B157" t="str">
            <v xml:space="preserve">PASIVO CORRIENTE                                                      </v>
          </cell>
          <cell r="C157">
            <v>7778155.1399999997</v>
          </cell>
          <cell r="D157">
            <v>-735841.08</v>
          </cell>
          <cell r="E157">
            <v>-34640.230000000003</v>
          </cell>
          <cell r="F157">
            <v>1005584.18</v>
          </cell>
          <cell r="G157">
            <v>-853545.73</v>
          </cell>
          <cell r="H157">
            <v>-703189.38</v>
          </cell>
          <cell r="I157">
            <v>1621136.42</v>
          </cell>
          <cell r="J157">
            <v>3079313.37</v>
          </cell>
          <cell r="K157">
            <v>235886.8</v>
          </cell>
          <cell r="L157">
            <v>-1764878.58</v>
          </cell>
          <cell r="M157">
            <v>-1176726.1499999999</v>
          </cell>
          <cell r="N157">
            <v>-327893.17</v>
          </cell>
          <cell r="O157">
            <v>-441098.38</v>
          </cell>
          <cell r="P157">
            <v>7682263.21</v>
          </cell>
          <cell r="R157">
            <v>7042314.0599999996</v>
          </cell>
          <cell r="S157">
            <v>7007673.8299999991</v>
          </cell>
          <cell r="T157">
            <v>8013258.0099999988</v>
          </cell>
          <cell r="U157">
            <v>7159712.2799999993</v>
          </cell>
          <cell r="V157">
            <v>6456522.8999999994</v>
          </cell>
          <cell r="W157">
            <v>8077659.3199999994</v>
          </cell>
          <cell r="X157">
            <v>11156972.689999999</v>
          </cell>
          <cell r="Y157">
            <v>11392859.49</v>
          </cell>
          <cell r="Z157">
            <v>9627980.9100000001</v>
          </cell>
          <cell r="AA157">
            <v>8451254.7599999998</v>
          </cell>
          <cell r="AB157">
            <v>8123361.5899999999</v>
          </cell>
          <cell r="AC157">
            <v>7682263.21</v>
          </cell>
        </row>
        <row r="158">
          <cell r="A158">
            <v>20103</v>
          </cell>
          <cell r="B158" t="str">
            <v xml:space="preserve">CUENTAS Y DOCUMENTOS POR PAGAR                                        </v>
          </cell>
          <cell r="C158">
            <v>6612032.1399999997</v>
          </cell>
          <cell r="D158">
            <v>-421226.51</v>
          </cell>
          <cell r="E158">
            <v>-148018.73000000001</v>
          </cell>
          <cell r="F158">
            <v>931225.74</v>
          </cell>
          <cell r="G158">
            <v>-551525.59</v>
          </cell>
          <cell r="H158">
            <v>-618174</v>
          </cell>
          <cell r="I158">
            <v>1547122.45</v>
          </cell>
          <cell r="J158">
            <v>3263246.8</v>
          </cell>
          <cell r="K158">
            <v>400513.04</v>
          </cell>
          <cell r="L158">
            <v>-1875435.66</v>
          </cell>
          <cell r="M158">
            <v>-1129674.7</v>
          </cell>
          <cell r="N158">
            <v>-380935.9</v>
          </cell>
          <cell r="O158">
            <v>-430753.32</v>
          </cell>
          <cell r="P158">
            <v>7198395.7599999998</v>
          </cell>
          <cell r="R158">
            <v>6190805.6299999999</v>
          </cell>
          <cell r="S158">
            <v>6042786.8999999994</v>
          </cell>
          <cell r="T158">
            <v>6974012.6399999997</v>
          </cell>
          <cell r="U158">
            <v>6422487.0499999998</v>
          </cell>
          <cell r="V158">
            <v>5804313.0499999998</v>
          </cell>
          <cell r="W158">
            <v>7351435.5</v>
          </cell>
          <cell r="X158">
            <v>10614682.300000001</v>
          </cell>
          <cell r="Y158">
            <v>11015195.34</v>
          </cell>
          <cell r="Z158">
            <v>9139759.6799999997</v>
          </cell>
          <cell r="AA158">
            <v>8010084.9799999995</v>
          </cell>
          <cell r="AB158">
            <v>7629149.0799999991</v>
          </cell>
          <cell r="AC158">
            <v>7198395.7599999988</v>
          </cell>
        </row>
        <row r="159">
          <cell r="A159">
            <v>2010301</v>
          </cell>
          <cell r="B159" t="str">
            <v xml:space="preserve">PROVEEDORES LOCALES                                                   </v>
          </cell>
          <cell r="C159">
            <v>1449633.72</v>
          </cell>
          <cell r="D159">
            <v>-225669.16</v>
          </cell>
          <cell r="E159">
            <v>117456.47</v>
          </cell>
          <cell r="F159">
            <v>96047.17</v>
          </cell>
          <cell r="G159">
            <v>-68730.149999999994</v>
          </cell>
          <cell r="H159">
            <v>42788.6</v>
          </cell>
          <cell r="I159">
            <v>-148603.94</v>
          </cell>
          <cell r="J159">
            <v>-93483.79</v>
          </cell>
          <cell r="K159">
            <v>4521.5600000000004</v>
          </cell>
          <cell r="L159">
            <v>316817.59999999998</v>
          </cell>
          <cell r="M159">
            <v>-76043.320000000007</v>
          </cell>
          <cell r="N159">
            <v>6035.72</v>
          </cell>
          <cell r="O159">
            <v>-414608.93</v>
          </cell>
          <cell r="P159">
            <v>1006161.55</v>
          </cell>
          <cell r="R159">
            <v>1223964.56</v>
          </cell>
          <cell r="S159">
            <v>1341421.03</v>
          </cell>
          <cell r="T159">
            <v>1437468.2</v>
          </cell>
          <cell r="U159">
            <v>1368738.05</v>
          </cell>
          <cell r="V159">
            <v>1411526.6500000001</v>
          </cell>
          <cell r="W159">
            <v>1262922.7100000002</v>
          </cell>
          <cell r="X159">
            <v>1169438.9200000002</v>
          </cell>
          <cell r="Y159">
            <v>1173960.4800000002</v>
          </cell>
          <cell r="Z159">
            <v>1490778.08</v>
          </cell>
          <cell r="AA159">
            <v>1414734.76</v>
          </cell>
          <cell r="AB159">
            <v>1420770.48</v>
          </cell>
          <cell r="AC159">
            <v>1006161.55</v>
          </cell>
        </row>
        <row r="160">
          <cell r="A160">
            <v>201030101</v>
          </cell>
          <cell r="B160" t="str">
            <v xml:space="preserve">PROVEEDORES LOCALES                                                   </v>
          </cell>
          <cell r="C160">
            <v>1449633.72</v>
          </cell>
          <cell r="D160">
            <v>-225669.16</v>
          </cell>
          <cell r="E160">
            <v>117456.47</v>
          </cell>
          <cell r="F160">
            <v>96047.17</v>
          </cell>
          <cell r="G160">
            <v>-68730.149999999994</v>
          </cell>
          <cell r="H160">
            <v>42788.6</v>
          </cell>
          <cell r="I160">
            <v>-148603.94</v>
          </cell>
          <cell r="J160">
            <v>-93483.79</v>
          </cell>
          <cell r="K160">
            <v>4521.5600000000004</v>
          </cell>
          <cell r="L160">
            <v>316817.59999999998</v>
          </cell>
          <cell r="M160">
            <v>-76043.320000000007</v>
          </cell>
          <cell r="N160">
            <v>6035.72</v>
          </cell>
          <cell r="O160">
            <v>-414608.93</v>
          </cell>
          <cell r="P160">
            <v>1006161.55</v>
          </cell>
          <cell r="R160">
            <v>1223964.56</v>
          </cell>
          <cell r="S160">
            <v>1341421.03</v>
          </cell>
          <cell r="T160">
            <v>1437468.2</v>
          </cell>
          <cell r="U160">
            <v>1368738.05</v>
          </cell>
          <cell r="V160">
            <v>1411526.6500000001</v>
          </cell>
          <cell r="W160">
            <v>1262922.7100000002</v>
          </cell>
          <cell r="X160">
            <v>1169438.9200000002</v>
          </cell>
          <cell r="Y160">
            <v>1173960.4800000002</v>
          </cell>
          <cell r="Z160">
            <v>1490778.08</v>
          </cell>
          <cell r="AA160">
            <v>1414734.76</v>
          </cell>
          <cell r="AB160">
            <v>1420770.48</v>
          </cell>
          <cell r="AC160">
            <v>1006161.55</v>
          </cell>
        </row>
        <row r="161">
          <cell r="A161">
            <v>201030101001</v>
          </cell>
          <cell r="B161" t="str">
            <v xml:space="preserve">Proveedores de Bienes   Locales                                       </v>
          </cell>
          <cell r="C161">
            <v>618888.69999999995</v>
          </cell>
          <cell r="D161">
            <v>-117232.5</v>
          </cell>
          <cell r="E161">
            <v>97578.91</v>
          </cell>
          <cell r="F161">
            <v>82494</v>
          </cell>
          <cell r="G161">
            <v>-68192.850000000006</v>
          </cell>
          <cell r="H161">
            <v>8616.91</v>
          </cell>
          <cell r="I161">
            <v>-174248.51</v>
          </cell>
          <cell r="J161">
            <v>-29413.41</v>
          </cell>
          <cell r="K161">
            <v>36706.910000000003</v>
          </cell>
          <cell r="L161">
            <v>239927.15</v>
          </cell>
          <cell r="M161">
            <v>-13458.83</v>
          </cell>
          <cell r="N161">
            <v>-82927.78</v>
          </cell>
          <cell r="O161">
            <v>-29148.799999999999</v>
          </cell>
          <cell r="P161">
            <v>569589.9</v>
          </cell>
          <cell r="R161">
            <v>501656.19999999995</v>
          </cell>
          <cell r="S161">
            <v>599235.11</v>
          </cell>
          <cell r="T161">
            <v>681729.11</v>
          </cell>
          <cell r="U161">
            <v>613536.26</v>
          </cell>
          <cell r="V161">
            <v>622153.17000000004</v>
          </cell>
          <cell r="W161">
            <v>447904.66000000003</v>
          </cell>
          <cell r="X161">
            <v>418491.25000000006</v>
          </cell>
          <cell r="Y161">
            <v>455198.16000000003</v>
          </cell>
          <cell r="Z161">
            <v>695125.31</v>
          </cell>
          <cell r="AA161">
            <v>681666.4800000001</v>
          </cell>
          <cell r="AB161">
            <v>598738.70000000007</v>
          </cell>
          <cell r="AC161">
            <v>569589.9</v>
          </cell>
        </row>
        <row r="162">
          <cell r="A162">
            <v>201030101002</v>
          </cell>
          <cell r="B162" t="str">
            <v xml:space="preserve">Proveedores de Servicios  Locales                                     </v>
          </cell>
          <cell r="C162">
            <v>830745.02</v>
          </cell>
          <cell r="D162">
            <v>-108436.66</v>
          </cell>
          <cell r="E162">
            <v>19877.560000000001</v>
          </cell>
          <cell r="F162">
            <v>13553.17</v>
          </cell>
          <cell r="G162">
            <v>-537.29999999999995</v>
          </cell>
          <cell r="H162">
            <v>34171.69</v>
          </cell>
          <cell r="I162">
            <v>25644.57</v>
          </cell>
          <cell r="J162">
            <v>-64070.38</v>
          </cell>
          <cell r="K162">
            <v>-32185.35</v>
          </cell>
          <cell r="L162">
            <v>76890.45</v>
          </cell>
          <cell r="M162">
            <v>-62584.49</v>
          </cell>
          <cell r="N162">
            <v>88963.5</v>
          </cell>
          <cell r="O162">
            <v>-385460.13</v>
          </cell>
          <cell r="P162">
            <v>436571.65</v>
          </cell>
          <cell r="R162">
            <v>722308.36</v>
          </cell>
          <cell r="S162">
            <v>742185.92</v>
          </cell>
          <cell r="T162">
            <v>755739.09000000008</v>
          </cell>
          <cell r="U162">
            <v>755201.79</v>
          </cell>
          <cell r="V162">
            <v>789373.48</v>
          </cell>
          <cell r="W162">
            <v>815018.04999999993</v>
          </cell>
          <cell r="X162">
            <v>750947.66999999993</v>
          </cell>
          <cell r="Y162">
            <v>718762.32</v>
          </cell>
          <cell r="Z162">
            <v>795652.7699999999</v>
          </cell>
          <cell r="AA162">
            <v>733068.27999999991</v>
          </cell>
          <cell r="AB162">
            <v>822031.77999999991</v>
          </cell>
          <cell r="AC162">
            <v>436571.64999999991</v>
          </cell>
        </row>
        <row r="163">
          <cell r="A163">
            <v>2010302</v>
          </cell>
          <cell r="B163" t="str">
            <v xml:space="preserve">PROVEEDORES DEL EXTERIOR                                              </v>
          </cell>
          <cell r="C163">
            <v>3898437.94</v>
          </cell>
          <cell r="D163">
            <v>-396708.28</v>
          </cell>
          <cell r="E163">
            <v>-575478.89</v>
          </cell>
          <cell r="F163">
            <v>985663.91</v>
          </cell>
          <cell r="G163">
            <v>-660537.93000000005</v>
          </cell>
          <cell r="H163">
            <v>-752810.71</v>
          </cell>
          <cell r="I163">
            <v>1301901.3600000001</v>
          </cell>
          <cell r="J163">
            <v>2915676.58</v>
          </cell>
          <cell r="K163">
            <v>-43793.37</v>
          </cell>
          <cell r="L163">
            <v>-1790518.61</v>
          </cell>
          <cell r="M163">
            <v>-1040563.46</v>
          </cell>
          <cell r="N163">
            <v>-447770.63</v>
          </cell>
          <cell r="O163">
            <v>-492528.91</v>
          </cell>
          <cell r="P163">
            <v>2900969</v>
          </cell>
          <cell r="R163">
            <v>3501729.66</v>
          </cell>
          <cell r="S163">
            <v>2926250.77</v>
          </cell>
          <cell r="T163">
            <v>3911914.68</v>
          </cell>
          <cell r="U163">
            <v>3251376.75</v>
          </cell>
          <cell r="V163">
            <v>2498566.04</v>
          </cell>
          <cell r="W163">
            <v>3800467.4000000004</v>
          </cell>
          <cell r="X163">
            <v>6716143.9800000004</v>
          </cell>
          <cell r="Y163">
            <v>6672350.6100000003</v>
          </cell>
          <cell r="Z163">
            <v>4881832</v>
          </cell>
          <cell r="AA163">
            <v>3841268.54</v>
          </cell>
          <cell r="AB163">
            <v>3393497.91</v>
          </cell>
          <cell r="AC163">
            <v>2900969</v>
          </cell>
        </row>
        <row r="164">
          <cell r="A164">
            <v>201030201</v>
          </cell>
          <cell r="B164" t="str">
            <v xml:space="preserve">PROVEEDORES DEL EXTERIOR                                              </v>
          </cell>
          <cell r="C164">
            <v>3898437.94</v>
          </cell>
          <cell r="D164">
            <v>-396708.28</v>
          </cell>
          <cell r="E164">
            <v>-575478.89</v>
          </cell>
          <cell r="F164">
            <v>985663.91</v>
          </cell>
          <cell r="G164">
            <v>-660537.93000000005</v>
          </cell>
          <cell r="H164">
            <v>-752810.71</v>
          </cell>
          <cell r="I164">
            <v>1301901.3600000001</v>
          </cell>
          <cell r="J164">
            <v>2915676.58</v>
          </cell>
          <cell r="K164">
            <v>-43793.37</v>
          </cell>
          <cell r="L164">
            <v>-1790518.61</v>
          </cell>
          <cell r="M164">
            <v>-1040563.46</v>
          </cell>
          <cell r="N164">
            <v>-447770.63</v>
          </cell>
          <cell r="O164">
            <v>-492528.91</v>
          </cell>
          <cell r="P164">
            <v>2900969</v>
          </cell>
          <cell r="R164">
            <v>3501729.66</v>
          </cell>
          <cell r="S164">
            <v>2926250.77</v>
          </cell>
          <cell r="T164">
            <v>3911914.68</v>
          </cell>
          <cell r="U164">
            <v>3251376.75</v>
          </cell>
          <cell r="V164">
            <v>2498566.04</v>
          </cell>
          <cell r="W164">
            <v>3800467.4000000004</v>
          </cell>
          <cell r="X164">
            <v>6716143.9800000004</v>
          </cell>
          <cell r="Y164">
            <v>6672350.6100000003</v>
          </cell>
          <cell r="Z164">
            <v>4881832</v>
          </cell>
          <cell r="AA164">
            <v>3841268.54</v>
          </cell>
          <cell r="AB164">
            <v>3393497.91</v>
          </cell>
          <cell r="AC164">
            <v>2900969</v>
          </cell>
        </row>
        <row r="165">
          <cell r="A165">
            <v>201030201001</v>
          </cell>
          <cell r="B165" t="str">
            <v xml:space="preserve">Proveedores de Bienes del Exterior                                    </v>
          </cell>
          <cell r="C165">
            <v>3890437.94</v>
          </cell>
          <cell r="D165">
            <v>-396708.28</v>
          </cell>
          <cell r="E165">
            <v>-575478.89</v>
          </cell>
          <cell r="F165">
            <v>985663.91</v>
          </cell>
          <cell r="G165">
            <v>-660537.93000000005</v>
          </cell>
          <cell r="H165">
            <v>-752810.71</v>
          </cell>
          <cell r="I165">
            <v>1301901.3600000001</v>
          </cell>
          <cell r="J165">
            <v>2915676.58</v>
          </cell>
          <cell r="K165">
            <v>-43793.37</v>
          </cell>
          <cell r="L165">
            <v>-1790518.61</v>
          </cell>
          <cell r="M165">
            <v>-1040563.46</v>
          </cell>
          <cell r="N165">
            <v>-447770.63</v>
          </cell>
          <cell r="O165">
            <v>-492528.91</v>
          </cell>
          <cell r="P165">
            <v>2892969</v>
          </cell>
          <cell r="R165">
            <v>3493729.66</v>
          </cell>
          <cell r="S165">
            <v>2918250.77</v>
          </cell>
          <cell r="T165">
            <v>3903914.68</v>
          </cell>
          <cell r="U165">
            <v>3243376.75</v>
          </cell>
          <cell r="V165">
            <v>2490566.04</v>
          </cell>
          <cell r="W165">
            <v>3792467.4000000004</v>
          </cell>
          <cell r="X165">
            <v>6708143.9800000004</v>
          </cell>
          <cell r="Y165">
            <v>6664350.6100000003</v>
          </cell>
          <cell r="Z165">
            <v>4873832</v>
          </cell>
          <cell r="AA165">
            <v>3833268.54</v>
          </cell>
          <cell r="AB165">
            <v>3385497.91</v>
          </cell>
          <cell r="AC165">
            <v>2892969</v>
          </cell>
        </row>
        <row r="166">
          <cell r="A166">
            <v>201030201002</v>
          </cell>
          <cell r="B166" t="str">
            <v xml:space="preserve">Proveedores de Servicios del Exterior                                 </v>
          </cell>
          <cell r="C166">
            <v>8000</v>
          </cell>
          <cell r="D166">
            <v>0</v>
          </cell>
          <cell r="E166">
            <v>0</v>
          </cell>
          <cell r="F166">
            <v>0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8000</v>
          </cell>
          <cell r="R166">
            <v>8000</v>
          </cell>
          <cell r="S166">
            <v>8000</v>
          </cell>
          <cell r="T166">
            <v>8000</v>
          </cell>
          <cell r="U166">
            <v>8000</v>
          </cell>
          <cell r="V166">
            <v>8000</v>
          </cell>
          <cell r="W166">
            <v>8000</v>
          </cell>
          <cell r="X166">
            <v>8000</v>
          </cell>
          <cell r="Y166">
            <v>8000</v>
          </cell>
          <cell r="Z166">
            <v>8000</v>
          </cell>
          <cell r="AA166">
            <v>8000</v>
          </cell>
          <cell r="AB166">
            <v>8000</v>
          </cell>
          <cell r="AC166">
            <v>8000</v>
          </cell>
        </row>
        <row r="167">
          <cell r="A167">
            <v>2010304</v>
          </cell>
          <cell r="B167" t="str">
            <v xml:space="preserve">OTRAS CUENTAS POR PAGAR                                               </v>
          </cell>
          <cell r="C167">
            <v>1263960.48</v>
          </cell>
          <cell r="D167">
            <v>201150.93</v>
          </cell>
          <cell r="E167">
            <v>310003.69</v>
          </cell>
          <cell r="F167">
            <v>-150485.34</v>
          </cell>
          <cell r="G167">
            <v>177742.49</v>
          </cell>
          <cell r="H167">
            <v>91848.11</v>
          </cell>
          <cell r="I167">
            <v>393825.03</v>
          </cell>
          <cell r="J167">
            <v>441054.01</v>
          </cell>
          <cell r="K167">
            <v>439784.85</v>
          </cell>
          <cell r="L167">
            <v>-401734.65</v>
          </cell>
          <cell r="M167">
            <v>-13067.92</v>
          </cell>
          <cell r="N167">
            <v>60799.01</v>
          </cell>
          <cell r="O167">
            <v>476384.52</v>
          </cell>
          <cell r="P167">
            <v>3291265.21</v>
          </cell>
          <cell r="R167">
            <v>1465111.41</v>
          </cell>
          <cell r="S167">
            <v>1775115.0999999999</v>
          </cell>
          <cell r="T167">
            <v>1624629.7599999998</v>
          </cell>
          <cell r="U167">
            <v>1802372.2499999998</v>
          </cell>
          <cell r="V167">
            <v>1894220.3599999999</v>
          </cell>
          <cell r="W167">
            <v>2288045.3899999997</v>
          </cell>
          <cell r="X167">
            <v>2729099.3999999994</v>
          </cell>
          <cell r="Y167">
            <v>3168884.2499999995</v>
          </cell>
          <cell r="Z167">
            <v>2767149.5999999996</v>
          </cell>
          <cell r="AA167">
            <v>2754081.6799999997</v>
          </cell>
          <cell r="AB167">
            <v>2814880.6899999995</v>
          </cell>
          <cell r="AC167">
            <v>3291265.2099999995</v>
          </cell>
        </row>
        <row r="168">
          <cell r="A168">
            <v>201030401</v>
          </cell>
          <cell r="B168" t="str">
            <v xml:space="preserve">OTRAS CUENTAS POR PAGAR                                               </v>
          </cell>
          <cell r="C168">
            <v>1263960.48</v>
          </cell>
          <cell r="D168">
            <v>201150.93</v>
          </cell>
          <cell r="E168">
            <v>310003.69</v>
          </cell>
          <cell r="F168">
            <v>-150485.34</v>
          </cell>
          <cell r="G168">
            <v>177742.49</v>
          </cell>
          <cell r="H168">
            <v>91848.11</v>
          </cell>
          <cell r="I168">
            <v>393825.03</v>
          </cell>
          <cell r="J168">
            <v>441054.01</v>
          </cell>
          <cell r="K168">
            <v>439784.85</v>
          </cell>
          <cell r="L168">
            <v>-401734.65</v>
          </cell>
          <cell r="M168">
            <v>-13067.92</v>
          </cell>
          <cell r="N168">
            <v>60799.01</v>
          </cell>
          <cell r="O168">
            <v>476384.52</v>
          </cell>
          <cell r="P168">
            <v>3291265.21</v>
          </cell>
          <cell r="R168">
            <v>1465111.41</v>
          </cell>
          <cell r="S168">
            <v>1775115.0999999999</v>
          </cell>
          <cell r="T168">
            <v>1624629.7599999998</v>
          </cell>
          <cell r="U168">
            <v>1802372.2499999998</v>
          </cell>
          <cell r="V168">
            <v>1894220.3599999999</v>
          </cell>
          <cell r="W168">
            <v>2288045.3899999997</v>
          </cell>
          <cell r="X168">
            <v>2729099.3999999994</v>
          </cell>
          <cell r="Y168">
            <v>3168884.2499999995</v>
          </cell>
          <cell r="Z168">
            <v>2767149.5999999996</v>
          </cell>
          <cell r="AA168">
            <v>2754081.6799999997</v>
          </cell>
          <cell r="AB168">
            <v>2814880.6899999995</v>
          </cell>
          <cell r="AC168">
            <v>3291265.2099999995</v>
          </cell>
        </row>
        <row r="169">
          <cell r="A169">
            <v>201030401001</v>
          </cell>
          <cell r="B169" t="str">
            <v xml:space="preserve">Cuenta por Pagar American Express                                     </v>
          </cell>
          <cell r="C169">
            <v>20648.96</v>
          </cell>
          <cell r="D169">
            <v>-7105.94</v>
          </cell>
          <cell r="E169">
            <v>-10495.63</v>
          </cell>
          <cell r="F169">
            <v>-3136.83</v>
          </cell>
          <cell r="G169">
            <v>549.87</v>
          </cell>
          <cell r="H169">
            <v>-1534.57</v>
          </cell>
          <cell r="I169">
            <v>119.4</v>
          </cell>
          <cell r="J169">
            <v>25.56</v>
          </cell>
          <cell r="K169">
            <v>-225.16</v>
          </cell>
          <cell r="L169">
            <v>14891.1</v>
          </cell>
          <cell r="M169">
            <v>-2585.0700000000002</v>
          </cell>
          <cell r="N169">
            <v>3586.53</v>
          </cell>
          <cell r="O169">
            <v>6470.59</v>
          </cell>
          <cell r="P169">
            <v>21208.81</v>
          </cell>
          <cell r="R169">
            <v>13543.02</v>
          </cell>
          <cell r="S169">
            <v>3047.3900000000012</v>
          </cell>
          <cell r="T169">
            <v>-89.43999999999869</v>
          </cell>
          <cell r="U169">
            <v>460.43000000000131</v>
          </cell>
          <cell r="V169">
            <v>-1074.1399999999985</v>
          </cell>
          <cell r="W169">
            <v>-954.73999999999853</v>
          </cell>
          <cell r="X169">
            <v>-929.17999999999859</v>
          </cell>
          <cell r="Y169">
            <v>-1154.3399999999986</v>
          </cell>
          <cell r="Z169">
            <v>13736.760000000002</v>
          </cell>
          <cell r="AA169">
            <v>11151.690000000002</v>
          </cell>
          <cell r="AB169">
            <v>14738.220000000003</v>
          </cell>
          <cell r="AC169">
            <v>21208.810000000005</v>
          </cell>
        </row>
        <row r="170">
          <cell r="A170">
            <v>201030401002</v>
          </cell>
          <cell r="B170" t="str">
            <v xml:space="preserve">Reembolsos por Pagar                                                  </v>
          </cell>
          <cell r="C170">
            <v>1066.49</v>
          </cell>
          <cell r="D170">
            <v>640.9</v>
          </cell>
          <cell r="E170">
            <v>-42.26</v>
          </cell>
          <cell r="F170">
            <v>-1141.54</v>
          </cell>
          <cell r="G170">
            <v>5204.75</v>
          </cell>
          <cell r="H170">
            <v>-1919.84</v>
          </cell>
          <cell r="I170">
            <v>-2499.46</v>
          </cell>
          <cell r="J170">
            <v>2499.25</v>
          </cell>
          <cell r="K170">
            <v>-763.76</v>
          </cell>
          <cell r="L170">
            <v>175.97</v>
          </cell>
          <cell r="M170">
            <v>-240.22</v>
          </cell>
          <cell r="N170">
            <v>14.4</v>
          </cell>
          <cell r="O170">
            <v>-628.77</v>
          </cell>
          <cell r="P170">
            <v>2365.91</v>
          </cell>
          <cell r="R170">
            <v>1707.3899999999999</v>
          </cell>
          <cell r="S170">
            <v>1665.1299999999999</v>
          </cell>
          <cell r="T170">
            <v>523.58999999999992</v>
          </cell>
          <cell r="U170">
            <v>5728.34</v>
          </cell>
          <cell r="V170">
            <v>3808.5</v>
          </cell>
          <cell r="W170">
            <v>1309.04</v>
          </cell>
          <cell r="X170">
            <v>3808.29</v>
          </cell>
          <cell r="Y170">
            <v>3044.5299999999997</v>
          </cell>
          <cell r="Z170">
            <v>3220.4999999999995</v>
          </cell>
          <cell r="AA170">
            <v>2980.2799999999997</v>
          </cell>
          <cell r="AB170">
            <v>2994.68</v>
          </cell>
          <cell r="AC170">
            <v>2365.91</v>
          </cell>
        </row>
        <row r="171">
          <cell r="A171">
            <v>201030401003</v>
          </cell>
          <cell r="B171" t="str">
            <v xml:space="preserve">Otras cuentas por Pagar                                               </v>
          </cell>
          <cell r="C171">
            <v>1240356.02</v>
          </cell>
          <cell r="D171">
            <v>207933.07</v>
          </cell>
          <cell r="E171">
            <v>320889.18</v>
          </cell>
          <cell r="F171">
            <v>-145878.70000000001</v>
          </cell>
          <cell r="G171">
            <v>172807.66</v>
          </cell>
          <cell r="H171">
            <v>95304.05</v>
          </cell>
          <cell r="I171">
            <v>396068.89</v>
          </cell>
          <cell r="J171">
            <v>438478.48</v>
          </cell>
          <cell r="K171">
            <v>440711.62</v>
          </cell>
          <cell r="L171">
            <v>-417186.69</v>
          </cell>
          <cell r="M171">
            <v>-10485.83</v>
          </cell>
          <cell r="N171">
            <v>57307</v>
          </cell>
          <cell r="O171">
            <v>470620.79</v>
          </cell>
          <cell r="P171">
            <v>3266925.54</v>
          </cell>
          <cell r="R171">
            <v>1448289.09</v>
          </cell>
          <cell r="S171">
            <v>1769178.27</v>
          </cell>
          <cell r="T171">
            <v>1623299.57</v>
          </cell>
          <cell r="U171">
            <v>1796107.23</v>
          </cell>
          <cell r="V171">
            <v>1891411.28</v>
          </cell>
          <cell r="W171">
            <v>2287480.17</v>
          </cell>
          <cell r="X171">
            <v>2725958.65</v>
          </cell>
          <cell r="Y171">
            <v>3166670.27</v>
          </cell>
          <cell r="Z171">
            <v>2749483.58</v>
          </cell>
          <cell r="AA171">
            <v>2738997.75</v>
          </cell>
          <cell r="AB171">
            <v>2796304.75</v>
          </cell>
          <cell r="AC171">
            <v>3266925.54</v>
          </cell>
        </row>
        <row r="172">
          <cell r="A172">
            <v>201030401004</v>
          </cell>
          <cell r="B172" t="str">
            <v xml:space="preserve">Consignaciones recibidas por pagar                                    </v>
          </cell>
          <cell r="C172">
            <v>191.58</v>
          </cell>
          <cell r="D172">
            <v>-191.58</v>
          </cell>
          <cell r="E172">
            <v>0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  <cell r="P172">
            <v>0</v>
          </cell>
          <cell r="R172">
            <v>0</v>
          </cell>
          <cell r="S172">
            <v>0</v>
          </cell>
          <cell r="T172">
            <v>0</v>
          </cell>
          <cell r="U172">
            <v>0</v>
          </cell>
          <cell r="V172">
            <v>0</v>
          </cell>
          <cell r="W172">
            <v>0</v>
          </cell>
          <cell r="X172">
            <v>0</v>
          </cell>
          <cell r="Y172">
            <v>0</v>
          </cell>
          <cell r="Z172">
            <v>0</v>
          </cell>
          <cell r="AA172">
            <v>0</v>
          </cell>
          <cell r="AB172">
            <v>0</v>
          </cell>
          <cell r="AC172">
            <v>0</v>
          </cell>
        </row>
        <row r="173">
          <cell r="A173">
            <v>201030401005</v>
          </cell>
          <cell r="B173" t="str">
            <v xml:space="preserve">Cuenta por Pagar Diners Club                                          </v>
          </cell>
          <cell r="C173">
            <v>1697.43</v>
          </cell>
          <cell r="D173">
            <v>-125.52</v>
          </cell>
          <cell r="E173">
            <v>-347.6</v>
          </cell>
          <cell r="F173">
            <v>-328.27</v>
          </cell>
          <cell r="G173">
            <v>-819.79</v>
          </cell>
          <cell r="H173">
            <v>-1.53</v>
          </cell>
          <cell r="I173">
            <v>136.19999999999999</v>
          </cell>
          <cell r="J173">
            <v>50.72</v>
          </cell>
          <cell r="K173">
            <v>62.15</v>
          </cell>
          <cell r="L173">
            <v>384.97</v>
          </cell>
          <cell r="M173">
            <v>243.2</v>
          </cell>
          <cell r="N173">
            <v>-108.92</v>
          </cell>
          <cell r="O173">
            <v>-78.09</v>
          </cell>
          <cell r="P173">
            <v>764.95</v>
          </cell>
          <cell r="R173">
            <v>1571.91</v>
          </cell>
          <cell r="S173">
            <v>1224.31</v>
          </cell>
          <cell r="T173">
            <v>896.04</v>
          </cell>
          <cell r="U173">
            <v>76.25</v>
          </cell>
          <cell r="V173">
            <v>74.72</v>
          </cell>
          <cell r="W173">
            <v>210.92</v>
          </cell>
          <cell r="X173">
            <v>261.64</v>
          </cell>
          <cell r="Y173">
            <v>323.78999999999996</v>
          </cell>
          <cell r="Z173">
            <v>708.76</v>
          </cell>
          <cell r="AA173">
            <v>951.96</v>
          </cell>
          <cell r="AB173">
            <v>843.04000000000008</v>
          </cell>
          <cell r="AC173">
            <v>764.95</v>
          </cell>
        </row>
        <row r="174">
          <cell r="A174">
            <v>20104</v>
          </cell>
          <cell r="B174" t="str">
            <v xml:space="preserve">OBLIGACIONES CON INSTITUCIONES FINANCIERAS                            </v>
          </cell>
          <cell r="C174">
            <v>616504.99</v>
          </cell>
          <cell r="D174">
            <v>-307949.90999999997</v>
          </cell>
          <cell r="E174">
            <v>7441.09</v>
          </cell>
          <cell r="F174">
            <v>2615.12</v>
          </cell>
          <cell r="G174">
            <v>-71163.05</v>
          </cell>
          <cell r="H174">
            <v>-33344.400000000001</v>
          </cell>
          <cell r="I174">
            <v>13929.24</v>
          </cell>
          <cell r="J174">
            <v>-60369.77</v>
          </cell>
          <cell r="K174">
            <v>-167663.31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R174">
            <v>308555.08</v>
          </cell>
          <cell r="S174">
            <v>315996.17000000004</v>
          </cell>
          <cell r="T174">
            <v>318611.29000000004</v>
          </cell>
          <cell r="U174">
            <v>247448.24000000005</v>
          </cell>
          <cell r="V174">
            <v>214103.84000000005</v>
          </cell>
          <cell r="W174">
            <v>228033.08000000005</v>
          </cell>
          <cell r="X174">
            <v>167663.31000000006</v>
          </cell>
          <cell r="Y174">
            <v>0</v>
          </cell>
          <cell r="Z174">
            <v>0</v>
          </cell>
          <cell r="AA174">
            <v>0</v>
          </cell>
          <cell r="AB174">
            <v>0</v>
          </cell>
          <cell r="AC174">
            <v>0</v>
          </cell>
        </row>
        <row r="175">
          <cell r="A175">
            <v>2010401</v>
          </cell>
          <cell r="B175" t="str">
            <v xml:space="preserve">INSTITUCIONES FINANCIERAS LOCALES                                     </v>
          </cell>
          <cell r="C175">
            <v>616504.99</v>
          </cell>
          <cell r="D175">
            <v>-307949.90999999997</v>
          </cell>
          <cell r="E175">
            <v>7441.09</v>
          </cell>
          <cell r="F175">
            <v>2615.12</v>
          </cell>
          <cell r="G175">
            <v>-71163.05</v>
          </cell>
          <cell r="H175">
            <v>-33344.400000000001</v>
          </cell>
          <cell r="I175">
            <v>13929.24</v>
          </cell>
          <cell r="J175">
            <v>-60369.77</v>
          </cell>
          <cell r="K175">
            <v>-167663.31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R175">
            <v>308555.08</v>
          </cell>
          <cell r="S175">
            <v>315996.17000000004</v>
          </cell>
          <cell r="T175">
            <v>318611.29000000004</v>
          </cell>
          <cell r="U175">
            <v>247448.24000000005</v>
          </cell>
          <cell r="V175">
            <v>214103.84000000005</v>
          </cell>
          <cell r="W175">
            <v>228033.08000000005</v>
          </cell>
          <cell r="X175">
            <v>167663.31000000006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</row>
        <row r="176">
          <cell r="A176">
            <v>201040101</v>
          </cell>
          <cell r="B176" t="str">
            <v xml:space="preserve">INSTITUCIONES FINANCIERAS LOCALES                                     </v>
          </cell>
          <cell r="C176">
            <v>616504.99</v>
          </cell>
          <cell r="D176">
            <v>-307949.90999999997</v>
          </cell>
          <cell r="E176">
            <v>7441.09</v>
          </cell>
          <cell r="F176">
            <v>2615.12</v>
          </cell>
          <cell r="G176">
            <v>-71163.05</v>
          </cell>
          <cell r="H176">
            <v>-33344.400000000001</v>
          </cell>
          <cell r="I176">
            <v>13929.24</v>
          </cell>
          <cell r="J176">
            <v>-60369.77</v>
          </cell>
          <cell r="K176">
            <v>-167663.31</v>
          </cell>
          <cell r="L176">
            <v>0</v>
          </cell>
          <cell r="M176">
            <v>0</v>
          </cell>
          <cell r="N176">
            <v>0</v>
          </cell>
          <cell r="O176">
            <v>0</v>
          </cell>
          <cell r="P176">
            <v>0</v>
          </cell>
          <cell r="R176">
            <v>308555.08</v>
          </cell>
          <cell r="S176">
            <v>315996.17000000004</v>
          </cell>
          <cell r="T176">
            <v>318611.29000000004</v>
          </cell>
          <cell r="U176">
            <v>247448.24000000005</v>
          </cell>
          <cell r="V176">
            <v>214103.84000000005</v>
          </cell>
          <cell r="W176">
            <v>228033.08000000005</v>
          </cell>
          <cell r="X176">
            <v>167663.31000000006</v>
          </cell>
          <cell r="Y176">
            <v>0</v>
          </cell>
          <cell r="Z176">
            <v>0</v>
          </cell>
          <cell r="AA176">
            <v>0</v>
          </cell>
          <cell r="AB176">
            <v>0</v>
          </cell>
          <cell r="AC176">
            <v>0</v>
          </cell>
        </row>
        <row r="177">
          <cell r="A177">
            <v>201040101002</v>
          </cell>
          <cell r="B177" t="str">
            <v xml:space="preserve">Sobregiro Bancario                                                    </v>
          </cell>
          <cell r="C177">
            <v>6020.53</v>
          </cell>
          <cell r="D177">
            <v>-6020.53</v>
          </cell>
          <cell r="E177">
            <v>0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  <cell r="P177">
            <v>0</v>
          </cell>
          <cell r="R177">
            <v>0</v>
          </cell>
          <cell r="S177">
            <v>0</v>
          </cell>
          <cell r="T177">
            <v>0</v>
          </cell>
          <cell r="U177">
            <v>0</v>
          </cell>
          <cell r="V177">
            <v>0</v>
          </cell>
          <cell r="W177">
            <v>0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</row>
        <row r="178">
          <cell r="A178">
            <v>201040101005</v>
          </cell>
          <cell r="B178" t="str">
            <v xml:space="preserve">Prestamo Bancario - Bco. Procredit                                    </v>
          </cell>
          <cell r="C178">
            <v>601265.47</v>
          </cell>
          <cell r="D178">
            <v>-298489.07</v>
          </cell>
          <cell r="E178">
            <v>8746.66</v>
          </cell>
          <cell r="F178">
            <v>2357.0700000000002</v>
          </cell>
          <cell r="G178">
            <v>-68737.72</v>
          </cell>
          <cell r="H178">
            <v>-34512.769999999997</v>
          </cell>
          <cell r="I178">
            <v>15308.43</v>
          </cell>
          <cell r="J178">
            <v>-59450.93</v>
          </cell>
          <cell r="K178">
            <v>-166487.14000000001</v>
          </cell>
          <cell r="L178">
            <v>0</v>
          </cell>
          <cell r="M178">
            <v>0</v>
          </cell>
          <cell r="N178">
            <v>0</v>
          </cell>
          <cell r="O178">
            <v>0</v>
          </cell>
          <cell r="P178">
            <v>0</v>
          </cell>
          <cell r="R178">
            <v>302776.39999999997</v>
          </cell>
          <cell r="S178">
            <v>311523.05999999994</v>
          </cell>
          <cell r="T178">
            <v>313880.12999999995</v>
          </cell>
          <cell r="U178">
            <v>245142.40999999995</v>
          </cell>
          <cell r="V178">
            <v>210629.63999999996</v>
          </cell>
          <cell r="W178">
            <v>225938.06999999995</v>
          </cell>
          <cell r="X178">
            <v>166487.13999999996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</row>
        <row r="179">
          <cell r="A179">
            <v>201040101007</v>
          </cell>
          <cell r="B179" t="str">
            <v xml:space="preserve">Intereses por pagar Bco. Procredit                                    </v>
          </cell>
          <cell r="C179">
            <v>9218.99</v>
          </cell>
          <cell r="D179">
            <v>-3440.31</v>
          </cell>
          <cell r="E179">
            <v>-1305.57</v>
          </cell>
          <cell r="F179">
            <v>258.05</v>
          </cell>
          <cell r="G179">
            <v>-2425.33</v>
          </cell>
          <cell r="H179">
            <v>1168.3699999999999</v>
          </cell>
          <cell r="I179">
            <v>-1379.19</v>
          </cell>
          <cell r="J179">
            <v>-918.84</v>
          </cell>
          <cell r="K179">
            <v>-1176.17</v>
          </cell>
          <cell r="L179">
            <v>0</v>
          </cell>
          <cell r="M179">
            <v>0</v>
          </cell>
          <cell r="N179">
            <v>0</v>
          </cell>
          <cell r="O179">
            <v>0</v>
          </cell>
          <cell r="P179">
            <v>0</v>
          </cell>
          <cell r="R179">
            <v>5778.68</v>
          </cell>
          <cell r="S179">
            <v>4473.1100000000006</v>
          </cell>
          <cell r="T179">
            <v>4731.1600000000008</v>
          </cell>
          <cell r="U179">
            <v>2305.8300000000008</v>
          </cell>
          <cell r="V179">
            <v>3474.2000000000007</v>
          </cell>
          <cell r="W179">
            <v>2095.0100000000007</v>
          </cell>
          <cell r="X179">
            <v>1176.1700000000005</v>
          </cell>
          <cell r="Y179">
            <v>0</v>
          </cell>
          <cell r="Z179">
            <v>0</v>
          </cell>
          <cell r="AA179">
            <v>0</v>
          </cell>
          <cell r="AB179">
            <v>0</v>
          </cell>
          <cell r="AC179">
            <v>0</v>
          </cell>
        </row>
        <row r="180">
          <cell r="A180">
            <v>20105</v>
          </cell>
          <cell r="B180" t="str">
            <v xml:space="preserve">OTRAS OBLIGACIONES CORRIENTES                                         </v>
          </cell>
          <cell r="C180">
            <v>465715.59</v>
          </cell>
          <cell r="D180">
            <v>11168.82</v>
          </cell>
          <cell r="E180">
            <v>73040.350000000006</v>
          </cell>
          <cell r="F180">
            <v>-102848.75</v>
          </cell>
          <cell r="G180">
            <v>-233974.54</v>
          </cell>
          <cell r="H180">
            <v>80955.14</v>
          </cell>
          <cell r="I180">
            <v>-21006.38</v>
          </cell>
          <cell r="J180">
            <v>20380.84</v>
          </cell>
          <cell r="K180">
            <v>2460.7600000000002</v>
          </cell>
          <cell r="L180">
            <v>75108.38</v>
          </cell>
          <cell r="M180">
            <v>-6831.59</v>
          </cell>
          <cell r="N180">
            <v>11618.9</v>
          </cell>
          <cell r="O180">
            <v>9963.17</v>
          </cell>
          <cell r="P180">
            <v>385750.69</v>
          </cell>
          <cell r="R180">
            <v>476884.41000000003</v>
          </cell>
          <cell r="S180">
            <v>549924.76</v>
          </cell>
          <cell r="T180">
            <v>447076.01</v>
          </cell>
          <cell r="U180">
            <v>213101.47</v>
          </cell>
          <cell r="V180">
            <v>294056.61</v>
          </cell>
          <cell r="W180">
            <v>273050.23</v>
          </cell>
          <cell r="X180">
            <v>293431.07</v>
          </cell>
          <cell r="Y180">
            <v>295891.83</v>
          </cell>
          <cell r="Z180">
            <v>371000.21</v>
          </cell>
          <cell r="AA180">
            <v>364168.62</v>
          </cell>
          <cell r="AB180">
            <v>375787.52000000002</v>
          </cell>
          <cell r="AC180">
            <v>385750.69</v>
          </cell>
        </row>
        <row r="181">
          <cell r="A181">
            <v>2010501</v>
          </cell>
          <cell r="B181" t="str">
            <v xml:space="preserve">CON LA ADMINISTRACIÓN TRIBUTARIA                                      </v>
          </cell>
          <cell r="C181">
            <v>62830.15</v>
          </cell>
          <cell r="D181">
            <v>-3822.87</v>
          </cell>
          <cell r="E181">
            <v>4036.01</v>
          </cell>
          <cell r="F181">
            <v>-14293.86</v>
          </cell>
          <cell r="G181">
            <v>-31041.65</v>
          </cell>
          <cell r="H181">
            <v>3767.27</v>
          </cell>
          <cell r="I181">
            <v>10887</v>
          </cell>
          <cell r="J181">
            <v>6083.29</v>
          </cell>
          <cell r="K181">
            <v>-14891.28</v>
          </cell>
          <cell r="L181">
            <v>46502.65</v>
          </cell>
          <cell r="M181">
            <v>-11284.53</v>
          </cell>
          <cell r="N181">
            <v>-3992.54</v>
          </cell>
          <cell r="O181">
            <v>21004.15</v>
          </cell>
          <cell r="P181">
            <v>75783.789999999994</v>
          </cell>
          <cell r="R181">
            <v>59007.28</v>
          </cell>
          <cell r="S181">
            <v>63043.29</v>
          </cell>
          <cell r="T181">
            <v>48749.43</v>
          </cell>
          <cell r="U181">
            <v>17707.78</v>
          </cell>
          <cell r="V181">
            <v>21475.05</v>
          </cell>
          <cell r="W181">
            <v>32362.05</v>
          </cell>
          <cell r="X181">
            <v>38445.339999999997</v>
          </cell>
          <cell r="Y181">
            <v>23554.059999999998</v>
          </cell>
          <cell r="Z181">
            <v>70056.709999999992</v>
          </cell>
          <cell r="AA181">
            <v>58772.179999999993</v>
          </cell>
          <cell r="AB181">
            <v>54779.639999999992</v>
          </cell>
          <cell r="AC181">
            <v>75783.789999999994</v>
          </cell>
        </row>
        <row r="182">
          <cell r="A182">
            <v>201050102</v>
          </cell>
          <cell r="B182" t="str">
            <v xml:space="preserve">RETENCIONES EN LA FUENTE DEL IMPUESTO AL VALOR AGREGADO I.V.A.        </v>
          </cell>
          <cell r="C182">
            <v>62830.15</v>
          </cell>
          <cell r="D182">
            <v>-3822.87</v>
          </cell>
          <cell r="E182">
            <v>4036.01</v>
          </cell>
          <cell r="F182">
            <v>-14293.86</v>
          </cell>
          <cell r="G182">
            <v>-31041.65</v>
          </cell>
          <cell r="H182">
            <v>3767.27</v>
          </cell>
          <cell r="I182">
            <v>10887</v>
          </cell>
          <cell r="J182">
            <v>6083.29</v>
          </cell>
          <cell r="K182">
            <v>-14891.28</v>
          </cell>
          <cell r="L182">
            <v>46502.65</v>
          </cell>
          <cell r="M182">
            <v>-11284.53</v>
          </cell>
          <cell r="N182">
            <v>-3992.54</v>
          </cell>
          <cell r="O182">
            <v>21004.15</v>
          </cell>
          <cell r="P182">
            <v>75783.789999999994</v>
          </cell>
          <cell r="R182">
            <v>59007.28</v>
          </cell>
          <cell r="S182">
            <v>63043.29</v>
          </cell>
          <cell r="T182">
            <v>48749.43</v>
          </cell>
          <cell r="U182">
            <v>17707.78</v>
          </cell>
          <cell r="V182">
            <v>21475.05</v>
          </cell>
          <cell r="W182">
            <v>32362.05</v>
          </cell>
          <cell r="X182">
            <v>38445.339999999997</v>
          </cell>
          <cell r="Y182">
            <v>23554.059999999998</v>
          </cell>
          <cell r="Z182">
            <v>70056.709999999992</v>
          </cell>
          <cell r="AA182">
            <v>58772.179999999993</v>
          </cell>
          <cell r="AB182">
            <v>54779.639999999992</v>
          </cell>
          <cell r="AC182">
            <v>75783.789999999994</v>
          </cell>
        </row>
        <row r="183">
          <cell r="A183">
            <v>201050102006</v>
          </cell>
          <cell r="B183" t="str">
            <v xml:space="preserve">PAGO DE IMPUESTOS                                                     </v>
          </cell>
          <cell r="C183">
            <v>62830.15</v>
          </cell>
          <cell r="D183">
            <v>-3822.87</v>
          </cell>
          <cell r="E183">
            <v>4036.01</v>
          </cell>
          <cell r="F183">
            <v>-14293.86</v>
          </cell>
          <cell r="G183">
            <v>-31041.65</v>
          </cell>
          <cell r="H183">
            <v>3767.27</v>
          </cell>
          <cell r="I183">
            <v>10887</v>
          </cell>
          <cell r="J183">
            <v>6083.29</v>
          </cell>
          <cell r="K183">
            <v>-14891.28</v>
          </cell>
          <cell r="L183">
            <v>46502.65</v>
          </cell>
          <cell r="M183">
            <v>-11284.53</v>
          </cell>
          <cell r="N183">
            <v>-3992.54</v>
          </cell>
          <cell r="O183">
            <v>21004.15</v>
          </cell>
          <cell r="P183">
            <v>75783.789999999994</v>
          </cell>
          <cell r="R183">
            <v>59007.28</v>
          </cell>
          <cell r="S183">
            <v>63043.29</v>
          </cell>
          <cell r="T183">
            <v>48749.43</v>
          </cell>
          <cell r="U183">
            <v>17707.78</v>
          </cell>
          <cell r="V183">
            <v>21475.05</v>
          </cell>
          <cell r="W183">
            <v>32362.05</v>
          </cell>
          <cell r="X183">
            <v>38445.339999999997</v>
          </cell>
          <cell r="Y183">
            <v>23554.059999999998</v>
          </cell>
          <cell r="Z183">
            <v>70056.709999999992</v>
          </cell>
          <cell r="AA183">
            <v>58772.179999999993</v>
          </cell>
          <cell r="AB183">
            <v>54779.639999999992</v>
          </cell>
          <cell r="AC183">
            <v>75783.789999999994</v>
          </cell>
        </row>
        <row r="184">
          <cell r="A184">
            <v>2010503</v>
          </cell>
          <cell r="B184" t="str">
            <v xml:space="preserve">OBLIGACIONES CON EL IESS                                              </v>
          </cell>
          <cell r="C184">
            <v>40149</v>
          </cell>
          <cell r="D184">
            <v>1016.13</v>
          </cell>
          <cell r="E184">
            <v>350.12</v>
          </cell>
          <cell r="F184">
            <v>-1246.31</v>
          </cell>
          <cell r="G184">
            <v>-647.09</v>
          </cell>
          <cell r="H184">
            <v>2779.93</v>
          </cell>
          <cell r="I184">
            <v>-2040.52</v>
          </cell>
          <cell r="J184">
            <v>-623.83000000000004</v>
          </cell>
          <cell r="K184">
            <v>1108.4000000000001</v>
          </cell>
          <cell r="L184">
            <v>8543.99</v>
          </cell>
          <cell r="M184">
            <v>-8945.59</v>
          </cell>
          <cell r="N184">
            <v>2170.79</v>
          </cell>
          <cell r="O184">
            <v>-2911.67</v>
          </cell>
          <cell r="P184">
            <v>39703.35</v>
          </cell>
          <cell r="R184">
            <v>41165.129999999997</v>
          </cell>
          <cell r="S184">
            <v>41515.25</v>
          </cell>
          <cell r="T184">
            <v>40268.94</v>
          </cell>
          <cell r="U184">
            <v>39621.850000000006</v>
          </cell>
          <cell r="V184">
            <v>42401.780000000006</v>
          </cell>
          <cell r="W184">
            <v>40361.260000000009</v>
          </cell>
          <cell r="X184">
            <v>39737.430000000008</v>
          </cell>
          <cell r="Y184">
            <v>40845.830000000009</v>
          </cell>
          <cell r="Z184">
            <v>49389.820000000007</v>
          </cell>
          <cell r="AA184">
            <v>40444.23000000001</v>
          </cell>
          <cell r="AB184">
            <v>42615.020000000011</v>
          </cell>
          <cell r="AC184">
            <v>39703.350000000013</v>
          </cell>
        </row>
        <row r="185">
          <cell r="A185">
            <v>201050301</v>
          </cell>
          <cell r="B185" t="str">
            <v xml:space="preserve">OBLIGACIONES CORRIENTES CON EL IESS                                   </v>
          </cell>
          <cell r="C185">
            <v>40149</v>
          </cell>
          <cell r="D185">
            <v>1016.13</v>
          </cell>
          <cell r="E185">
            <v>350.12</v>
          </cell>
          <cell r="F185">
            <v>-1246.31</v>
          </cell>
          <cell r="G185">
            <v>-647.09</v>
          </cell>
          <cell r="H185">
            <v>2779.93</v>
          </cell>
          <cell r="I185">
            <v>-2040.52</v>
          </cell>
          <cell r="J185">
            <v>-623.83000000000004</v>
          </cell>
          <cell r="K185">
            <v>1108.4000000000001</v>
          </cell>
          <cell r="L185">
            <v>8543.99</v>
          </cell>
          <cell r="M185">
            <v>-8945.59</v>
          </cell>
          <cell r="N185">
            <v>2170.79</v>
          </cell>
          <cell r="O185">
            <v>-2911.67</v>
          </cell>
          <cell r="P185">
            <v>39703.35</v>
          </cell>
          <cell r="R185">
            <v>41165.129999999997</v>
          </cell>
          <cell r="S185">
            <v>41515.25</v>
          </cell>
          <cell r="T185">
            <v>40268.94</v>
          </cell>
          <cell r="U185">
            <v>39621.850000000006</v>
          </cell>
          <cell r="V185">
            <v>42401.780000000006</v>
          </cell>
          <cell r="W185">
            <v>40361.260000000009</v>
          </cell>
          <cell r="X185">
            <v>39737.430000000008</v>
          </cell>
          <cell r="Y185">
            <v>40845.830000000009</v>
          </cell>
          <cell r="Z185">
            <v>49389.820000000007</v>
          </cell>
          <cell r="AA185">
            <v>40444.23000000001</v>
          </cell>
          <cell r="AB185">
            <v>42615.020000000011</v>
          </cell>
          <cell r="AC185">
            <v>39703.350000000013</v>
          </cell>
        </row>
        <row r="186">
          <cell r="A186">
            <v>201050301001</v>
          </cell>
          <cell r="B186" t="str">
            <v xml:space="preserve">Aportes Individual por pagar                                          </v>
          </cell>
          <cell r="C186">
            <v>11441.24</v>
          </cell>
          <cell r="D186">
            <v>370.34</v>
          </cell>
          <cell r="E186">
            <v>61.17</v>
          </cell>
          <cell r="F186">
            <v>-644.07000000000005</v>
          </cell>
          <cell r="G186">
            <v>-859.74</v>
          </cell>
          <cell r="H186">
            <v>1028.77</v>
          </cell>
          <cell r="I186">
            <v>-405.43</v>
          </cell>
          <cell r="J186">
            <v>-274</v>
          </cell>
          <cell r="K186">
            <v>451.82</v>
          </cell>
          <cell r="L186">
            <v>2656.35</v>
          </cell>
          <cell r="M186">
            <v>-3099.33</v>
          </cell>
          <cell r="N186">
            <v>714.91</v>
          </cell>
          <cell r="O186">
            <v>-1220.1600000000001</v>
          </cell>
          <cell r="P186">
            <v>10221.870000000001</v>
          </cell>
          <cell r="R186">
            <v>11811.58</v>
          </cell>
          <cell r="S186">
            <v>11872.75</v>
          </cell>
          <cell r="T186">
            <v>11228.68</v>
          </cell>
          <cell r="U186">
            <v>10368.94</v>
          </cell>
          <cell r="V186">
            <v>11397.710000000001</v>
          </cell>
          <cell r="W186">
            <v>10992.28</v>
          </cell>
          <cell r="X186">
            <v>10718.28</v>
          </cell>
          <cell r="Y186">
            <v>11170.1</v>
          </cell>
          <cell r="Z186">
            <v>13826.45</v>
          </cell>
          <cell r="AA186">
            <v>10727.12</v>
          </cell>
          <cell r="AB186">
            <v>11442.03</v>
          </cell>
          <cell r="AC186">
            <v>10221.870000000001</v>
          </cell>
        </row>
        <row r="187">
          <cell r="A187">
            <v>201050301002</v>
          </cell>
          <cell r="B187" t="str">
            <v xml:space="preserve">Aporte Patronal por Pagar                                             </v>
          </cell>
          <cell r="C187">
            <v>14710.09</v>
          </cell>
          <cell r="D187">
            <v>476.31</v>
          </cell>
          <cell r="E187">
            <v>55.4</v>
          </cell>
          <cell r="F187">
            <v>-1020.18</v>
          </cell>
          <cell r="G187">
            <v>-901.8</v>
          </cell>
          <cell r="H187">
            <v>1334.44</v>
          </cell>
          <cell r="I187">
            <v>-521.27</v>
          </cell>
          <cell r="J187">
            <v>-291.27</v>
          </cell>
          <cell r="K187">
            <v>566.65</v>
          </cell>
          <cell r="L187">
            <v>3460.08</v>
          </cell>
          <cell r="M187">
            <v>-3935.64</v>
          </cell>
          <cell r="N187">
            <v>945.1</v>
          </cell>
          <cell r="O187">
            <v>-1472.61</v>
          </cell>
          <cell r="P187">
            <v>13405.3</v>
          </cell>
          <cell r="R187">
            <v>15186.4</v>
          </cell>
          <cell r="S187">
            <v>15241.8</v>
          </cell>
          <cell r="T187">
            <v>14221.619999999999</v>
          </cell>
          <cell r="U187">
            <v>13319.82</v>
          </cell>
          <cell r="V187">
            <v>14654.26</v>
          </cell>
          <cell r="W187">
            <v>14132.99</v>
          </cell>
          <cell r="X187">
            <v>13841.72</v>
          </cell>
          <cell r="Y187">
            <v>14408.369999999999</v>
          </cell>
          <cell r="Z187">
            <v>17868.449999999997</v>
          </cell>
          <cell r="AA187">
            <v>13932.809999999998</v>
          </cell>
          <cell r="AB187">
            <v>14877.909999999998</v>
          </cell>
          <cell r="AC187">
            <v>13405.299999999997</v>
          </cell>
        </row>
        <row r="188">
          <cell r="A188">
            <v>201050301003</v>
          </cell>
          <cell r="B188" t="str">
            <v xml:space="preserve">Fondos de Reserva IESS                                                </v>
          </cell>
          <cell r="C188">
            <v>3444.97</v>
          </cell>
          <cell r="D188">
            <v>63.07</v>
          </cell>
          <cell r="E188">
            <v>-8.09</v>
          </cell>
          <cell r="F188">
            <v>-244.09</v>
          </cell>
          <cell r="G188">
            <v>-369.99</v>
          </cell>
          <cell r="H188">
            <v>313.81</v>
          </cell>
          <cell r="I188">
            <v>-24.61</v>
          </cell>
          <cell r="J188">
            <v>-41.62</v>
          </cell>
          <cell r="K188">
            <v>147.31</v>
          </cell>
          <cell r="L188">
            <v>1364.39</v>
          </cell>
          <cell r="M188">
            <v>-1385.42</v>
          </cell>
          <cell r="N188">
            <v>240.92</v>
          </cell>
          <cell r="O188">
            <v>-230.08</v>
          </cell>
          <cell r="P188">
            <v>3270.57</v>
          </cell>
          <cell r="R188">
            <v>3508.04</v>
          </cell>
          <cell r="S188">
            <v>3499.95</v>
          </cell>
          <cell r="T188">
            <v>3255.8599999999997</v>
          </cell>
          <cell r="U188">
            <v>2885.87</v>
          </cell>
          <cell r="V188">
            <v>3199.68</v>
          </cell>
          <cell r="W188">
            <v>3175.0699999999997</v>
          </cell>
          <cell r="X188">
            <v>3133.45</v>
          </cell>
          <cell r="Y188">
            <v>3280.7599999999998</v>
          </cell>
          <cell r="Z188">
            <v>4645.1499999999996</v>
          </cell>
          <cell r="AA188">
            <v>3259.7299999999996</v>
          </cell>
          <cell r="AB188">
            <v>3500.6499999999996</v>
          </cell>
          <cell r="AC188">
            <v>3270.5699999999997</v>
          </cell>
        </row>
        <row r="189">
          <cell r="A189">
            <v>201050301004</v>
          </cell>
          <cell r="B189" t="str">
            <v xml:space="preserve">Prestamos Quirografarios                                              </v>
          </cell>
          <cell r="C189">
            <v>6168.36</v>
          </cell>
          <cell r="D189">
            <v>343.46</v>
          </cell>
          <cell r="E189">
            <v>346.6</v>
          </cell>
          <cell r="F189">
            <v>-1.68</v>
          </cell>
          <cell r="G189">
            <v>360.43</v>
          </cell>
          <cell r="H189">
            <v>-29.83</v>
          </cell>
          <cell r="I189">
            <v>-346.12</v>
          </cell>
          <cell r="J189">
            <v>300.12</v>
          </cell>
          <cell r="K189">
            <v>-42.52</v>
          </cell>
          <cell r="L189">
            <v>-0.06</v>
          </cell>
          <cell r="M189">
            <v>90.11</v>
          </cell>
          <cell r="N189">
            <v>38.33</v>
          </cell>
          <cell r="O189">
            <v>327.97</v>
          </cell>
          <cell r="P189">
            <v>7555.17</v>
          </cell>
          <cell r="R189">
            <v>6511.82</v>
          </cell>
          <cell r="S189">
            <v>6858.42</v>
          </cell>
          <cell r="T189">
            <v>6856.74</v>
          </cell>
          <cell r="U189">
            <v>7217.17</v>
          </cell>
          <cell r="V189">
            <v>7187.34</v>
          </cell>
          <cell r="W189">
            <v>6841.22</v>
          </cell>
          <cell r="X189">
            <v>7141.34</v>
          </cell>
          <cell r="Y189">
            <v>7098.82</v>
          </cell>
          <cell r="Z189">
            <v>7098.7599999999993</v>
          </cell>
          <cell r="AA189">
            <v>7188.869999999999</v>
          </cell>
          <cell r="AB189">
            <v>7227.1999999999989</v>
          </cell>
          <cell r="AC189">
            <v>7555.1699999999992</v>
          </cell>
        </row>
        <row r="190">
          <cell r="A190">
            <v>201050301005</v>
          </cell>
          <cell r="B190" t="str">
            <v xml:space="preserve">Prestamos Hipotecarios                                                </v>
          </cell>
          <cell r="C190">
            <v>3918.17</v>
          </cell>
          <cell r="D190">
            <v>-80</v>
          </cell>
          <cell r="E190">
            <v>-242.26</v>
          </cell>
          <cell r="F190">
            <v>330.88</v>
          </cell>
          <cell r="G190">
            <v>-309.62</v>
          </cell>
          <cell r="H190">
            <v>553.78</v>
          </cell>
          <cell r="I190">
            <v>-583.84</v>
          </cell>
          <cell r="J190">
            <v>-19.98</v>
          </cell>
          <cell r="K190">
            <v>49.99</v>
          </cell>
          <cell r="L190">
            <v>1075.95</v>
          </cell>
          <cell r="M190">
            <v>-616.79</v>
          </cell>
          <cell r="N190">
            <v>380.21</v>
          </cell>
          <cell r="O190">
            <v>-462.71</v>
          </cell>
          <cell r="P190">
            <v>3993.78</v>
          </cell>
          <cell r="R190">
            <v>3838.17</v>
          </cell>
          <cell r="S190">
            <v>3595.91</v>
          </cell>
          <cell r="T190">
            <v>3926.79</v>
          </cell>
          <cell r="U190">
            <v>3617.17</v>
          </cell>
          <cell r="V190">
            <v>4170.95</v>
          </cell>
          <cell r="W190">
            <v>3587.1099999999997</v>
          </cell>
          <cell r="X190">
            <v>3567.1299999999997</v>
          </cell>
          <cell r="Y190">
            <v>3617.1199999999994</v>
          </cell>
          <cell r="Z190">
            <v>4693.07</v>
          </cell>
          <cell r="AA190">
            <v>4076.2799999999997</v>
          </cell>
          <cell r="AB190">
            <v>4456.49</v>
          </cell>
          <cell r="AC190">
            <v>3993.7799999999997</v>
          </cell>
        </row>
        <row r="191">
          <cell r="A191">
            <v>201050301009</v>
          </cell>
          <cell r="B191" t="str">
            <v xml:space="preserve">Retencion pension alimenticia                                         </v>
          </cell>
          <cell r="C191">
            <v>300</v>
          </cell>
          <cell r="D191">
            <v>0</v>
          </cell>
          <cell r="E191">
            <v>0</v>
          </cell>
          <cell r="F191">
            <v>326</v>
          </cell>
          <cell r="G191">
            <v>1397.11</v>
          </cell>
          <cell r="H191">
            <v>-314.31</v>
          </cell>
          <cell r="I191">
            <v>-314.31</v>
          </cell>
          <cell r="J191">
            <v>-283.75</v>
          </cell>
          <cell r="K191">
            <v>0</v>
          </cell>
          <cell r="L191">
            <v>0</v>
          </cell>
          <cell r="M191">
            <v>0</v>
          </cell>
          <cell r="N191">
            <v>0</v>
          </cell>
          <cell r="O191">
            <v>-60</v>
          </cell>
          <cell r="P191">
            <v>1050.74</v>
          </cell>
          <cell r="R191">
            <v>300</v>
          </cell>
          <cell r="S191">
            <v>300</v>
          </cell>
          <cell r="T191">
            <v>626</v>
          </cell>
          <cell r="U191">
            <v>2023.11</v>
          </cell>
          <cell r="V191">
            <v>1708.8</v>
          </cell>
          <cell r="W191">
            <v>1394.49</v>
          </cell>
          <cell r="X191">
            <v>1110.74</v>
          </cell>
          <cell r="Y191">
            <v>1110.74</v>
          </cell>
          <cell r="Z191">
            <v>1110.74</v>
          </cell>
          <cell r="AA191">
            <v>1110.74</v>
          </cell>
          <cell r="AB191">
            <v>1110.74</v>
          </cell>
          <cell r="AC191">
            <v>1050.74</v>
          </cell>
        </row>
        <row r="192">
          <cell r="A192">
            <v>201050301010</v>
          </cell>
          <cell r="B192" t="str">
            <v xml:space="preserve">Aporte Extension de Salud                                             </v>
          </cell>
          <cell r="C192">
            <v>166.17</v>
          </cell>
          <cell r="D192">
            <v>-157.05000000000001</v>
          </cell>
          <cell r="E192">
            <v>137.30000000000001</v>
          </cell>
          <cell r="F192">
            <v>6.83</v>
          </cell>
          <cell r="G192">
            <v>36.520000000000003</v>
          </cell>
          <cell r="H192">
            <v>-106.73</v>
          </cell>
          <cell r="I192">
            <v>155.06</v>
          </cell>
          <cell r="J192">
            <v>-13.33</v>
          </cell>
          <cell r="K192">
            <v>-64.849999999999994</v>
          </cell>
          <cell r="L192">
            <v>-12.72</v>
          </cell>
          <cell r="M192">
            <v>1.48</v>
          </cell>
          <cell r="N192">
            <v>-148.68</v>
          </cell>
          <cell r="O192">
            <v>205.92</v>
          </cell>
          <cell r="P192">
            <v>205.92</v>
          </cell>
          <cell r="R192">
            <v>9.1199999999999761</v>
          </cell>
          <cell r="S192">
            <v>146.41999999999999</v>
          </cell>
          <cell r="T192">
            <v>153.25</v>
          </cell>
          <cell r="U192">
            <v>189.77</v>
          </cell>
          <cell r="V192">
            <v>83.04</v>
          </cell>
          <cell r="W192">
            <v>238.10000000000002</v>
          </cell>
          <cell r="X192">
            <v>224.77</v>
          </cell>
          <cell r="Y192">
            <v>159.92000000000002</v>
          </cell>
          <cell r="Z192">
            <v>147.20000000000002</v>
          </cell>
          <cell r="AA192">
            <v>148.68</v>
          </cell>
          <cell r="AB192">
            <v>0</v>
          </cell>
          <cell r="AC192">
            <v>205.92</v>
          </cell>
        </row>
        <row r="193">
          <cell r="A193">
            <v>2010504</v>
          </cell>
          <cell r="B193" t="str">
            <v xml:space="preserve">POR BENEFICIOS DE LEY A EMPLEADOS                                     </v>
          </cell>
          <cell r="C193">
            <v>144386.19</v>
          </cell>
          <cell r="D193">
            <v>13975.56</v>
          </cell>
          <cell r="E193">
            <v>68654.22</v>
          </cell>
          <cell r="F193">
            <v>-87308.58</v>
          </cell>
          <cell r="G193">
            <v>16064.45</v>
          </cell>
          <cell r="H193">
            <v>74407.94</v>
          </cell>
          <cell r="I193">
            <v>-29852.86</v>
          </cell>
          <cell r="J193">
            <v>14921.38</v>
          </cell>
          <cell r="K193">
            <v>16243.64</v>
          </cell>
          <cell r="L193">
            <v>20061.740000000002</v>
          </cell>
          <cell r="M193">
            <v>13398.53</v>
          </cell>
          <cell r="N193">
            <v>13440.65</v>
          </cell>
          <cell r="O193">
            <v>-8129.31</v>
          </cell>
          <cell r="P193">
            <v>270263.55</v>
          </cell>
          <cell r="R193">
            <v>158361.75</v>
          </cell>
          <cell r="S193">
            <v>227015.97</v>
          </cell>
          <cell r="T193">
            <v>139707.39000000001</v>
          </cell>
          <cell r="U193">
            <v>155771.84000000003</v>
          </cell>
          <cell r="V193">
            <v>230179.78000000003</v>
          </cell>
          <cell r="W193">
            <v>200326.92000000004</v>
          </cell>
          <cell r="X193">
            <v>215248.30000000005</v>
          </cell>
          <cell r="Y193">
            <v>231491.94000000006</v>
          </cell>
          <cell r="Z193">
            <v>251553.68000000005</v>
          </cell>
          <cell r="AA193">
            <v>264952.21000000008</v>
          </cell>
          <cell r="AB193">
            <v>278392.8600000001</v>
          </cell>
          <cell r="AC193">
            <v>270263.5500000001</v>
          </cell>
        </row>
        <row r="194">
          <cell r="A194">
            <v>201050401</v>
          </cell>
          <cell r="B194" t="str">
            <v xml:space="preserve">POR BENEFICIOS DE LEY A EMPLEADOS                                     </v>
          </cell>
          <cell r="C194">
            <v>144386.19</v>
          </cell>
          <cell r="D194">
            <v>13975.56</v>
          </cell>
          <cell r="E194">
            <v>68654.22</v>
          </cell>
          <cell r="F194">
            <v>-87308.58</v>
          </cell>
          <cell r="G194">
            <v>16064.45</v>
          </cell>
          <cell r="H194">
            <v>74407.94</v>
          </cell>
          <cell r="I194">
            <v>-29852.86</v>
          </cell>
          <cell r="J194">
            <v>14921.38</v>
          </cell>
          <cell r="K194">
            <v>16243.64</v>
          </cell>
          <cell r="L194">
            <v>20061.740000000002</v>
          </cell>
          <cell r="M194">
            <v>13398.53</v>
          </cell>
          <cell r="N194">
            <v>13440.65</v>
          </cell>
          <cell r="O194">
            <v>-8129.31</v>
          </cell>
          <cell r="P194">
            <v>270263.55</v>
          </cell>
          <cell r="R194">
            <v>158361.75</v>
          </cell>
          <cell r="S194">
            <v>227015.97</v>
          </cell>
          <cell r="T194">
            <v>139707.39000000001</v>
          </cell>
          <cell r="U194">
            <v>155771.84000000003</v>
          </cell>
          <cell r="V194">
            <v>230179.78000000003</v>
          </cell>
          <cell r="W194">
            <v>200326.92000000004</v>
          </cell>
          <cell r="X194">
            <v>215248.30000000005</v>
          </cell>
          <cell r="Y194">
            <v>231491.94000000006</v>
          </cell>
          <cell r="Z194">
            <v>251553.68000000005</v>
          </cell>
          <cell r="AA194">
            <v>264952.21000000008</v>
          </cell>
          <cell r="AB194">
            <v>278392.8600000001</v>
          </cell>
          <cell r="AC194">
            <v>270263.5500000001</v>
          </cell>
        </row>
        <row r="195">
          <cell r="A195">
            <v>201050401001</v>
          </cell>
          <cell r="B195" t="str">
            <v xml:space="preserve">Decimo tercer Sueldo                                                  </v>
          </cell>
          <cell r="C195">
            <v>10011.1</v>
          </cell>
          <cell r="D195">
            <v>9766.9</v>
          </cell>
          <cell r="E195">
            <v>9805.68</v>
          </cell>
          <cell r="F195">
            <v>8861.26</v>
          </cell>
          <cell r="G195">
            <v>9054.1</v>
          </cell>
          <cell r="H195">
            <v>9006.24</v>
          </cell>
          <cell r="I195">
            <v>9531.14</v>
          </cell>
          <cell r="J195">
            <v>8809.98</v>
          </cell>
          <cell r="K195">
            <v>9096.3700000000008</v>
          </cell>
          <cell r="L195">
            <v>11243.41</v>
          </cell>
          <cell r="M195">
            <v>5403.3</v>
          </cell>
          <cell r="N195">
            <v>7136.68</v>
          </cell>
          <cell r="O195">
            <v>-98844.39</v>
          </cell>
          <cell r="P195">
            <v>8881.77</v>
          </cell>
          <cell r="R195">
            <v>19778</v>
          </cell>
          <cell r="S195">
            <v>29583.68</v>
          </cell>
          <cell r="T195">
            <v>38444.94</v>
          </cell>
          <cell r="U195">
            <v>47499.040000000001</v>
          </cell>
          <cell r="V195">
            <v>56505.279999999999</v>
          </cell>
          <cell r="W195">
            <v>66036.42</v>
          </cell>
          <cell r="X195">
            <v>74846.399999999994</v>
          </cell>
          <cell r="Y195">
            <v>83942.76999999999</v>
          </cell>
          <cell r="Z195">
            <v>95186.18</v>
          </cell>
          <cell r="AA195">
            <v>100589.48</v>
          </cell>
          <cell r="AB195">
            <v>107726.16</v>
          </cell>
          <cell r="AC195">
            <v>8881.7700000000041</v>
          </cell>
        </row>
        <row r="196">
          <cell r="A196">
            <v>201050401002</v>
          </cell>
          <cell r="B196" t="str">
            <v xml:space="preserve">Decimo Cuarto Sueldo                                                  </v>
          </cell>
          <cell r="C196">
            <v>47255.77</v>
          </cell>
          <cell r="D196">
            <v>4427.28</v>
          </cell>
          <cell r="E196">
            <v>2965.03</v>
          </cell>
          <cell r="F196">
            <v>-49717.46</v>
          </cell>
          <cell r="G196">
            <v>4966.16</v>
          </cell>
          <cell r="H196">
            <v>4799.51</v>
          </cell>
          <cell r="I196">
            <v>4863.95</v>
          </cell>
          <cell r="J196">
            <v>4586.17</v>
          </cell>
          <cell r="K196">
            <v>4558.3999999999996</v>
          </cell>
          <cell r="L196">
            <v>4286.1899999999996</v>
          </cell>
          <cell r="M196">
            <v>4368.41</v>
          </cell>
          <cell r="N196">
            <v>3887.29</v>
          </cell>
          <cell r="O196">
            <v>3890.63</v>
          </cell>
          <cell r="P196">
            <v>45137.33</v>
          </cell>
          <cell r="R196">
            <v>51683.049999999996</v>
          </cell>
          <cell r="S196">
            <v>54648.079999999994</v>
          </cell>
          <cell r="T196">
            <v>4930.6199999999953</v>
          </cell>
          <cell r="U196">
            <v>9896.7799999999952</v>
          </cell>
          <cell r="V196">
            <v>14696.289999999995</v>
          </cell>
          <cell r="W196">
            <v>19560.239999999994</v>
          </cell>
          <cell r="X196">
            <v>24146.409999999996</v>
          </cell>
          <cell r="Y196">
            <v>28704.809999999998</v>
          </cell>
          <cell r="Z196">
            <v>32991</v>
          </cell>
          <cell r="AA196">
            <v>37359.410000000003</v>
          </cell>
          <cell r="AB196">
            <v>41246.700000000004</v>
          </cell>
          <cell r="AC196">
            <v>45137.33</v>
          </cell>
        </row>
        <row r="197">
          <cell r="A197">
            <v>201050401003</v>
          </cell>
          <cell r="B197" t="str">
            <v xml:space="preserve">Vacaciones                                                            </v>
          </cell>
          <cell r="C197">
            <v>83956.26</v>
          </cell>
          <cell r="D197">
            <v>2346.89</v>
          </cell>
          <cell r="E197">
            <v>3429.18</v>
          </cell>
          <cell r="F197">
            <v>3210.71</v>
          </cell>
          <cell r="G197">
            <v>-121.54</v>
          </cell>
          <cell r="H197">
            <v>7387.87</v>
          </cell>
          <cell r="I197">
            <v>3098.32</v>
          </cell>
          <cell r="J197">
            <v>3662.51</v>
          </cell>
          <cell r="K197">
            <v>3707.21</v>
          </cell>
          <cell r="L197">
            <v>3404.56</v>
          </cell>
          <cell r="M197">
            <v>3342.66</v>
          </cell>
          <cell r="N197">
            <v>2670.72</v>
          </cell>
          <cell r="O197">
            <v>86386.28</v>
          </cell>
          <cell r="P197">
            <v>206481.63</v>
          </cell>
          <cell r="R197">
            <v>86303.15</v>
          </cell>
          <cell r="S197">
            <v>89732.329999999987</v>
          </cell>
          <cell r="T197">
            <v>92943.039999999994</v>
          </cell>
          <cell r="U197">
            <v>92821.5</v>
          </cell>
          <cell r="V197">
            <v>100209.37</v>
          </cell>
          <cell r="W197">
            <v>103307.69</v>
          </cell>
          <cell r="X197">
            <v>106970.2</v>
          </cell>
          <cell r="Y197">
            <v>110677.41</v>
          </cell>
          <cell r="Z197">
            <v>114081.97</v>
          </cell>
          <cell r="AA197">
            <v>117424.63</v>
          </cell>
          <cell r="AB197">
            <v>120095.35</v>
          </cell>
          <cell r="AC197">
            <v>206481.63</v>
          </cell>
        </row>
        <row r="198">
          <cell r="A198">
            <v>201050401004</v>
          </cell>
          <cell r="B198" t="str">
            <v xml:space="preserve">Nomina por pagar                                                      </v>
          </cell>
          <cell r="C198">
            <v>-18.55</v>
          </cell>
          <cell r="D198">
            <v>238.65</v>
          </cell>
          <cell r="E198">
            <v>52454.33</v>
          </cell>
          <cell r="F198">
            <v>-51050.71</v>
          </cell>
          <cell r="G198">
            <v>-1623.72</v>
          </cell>
          <cell r="H198">
            <v>49763.97</v>
          </cell>
          <cell r="I198">
            <v>-49763.97</v>
          </cell>
          <cell r="J198">
            <v>0</v>
          </cell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  <cell r="R198">
            <v>220.1</v>
          </cell>
          <cell r="S198">
            <v>52674.43</v>
          </cell>
          <cell r="T198">
            <v>1623.7200000000012</v>
          </cell>
          <cell r="U198">
            <v>0</v>
          </cell>
          <cell r="V198">
            <v>49763.97</v>
          </cell>
          <cell r="W198">
            <v>0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</row>
        <row r="199">
          <cell r="A199">
            <v>201050401006</v>
          </cell>
          <cell r="B199" t="str">
            <v xml:space="preserve">Liquidaciones de Haberes                                              </v>
          </cell>
          <cell r="C199">
            <v>3181.61</v>
          </cell>
          <cell r="D199">
            <v>-2804.16</v>
          </cell>
          <cell r="E199">
            <v>0</v>
          </cell>
          <cell r="F199">
            <v>1387.62</v>
          </cell>
          <cell r="G199">
            <v>-516.54999999999995</v>
          </cell>
          <cell r="H199">
            <v>369.35</v>
          </cell>
          <cell r="I199">
            <v>2300.1999999999998</v>
          </cell>
          <cell r="J199">
            <v>-2254.7800000000002</v>
          </cell>
          <cell r="K199">
            <v>-1235.8399999999999</v>
          </cell>
          <cell r="L199">
            <v>1010.08</v>
          </cell>
          <cell r="M199">
            <v>166.66</v>
          </cell>
          <cell r="N199">
            <v>-302.37</v>
          </cell>
          <cell r="O199">
            <v>438.17</v>
          </cell>
          <cell r="P199">
            <v>1739.99</v>
          </cell>
          <cell r="R199">
            <v>377.45000000000027</v>
          </cell>
          <cell r="S199">
            <v>377.45000000000027</v>
          </cell>
          <cell r="T199">
            <v>1765.0700000000002</v>
          </cell>
          <cell r="U199">
            <v>1248.5200000000002</v>
          </cell>
          <cell r="V199">
            <v>1617.8700000000003</v>
          </cell>
          <cell r="W199">
            <v>3918.07</v>
          </cell>
          <cell r="X199">
            <v>1663.29</v>
          </cell>
          <cell r="Y199">
            <v>427.45000000000005</v>
          </cell>
          <cell r="Z199">
            <v>1437.5300000000002</v>
          </cell>
          <cell r="AA199">
            <v>1604.1900000000003</v>
          </cell>
          <cell r="AB199">
            <v>1301.8200000000002</v>
          </cell>
          <cell r="AC199">
            <v>1739.9900000000002</v>
          </cell>
        </row>
        <row r="200">
          <cell r="A200">
            <v>201050401007</v>
          </cell>
          <cell r="B200" t="str">
            <v xml:space="preserve">Reduccion Jornada emergente Art. 47-1                                 </v>
          </cell>
          <cell r="C200">
            <v>0</v>
          </cell>
          <cell r="D200">
            <v>0</v>
          </cell>
          <cell r="E200">
            <v>0</v>
          </cell>
          <cell r="F200">
            <v>0</v>
          </cell>
          <cell r="G200">
            <v>4306</v>
          </cell>
          <cell r="H200">
            <v>3081</v>
          </cell>
          <cell r="I200">
            <v>117.5</v>
          </cell>
          <cell r="J200">
            <v>117.5</v>
          </cell>
          <cell r="K200">
            <v>117.5</v>
          </cell>
          <cell r="L200">
            <v>117.5</v>
          </cell>
          <cell r="M200">
            <v>117.5</v>
          </cell>
          <cell r="N200">
            <v>48.33</v>
          </cell>
          <cell r="O200">
            <v>0</v>
          </cell>
          <cell r="P200">
            <v>8022.83</v>
          </cell>
          <cell r="R200">
            <v>0</v>
          </cell>
          <cell r="S200">
            <v>0</v>
          </cell>
          <cell r="T200">
            <v>0</v>
          </cell>
          <cell r="U200">
            <v>4306</v>
          </cell>
          <cell r="V200">
            <v>7387</v>
          </cell>
          <cell r="W200">
            <v>7504.5</v>
          </cell>
          <cell r="X200">
            <v>7622</v>
          </cell>
          <cell r="Y200">
            <v>7739.5</v>
          </cell>
          <cell r="Z200">
            <v>7857</v>
          </cell>
          <cell r="AA200">
            <v>7974.5</v>
          </cell>
          <cell r="AB200">
            <v>8022.83</v>
          </cell>
          <cell r="AC200">
            <v>8022.83</v>
          </cell>
        </row>
        <row r="201">
          <cell r="A201">
            <v>2010505</v>
          </cell>
          <cell r="B201" t="str">
            <v xml:space="preserve">PARTICIPACIÓN TRABAJADORES POR PAGAR DEL EJERCICIO                    </v>
          </cell>
          <cell r="C201">
            <v>218350.25</v>
          </cell>
          <cell r="D201">
            <v>0</v>
          </cell>
          <cell r="E201">
            <v>0</v>
          </cell>
          <cell r="F201">
            <v>0</v>
          </cell>
          <cell r="G201">
            <v>-218350.25</v>
          </cell>
          <cell r="H201">
            <v>0</v>
          </cell>
          <cell r="I201">
            <v>0</v>
          </cell>
          <cell r="J201">
            <v>0</v>
          </cell>
          <cell r="K201">
            <v>0</v>
          </cell>
          <cell r="L201">
            <v>0</v>
          </cell>
          <cell r="M201">
            <v>0</v>
          </cell>
          <cell r="N201">
            <v>0</v>
          </cell>
          <cell r="O201">
            <v>0</v>
          </cell>
          <cell r="P201">
            <v>0</v>
          </cell>
          <cell r="R201">
            <v>218350.25</v>
          </cell>
          <cell r="S201">
            <v>218350.25</v>
          </cell>
          <cell r="T201">
            <v>218350.25</v>
          </cell>
          <cell r="U201">
            <v>0</v>
          </cell>
          <cell r="V201">
            <v>0</v>
          </cell>
          <cell r="W201">
            <v>0</v>
          </cell>
          <cell r="X201">
            <v>0</v>
          </cell>
          <cell r="Y201">
            <v>0</v>
          </cell>
          <cell r="Z201">
            <v>0</v>
          </cell>
          <cell r="AA201">
            <v>0</v>
          </cell>
          <cell r="AB201">
            <v>0</v>
          </cell>
          <cell r="AC201">
            <v>0</v>
          </cell>
        </row>
        <row r="202">
          <cell r="A202">
            <v>201050501</v>
          </cell>
          <cell r="B202" t="str">
            <v xml:space="preserve">PARTICIPACIÓN TRABAJADORES POR PAGAR DEL EJERCICIO                    </v>
          </cell>
          <cell r="C202">
            <v>218350.25</v>
          </cell>
          <cell r="D202">
            <v>0</v>
          </cell>
          <cell r="E202">
            <v>0</v>
          </cell>
          <cell r="F202">
            <v>0</v>
          </cell>
          <cell r="G202">
            <v>-218350.25</v>
          </cell>
          <cell r="H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N202">
            <v>0</v>
          </cell>
          <cell r="O202">
            <v>0</v>
          </cell>
          <cell r="P202">
            <v>0</v>
          </cell>
          <cell r="R202">
            <v>218350.25</v>
          </cell>
          <cell r="S202">
            <v>218350.25</v>
          </cell>
          <cell r="T202">
            <v>218350.25</v>
          </cell>
          <cell r="U202">
            <v>0</v>
          </cell>
          <cell r="V202">
            <v>0</v>
          </cell>
          <cell r="W202">
            <v>0</v>
          </cell>
          <cell r="X202">
            <v>0</v>
          </cell>
          <cell r="Y202">
            <v>0</v>
          </cell>
          <cell r="Z202">
            <v>0</v>
          </cell>
          <cell r="AA202">
            <v>0</v>
          </cell>
          <cell r="AB202">
            <v>0</v>
          </cell>
          <cell r="AC202">
            <v>0</v>
          </cell>
        </row>
        <row r="203">
          <cell r="A203">
            <v>201050501001</v>
          </cell>
          <cell r="B203" t="str">
            <v xml:space="preserve">Participaciones de utilidades a empleados                             </v>
          </cell>
          <cell r="C203">
            <v>218350.25</v>
          </cell>
          <cell r="D203">
            <v>0</v>
          </cell>
          <cell r="E203">
            <v>0</v>
          </cell>
          <cell r="F203">
            <v>0</v>
          </cell>
          <cell r="G203">
            <v>-218350.25</v>
          </cell>
          <cell r="H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  <cell r="M203">
            <v>0</v>
          </cell>
          <cell r="N203">
            <v>0</v>
          </cell>
          <cell r="O203">
            <v>0</v>
          </cell>
          <cell r="P203">
            <v>0</v>
          </cell>
          <cell r="R203">
            <v>218350.25</v>
          </cell>
          <cell r="S203">
            <v>218350.25</v>
          </cell>
          <cell r="T203">
            <v>218350.25</v>
          </cell>
          <cell r="U203">
            <v>0</v>
          </cell>
          <cell r="V203">
            <v>0</v>
          </cell>
          <cell r="W203">
            <v>0</v>
          </cell>
          <cell r="X203">
            <v>0</v>
          </cell>
          <cell r="Y203">
            <v>0</v>
          </cell>
          <cell r="Z203">
            <v>0</v>
          </cell>
          <cell r="AA203">
            <v>0</v>
          </cell>
          <cell r="AB203">
            <v>0</v>
          </cell>
          <cell r="AC203">
            <v>0</v>
          </cell>
        </row>
        <row r="204">
          <cell r="A204">
            <v>20107</v>
          </cell>
          <cell r="B204" t="str">
            <v xml:space="preserve">ANTICIPO CLIENTES                                                     </v>
          </cell>
          <cell r="C204">
            <v>83902.42</v>
          </cell>
          <cell r="D204">
            <v>-17833.48</v>
          </cell>
          <cell r="E204">
            <v>32897.06</v>
          </cell>
          <cell r="F204">
            <v>174592.07</v>
          </cell>
          <cell r="G204">
            <v>3117.45</v>
          </cell>
          <cell r="H204">
            <v>-132626.12</v>
          </cell>
          <cell r="I204">
            <v>81091.11</v>
          </cell>
          <cell r="J204">
            <v>-143944.5</v>
          </cell>
          <cell r="K204">
            <v>576.30999999999995</v>
          </cell>
          <cell r="L204">
            <v>35448.699999999997</v>
          </cell>
          <cell r="M204">
            <v>-40219.86</v>
          </cell>
          <cell r="N204">
            <v>41423.83</v>
          </cell>
          <cell r="O204">
            <v>-20308.23</v>
          </cell>
          <cell r="P204">
            <v>98116.76</v>
          </cell>
          <cell r="R204">
            <v>66068.94</v>
          </cell>
          <cell r="S204">
            <v>98966</v>
          </cell>
          <cell r="T204">
            <v>273558.07</v>
          </cell>
          <cell r="U204">
            <v>276675.52</v>
          </cell>
          <cell r="V204">
            <v>144049.40000000002</v>
          </cell>
          <cell r="W204">
            <v>225140.51</v>
          </cell>
          <cell r="X204">
            <v>81196.010000000009</v>
          </cell>
          <cell r="Y204">
            <v>81772.320000000007</v>
          </cell>
          <cell r="Z204">
            <v>117221.02</v>
          </cell>
          <cell r="AA204">
            <v>77001.16</v>
          </cell>
          <cell r="AB204">
            <v>118424.99</v>
          </cell>
          <cell r="AC204">
            <v>98116.760000000009</v>
          </cell>
        </row>
        <row r="205">
          <cell r="A205">
            <v>2010701</v>
          </cell>
          <cell r="B205" t="str">
            <v xml:space="preserve">ANTICIPOS DE CLIENTES                                                 </v>
          </cell>
          <cell r="C205">
            <v>83902.42</v>
          </cell>
          <cell r="D205">
            <v>-17833.48</v>
          </cell>
          <cell r="E205">
            <v>32897.06</v>
          </cell>
          <cell r="F205">
            <v>174592.07</v>
          </cell>
          <cell r="G205">
            <v>3117.45</v>
          </cell>
          <cell r="H205">
            <v>-132626.12</v>
          </cell>
          <cell r="I205">
            <v>81091.11</v>
          </cell>
          <cell r="J205">
            <v>-143944.5</v>
          </cell>
          <cell r="K205">
            <v>576.30999999999995</v>
          </cell>
          <cell r="L205">
            <v>35448.699999999997</v>
          </cell>
          <cell r="M205">
            <v>-40219.86</v>
          </cell>
          <cell r="N205">
            <v>41423.83</v>
          </cell>
          <cell r="O205">
            <v>-20308.23</v>
          </cell>
          <cell r="P205">
            <v>98116.76</v>
          </cell>
          <cell r="R205">
            <v>66068.94</v>
          </cell>
          <cell r="S205">
            <v>98966</v>
          </cell>
          <cell r="T205">
            <v>273558.07</v>
          </cell>
          <cell r="U205">
            <v>276675.52</v>
          </cell>
          <cell r="V205">
            <v>144049.40000000002</v>
          </cell>
          <cell r="W205">
            <v>225140.51</v>
          </cell>
          <cell r="X205">
            <v>81196.010000000009</v>
          </cell>
          <cell r="Y205">
            <v>81772.320000000007</v>
          </cell>
          <cell r="Z205">
            <v>117221.02</v>
          </cell>
          <cell r="AA205">
            <v>77001.16</v>
          </cell>
          <cell r="AB205">
            <v>118424.99</v>
          </cell>
          <cell r="AC205">
            <v>98116.760000000009</v>
          </cell>
        </row>
        <row r="206">
          <cell r="A206">
            <v>201070101</v>
          </cell>
          <cell r="B206" t="str">
            <v xml:space="preserve">ANTICIPOS DE CLIENTES                                                 </v>
          </cell>
          <cell r="C206">
            <v>83902.42</v>
          </cell>
          <cell r="D206">
            <v>-17833.48</v>
          </cell>
          <cell r="E206">
            <v>32897.06</v>
          </cell>
          <cell r="F206">
            <v>174592.07</v>
          </cell>
          <cell r="G206">
            <v>3117.45</v>
          </cell>
          <cell r="H206">
            <v>-132626.12</v>
          </cell>
          <cell r="I206">
            <v>81091.11</v>
          </cell>
          <cell r="J206">
            <v>-143944.5</v>
          </cell>
          <cell r="K206">
            <v>576.30999999999995</v>
          </cell>
          <cell r="L206">
            <v>35448.699999999997</v>
          </cell>
          <cell r="M206">
            <v>-40219.86</v>
          </cell>
          <cell r="N206">
            <v>41423.83</v>
          </cell>
          <cell r="O206">
            <v>-20308.23</v>
          </cell>
          <cell r="P206">
            <v>98116.76</v>
          </cell>
          <cell r="R206">
            <v>66068.94</v>
          </cell>
          <cell r="S206">
            <v>98966</v>
          </cell>
          <cell r="T206">
            <v>273558.07</v>
          </cell>
          <cell r="U206">
            <v>276675.52</v>
          </cell>
          <cell r="V206">
            <v>144049.40000000002</v>
          </cell>
          <cell r="W206">
            <v>225140.51</v>
          </cell>
          <cell r="X206">
            <v>81196.010000000009</v>
          </cell>
          <cell r="Y206">
            <v>81772.320000000007</v>
          </cell>
          <cell r="Z206">
            <v>117221.02</v>
          </cell>
          <cell r="AA206">
            <v>77001.16</v>
          </cell>
          <cell r="AB206">
            <v>118424.99</v>
          </cell>
          <cell r="AC206">
            <v>98116.760000000009</v>
          </cell>
        </row>
        <row r="207">
          <cell r="A207">
            <v>201070101001</v>
          </cell>
          <cell r="B207" t="str">
            <v xml:space="preserve">Anticipos de clientes                                                 </v>
          </cell>
          <cell r="C207">
            <v>43032.800000000003</v>
          </cell>
          <cell r="D207">
            <v>-17833.48</v>
          </cell>
          <cell r="E207">
            <v>32897.06</v>
          </cell>
          <cell r="F207">
            <v>174592.07</v>
          </cell>
          <cell r="G207">
            <v>3117.45</v>
          </cell>
          <cell r="H207">
            <v>-132626.12</v>
          </cell>
          <cell r="I207">
            <v>71597.11</v>
          </cell>
          <cell r="J207">
            <v>-146804.5</v>
          </cell>
          <cell r="K207">
            <v>576.30999999999995</v>
          </cell>
          <cell r="L207">
            <v>35448.699999999997</v>
          </cell>
          <cell r="M207">
            <v>-40219.86</v>
          </cell>
          <cell r="N207">
            <v>41423.83</v>
          </cell>
          <cell r="O207">
            <v>-20308.23</v>
          </cell>
          <cell r="P207">
            <v>44893.14</v>
          </cell>
          <cell r="R207">
            <v>25199.320000000003</v>
          </cell>
          <cell r="S207">
            <v>58096.380000000005</v>
          </cell>
          <cell r="T207">
            <v>232688.45</v>
          </cell>
          <cell r="U207">
            <v>235805.90000000002</v>
          </cell>
          <cell r="V207">
            <v>103179.78000000003</v>
          </cell>
          <cell r="W207">
            <v>174776.89</v>
          </cell>
          <cell r="X207">
            <v>27972.390000000014</v>
          </cell>
          <cell r="Y207">
            <v>28548.700000000015</v>
          </cell>
          <cell r="Z207">
            <v>63997.400000000009</v>
          </cell>
          <cell r="AA207">
            <v>23777.540000000008</v>
          </cell>
          <cell r="AB207">
            <v>65201.37000000001</v>
          </cell>
          <cell r="AC207">
            <v>44893.140000000014</v>
          </cell>
        </row>
        <row r="208">
          <cell r="A208">
            <v>201070101003</v>
          </cell>
          <cell r="B208" t="str">
            <v xml:space="preserve">Deposito en garantia clientes                                         </v>
          </cell>
          <cell r="C208">
            <v>40869.620000000003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  <cell r="I208">
            <v>9494</v>
          </cell>
          <cell r="J208">
            <v>2860</v>
          </cell>
          <cell r="K208">
            <v>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53223.62</v>
          </cell>
          <cell r="R208">
            <v>40869.620000000003</v>
          </cell>
          <cell r="S208">
            <v>40869.620000000003</v>
          </cell>
          <cell r="T208">
            <v>40869.620000000003</v>
          </cell>
          <cell r="U208">
            <v>40869.620000000003</v>
          </cell>
          <cell r="V208">
            <v>40869.620000000003</v>
          </cell>
          <cell r="W208">
            <v>50363.62</v>
          </cell>
          <cell r="X208">
            <v>53223.62</v>
          </cell>
          <cell r="Y208">
            <v>53223.62</v>
          </cell>
          <cell r="Z208">
            <v>53223.62</v>
          </cell>
          <cell r="AA208">
            <v>53223.62</v>
          </cell>
          <cell r="AB208">
            <v>53223.62</v>
          </cell>
          <cell r="AC208">
            <v>53223.62</v>
          </cell>
        </row>
        <row r="209">
          <cell r="A209">
            <v>202</v>
          </cell>
          <cell r="B209" t="str">
            <v xml:space="preserve">PASIVO NO CORRIENTE                                                   </v>
          </cell>
          <cell r="C209">
            <v>2582623.1800000002</v>
          </cell>
          <cell r="D209">
            <v>-362273.87</v>
          </cell>
          <cell r="E209">
            <v>-268396.94</v>
          </cell>
          <cell r="F209">
            <v>-20838.13</v>
          </cell>
          <cell r="G209">
            <v>-7859.46</v>
          </cell>
          <cell r="H209">
            <v>-136034.41</v>
          </cell>
          <cell r="I209">
            <v>-295017.8</v>
          </cell>
          <cell r="J209">
            <v>-596520.49</v>
          </cell>
          <cell r="K209">
            <v>-119774.71</v>
          </cell>
          <cell r="L209">
            <v>7315</v>
          </cell>
          <cell r="M209">
            <v>7243.45</v>
          </cell>
          <cell r="N209">
            <v>6264.21</v>
          </cell>
          <cell r="O209">
            <v>-44679.57</v>
          </cell>
          <cell r="P209">
            <v>752050.46</v>
          </cell>
          <cell r="R209">
            <v>2220349.31</v>
          </cell>
          <cell r="S209">
            <v>1951952.37</v>
          </cell>
          <cell r="T209">
            <v>1931114.2400000002</v>
          </cell>
          <cell r="U209">
            <v>1923254.7800000003</v>
          </cell>
          <cell r="V209">
            <v>1787220.3700000003</v>
          </cell>
          <cell r="W209">
            <v>1492202.5700000003</v>
          </cell>
          <cell r="X209">
            <v>895682.08000000031</v>
          </cell>
          <cell r="Y209">
            <v>775907.37000000034</v>
          </cell>
          <cell r="Z209">
            <v>783222.37000000034</v>
          </cell>
          <cell r="AA209">
            <v>790465.8200000003</v>
          </cell>
          <cell r="AB209">
            <v>796730.03000000026</v>
          </cell>
          <cell r="AC209">
            <v>752050.46000000031</v>
          </cell>
        </row>
        <row r="210">
          <cell r="A210">
            <v>20203</v>
          </cell>
          <cell r="B210" t="str">
            <v xml:space="preserve">OBLIGACIONES CON INSTITUCIONES FINANCIERAS                            </v>
          </cell>
          <cell r="C210">
            <v>1857747.32</v>
          </cell>
          <cell r="D210">
            <v>-366627.74</v>
          </cell>
          <cell r="E210">
            <v>-273181.21999999997</v>
          </cell>
          <cell r="F210">
            <v>-27641.77</v>
          </cell>
          <cell r="G210">
            <v>-14363.1</v>
          </cell>
          <cell r="H210">
            <v>-142581.63</v>
          </cell>
          <cell r="I210">
            <v>-300758.94</v>
          </cell>
          <cell r="J210">
            <v>-605038.26</v>
          </cell>
          <cell r="K210">
            <v>-127554.66</v>
          </cell>
          <cell r="L210">
            <v>0</v>
          </cell>
          <cell r="M210">
            <v>0</v>
          </cell>
          <cell r="N210">
            <v>0</v>
          </cell>
          <cell r="O210">
            <v>0</v>
          </cell>
          <cell r="P210">
            <v>0</v>
          </cell>
          <cell r="R210">
            <v>1491119.58</v>
          </cell>
          <cell r="S210">
            <v>1217938.3600000001</v>
          </cell>
          <cell r="T210">
            <v>1190296.5900000001</v>
          </cell>
          <cell r="U210">
            <v>1175933.49</v>
          </cell>
          <cell r="V210">
            <v>1033351.86</v>
          </cell>
          <cell r="W210">
            <v>732592.91999999993</v>
          </cell>
          <cell r="X210">
            <v>127554.65999999992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</row>
        <row r="211">
          <cell r="A211">
            <v>2020301</v>
          </cell>
          <cell r="B211" t="str">
            <v xml:space="preserve">OBLIGACIONES CON INSTITUCIONES FINANCIERAS LOCALES                    </v>
          </cell>
          <cell r="C211">
            <v>1857747.32</v>
          </cell>
          <cell r="D211">
            <v>-366627.74</v>
          </cell>
          <cell r="E211">
            <v>-273181.21999999997</v>
          </cell>
          <cell r="F211">
            <v>-27641.77</v>
          </cell>
          <cell r="G211">
            <v>-14363.1</v>
          </cell>
          <cell r="H211">
            <v>-142581.63</v>
          </cell>
          <cell r="I211">
            <v>-300758.94</v>
          </cell>
          <cell r="J211">
            <v>-605038.26</v>
          </cell>
          <cell r="K211">
            <v>-127554.66</v>
          </cell>
          <cell r="L211">
            <v>0</v>
          </cell>
          <cell r="M211">
            <v>0</v>
          </cell>
          <cell r="N211">
            <v>0</v>
          </cell>
          <cell r="O211">
            <v>0</v>
          </cell>
          <cell r="P211">
            <v>0</v>
          </cell>
          <cell r="R211">
            <v>1491119.58</v>
          </cell>
          <cell r="S211">
            <v>1217938.3600000001</v>
          </cell>
          <cell r="T211">
            <v>1190296.5900000001</v>
          </cell>
          <cell r="U211">
            <v>1175933.49</v>
          </cell>
          <cell r="V211">
            <v>1033351.86</v>
          </cell>
          <cell r="W211">
            <v>732592.91999999993</v>
          </cell>
          <cell r="X211">
            <v>127554.65999999992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</row>
        <row r="212">
          <cell r="A212">
            <v>202030101</v>
          </cell>
          <cell r="B212" t="str">
            <v xml:space="preserve">OBLIGACIONES CON INSTITUCIONES FINANCIERAS LOCALES                    </v>
          </cell>
          <cell r="C212">
            <v>1857747.32</v>
          </cell>
          <cell r="D212">
            <v>-366627.74</v>
          </cell>
          <cell r="E212">
            <v>-273181.21999999997</v>
          </cell>
          <cell r="F212">
            <v>-27641.77</v>
          </cell>
          <cell r="G212">
            <v>-14363.1</v>
          </cell>
          <cell r="H212">
            <v>-142581.63</v>
          </cell>
          <cell r="I212">
            <v>-300758.94</v>
          </cell>
          <cell r="J212">
            <v>-605038.26</v>
          </cell>
          <cell r="K212">
            <v>-127554.66</v>
          </cell>
          <cell r="L212">
            <v>0</v>
          </cell>
          <cell r="M212">
            <v>0</v>
          </cell>
          <cell r="N212">
            <v>0</v>
          </cell>
          <cell r="O212">
            <v>0</v>
          </cell>
          <cell r="P212">
            <v>0</v>
          </cell>
          <cell r="R212">
            <v>1491119.58</v>
          </cell>
          <cell r="S212">
            <v>1217938.3600000001</v>
          </cell>
          <cell r="T212">
            <v>1190296.5900000001</v>
          </cell>
          <cell r="U212">
            <v>1175933.49</v>
          </cell>
          <cell r="V212">
            <v>1033351.86</v>
          </cell>
          <cell r="W212">
            <v>732592.91999999993</v>
          </cell>
          <cell r="X212">
            <v>127554.65999999992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</row>
        <row r="213">
          <cell r="A213">
            <v>202030101002</v>
          </cell>
          <cell r="B213" t="str">
            <v xml:space="preserve">Prestamo Bancario Bco Procredit L/P                                   </v>
          </cell>
          <cell r="C213">
            <v>1857747.32</v>
          </cell>
          <cell r="D213">
            <v>-366627.74</v>
          </cell>
          <cell r="E213">
            <v>-273181.21999999997</v>
          </cell>
          <cell r="F213">
            <v>-27641.77</v>
          </cell>
          <cell r="G213">
            <v>-14363.1</v>
          </cell>
          <cell r="H213">
            <v>-142581.63</v>
          </cell>
          <cell r="I213">
            <v>-300758.94</v>
          </cell>
          <cell r="J213">
            <v>-605038.26</v>
          </cell>
          <cell r="K213">
            <v>-127554.66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  <cell r="P213">
            <v>0</v>
          </cell>
          <cell r="R213">
            <v>1491119.58</v>
          </cell>
          <cell r="S213">
            <v>1217938.3600000001</v>
          </cell>
          <cell r="T213">
            <v>1190296.5900000001</v>
          </cell>
          <cell r="U213">
            <v>1175933.49</v>
          </cell>
          <cell r="V213">
            <v>1033351.86</v>
          </cell>
          <cell r="W213">
            <v>732592.91999999993</v>
          </cell>
          <cell r="X213">
            <v>127554.65999999992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</row>
        <row r="214">
          <cell r="A214">
            <v>20204</v>
          </cell>
          <cell r="B214" t="str">
            <v xml:space="preserve">CUENTAS POR PAGAR DIVERSAS/RELACIONADAS                               </v>
          </cell>
          <cell r="C214">
            <v>306510.12</v>
          </cell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306510.12</v>
          </cell>
          <cell r="R214">
            <v>306510.12</v>
          </cell>
          <cell r="S214">
            <v>306510.12</v>
          </cell>
          <cell r="T214">
            <v>306510.12</v>
          </cell>
          <cell r="U214">
            <v>306510.12</v>
          </cell>
          <cell r="V214">
            <v>306510.12</v>
          </cell>
          <cell r="W214">
            <v>306510.12</v>
          </cell>
          <cell r="X214">
            <v>306510.12</v>
          </cell>
          <cell r="Y214">
            <v>306510.12</v>
          </cell>
          <cell r="Z214">
            <v>306510.12</v>
          </cell>
          <cell r="AA214">
            <v>306510.12</v>
          </cell>
          <cell r="AB214">
            <v>306510.12</v>
          </cell>
          <cell r="AC214">
            <v>306510.12</v>
          </cell>
        </row>
        <row r="215">
          <cell r="A215">
            <v>2020401</v>
          </cell>
          <cell r="B215" t="str">
            <v xml:space="preserve">CUENTAS POR PAGAR DIVERSAS/RELACIONADAS LOCALES                       </v>
          </cell>
          <cell r="C215">
            <v>306510.12</v>
          </cell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306510.12</v>
          </cell>
          <cell r="R215">
            <v>306510.12</v>
          </cell>
          <cell r="S215">
            <v>306510.12</v>
          </cell>
          <cell r="T215">
            <v>306510.12</v>
          </cell>
          <cell r="U215">
            <v>306510.12</v>
          </cell>
          <cell r="V215">
            <v>306510.12</v>
          </cell>
          <cell r="W215">
            <v>306510.12</v>
          </cell>
          <cell r="X215">
            <v>306510.12</v>
          </cell>
          <cell r="Y215">
            <v>306510.12</v>
          </cell>
          <cell r="Z215">
            <v>306510.12</v>
          </cell>
          <cell r="AA215">
            <v>306510.12</v>
          </cell>
          <cell r="AB215">
            <v>306510.12</v>
          </cell>
          <cell r="AC215">
            <v>306510.12</v>
          </cell>
        </row>
        <row r="216">
          <cell r="A216">
            <v>202040101</v>
          </cell>
          <cell r="B216" t="str">
            <v xml:space="preserve">CUENTAS POR PAGAR DIVERSAS/RELACIONADAS LOCALES                       </v>
          </cell>
          <cell r="C216">
            <v>306510.12</v>
          </cell>
          <cell r="D216">
            <v>0</v>
          </cell>
          <cell r="E216">
            <v>0</v>
          </cell>
          <cell r="F216">
            <v>0</v>
          </cell>
          <cell r="G216">
            <v>0</v>
          </cell>
          <cell r="H216">
            <v>0</v>
          </cell>
          <cell r="I216">
            <v>0</v>
          </cell>
          <cell r="J216">
            <v>0</v>
          </cell>
          <cell r="K216">
            <v>0</v>
          </cell>
          <cell r="L216">
            <v>0</v>
          </cell>
          <cell r="M216">
            <v>0</v>
          </cell>
          <cell r="N216">
            <v>0</v>
          </cell>
          <cell r="O216">
            <v>0</v>
          </cell>
          <cell r="P216">
            <v>306510.12</v>
          </cell>
          <cell r="R216">
            <v>306510.12</v>
          </cell>
          <cell r="S216">
            <v>306510.12</v>
          </cell>
          <cell r="T216">
            <v>306510.12</v>
          </cell>
          <cell r="U216">
            <v>306510.12</v>
          </cell>
          <cell r="V216">
            <v>306510.12</v>
          </cell>
          <cell r="W216">
            <v>306510.12</v>
          </cell>
          <cell r="X216">
            <v>306510.12</v>
          </cell>
          <cell r="Y216">
            <v>306510.12</v>
          </cell>
          <cell r="Z216">
            <v>306510.12</v>
          </cell>
          <cell r="AA216">
            <v>306510.12</v>
          </cell>
          <cell r="AB216">
            <v>306510.12</v>
          </cell>
          <cell r="AC216">
            <v>306510.12</v>
          </cell>
        </row>
        <row r="217">
          <cell r="A217">
            <v>202040101001</v>
          </cell>
          <cell r="B217" t="str">
            <v xml:space="preserve">Cuentas por Pagar accionistas                                         </v>
          </cell>
          <cell r="C217">
            <v>306510.12</v>
          </cell>
          <cell r="D217">
            <v>0</v>
          </cell>
          <cell r="E217">
            <v>0</v>
          </cell>
          <cell r="F217">
            <v>0</v>
          </cell>
          <cell r="G217">
            <v>0</v>
          </cell>
          <cell r="H217">
            <v>0</v>
          </cell>
          <cell r="I217">
            <v>0</v>
          </cell>
          <cell r="J217">
            <v>0</v>
          </cell>
          <cell r="K217">
            <v>0</v>
          </cell>
          <cell r="L217">
            <v>0</v>
          </cell>
          <cell r="M217">
            <v>0</v>
          </cell>
          <cell r="N217">
            <v>0</v>
          </cell>
          <cell r="O217">
            <v>0</v>
          </cell>
          <cell r="P217">
            <v>306510.12</v>
          </cell>
          <cell r="R217">
            <v>306510.12</v>
          </cell>
          <cell r="S217">
            <v>306510.12</v>
          </cell>
          <cell r="T217">
            <v>306510.12</v>
          </cell>
          <cell r="U217">
            <v>306510.12</v>
          </cell>
          <cell r="V217">
            <v>306510.12</v>
          </cell>
          <cell r="W217">
            <v>306510.12</v>
          </cell>
          <cell r="X217">
            <v>306510.12</v>
          </cell>
          <cell r="Y217">
            <v>306510.12</v>
          </cell>
          <cell r="Z217">
            <v>306510.12</v>
          </cell>
          <cell r="AA217">
            <v>306510.12</v>
          </cell>
          <cell r="AB217">
            <v>306510.12</v>
          </cell>
          <cell r="AC217">
            <v>306510.12</v>
          </cell>
        </row>
        <row r="218">
          <cell r="A218">
            <v>20205</v>
          </cell>
          <cell r="B218" t="str">
            <v xml:space="preserve">PROVISION POR BENEFICIOS A EMPLEADOS                                  </v>
          </cell>
          <cell r="C218">
            <v>418365.74</v>
          </cell>
          <cell r="D218">
            <v>4353.87</v>
          </cell>
          <cell r="E218">
            <v>4784.28</v>
          </cell>
          <cell r="F218">
            <v>6803.64</v>
          </cell>
          <cell r="G218">
            <v>6503.64</v>
          </cell>
          <cell r="H218">
            <v>6547.22</v>
          </cell>
          <cell r="I218">
            <v>5741.14</v>
          </cell>
          <cell r="J218">
            <v>8517.77</v>
          </cell>
          <cell r="K218">
            <v>7779.95</v>
          </cell>
          <cell r="L218">
            <v>7315</v>
          </cell>
          <cell r="M218">
            <v>7243.45</v>
          </cell>
          <cell r="N218">
            <v>6264.21</v>
          </cell>
          <cell r="O218">
            <v>-44679.57</v>
          </cell>
          <cell r="P218">
            <v>445540.34</v>
          </cell>
          <cell r="R218">
            <v>422719.61</v>
          </cell>
          <cell r="S218">
            <v>427503.89</v>
          </cell>
          <cell r="T218">
            <v>434307.53</v>
          </cell>
          <cell r="U218">
            <v>440811.17000000004</v>
          </cell>
          <cell r="V218">
            <v>447358.39</v>
          </cell>
          <cell r="W218">
            <v>453099.53</v>
          </cell>
          <cell r="X218">
            <v>461617.30000000005</v>
          </cell>
          <cell r="Y218">
            <v>469397.25000000006</v>
          </cell>
          <cell r="Z218">
            <v>476712.25000000006</v>
          </cell>
          <cell r="AA218">
            <v>483955.70000000007</v>
          </cell>
          <cell r="AB218">
            <v>490219.91000000009</v>
          </cell>
          <cell r="AC218">
            <v>445540.34000000008</v>
          </cell>
        </row>
        <row r="219">
          <cell r="A219">
            <v>2020501</v>
          </cell>
          <cell r="B219" t="str">
            <v xml:space="preserve">JUBILACIÓN PATRONAL                                                   </v>
          </cell>
          <cell r="C219">
            <v>418365.74</v>
          </cell>
          <cell r="D219">
            <v>4353.87</v>
          </cell>
          <cell r="E219">
            <v>4784.28</v>
          </cell>
          <cell r="F219">
            <v>6803.64</v>
          </cell>
          <cell r="G219">
            <v>6503.64</v>
          </cell>
          <cell r="H219">
            <v>6547.22</v>
          </cell>
          <cell r="I219">
            <v>5741.14</v>
          </cell>
          <cell r="J219">
            <v>8517.77</v>
          </cell>
          <cell r="K219">
            <v>7779.95</v>
          </cell>
          <cell r="L219">
            <v>7315</v>
          </cell>
          <cell r="M219">
            <v>7243.45</v>
          </cell>
          <cell r="N219">
            <v>6264.21</v>
          </cell>
          <cell r="O219">
            <v>-44679.57</v>
          </cell>
          <cell r="P219">
            <v>445540.34</v>
          </cell>
          <cell r="R219">
            <v>422719.61</v>
          </cell>
          <cell r="S219">
            <v>427503.89</v>
          </cell>
          <cell r="T219">
            <v>434307.53</v>
          </cell>
          <cell r="U219">
            <v>440811.17000000004</v>
          </cell>
          <cell r="V219">
            <v>447358.39</v>
          </cell>
          <cell r="W219">
            <v>453099.53</v>
          </cell>
          <cell r="X219">
            <v>461617.30000000005</v>
          </cell>
          <cell r="Y219">
            <v>469397.25000000006</v>
          </cell>
          <cell r="Z219">
            <v>476712.25000000006</v>
          </cell>
          <cell r="AA219">
            <v>483955.70000000007</v>
          </cell>
          <cell r="AB219">
            <v>490219.91000000009</v>
          </cell>
          <cell r="AC219">
            <v>445540.34000000008</v>
          </cell>
        </row>
        <row r="220">
          <cell r="A220">
            <v>202050101</v>
          </cell>
          <cell r="B220" t="str">
            <v xml:space="preserve">JUBILACIÓN PATRONAL                                                   </v>
          </cell>
          <cell r="C220">
            <v>418365.74</v>
          </cell>
          <cell r="D220">
            <v>4353.87</v>
          </cell>
          <cell r="E220">
            <v>4784.28</v>
          </cell>
          <cell r="F220">
            <v>6803.64</v>
          </cell>
          <cell r="G220">
            <v>6503.64</v>
          </cell>
          <cell r="H220">
            <v>6547.22</v>
          </cell>
          <cell r="I220">
            <v>5741.14</v>
          </cell>
          <cell r="J220">
            <v>8517.77</v>
          </cell>
          <cell r="K220">
            <v>7779.95</v>
          </cell>
          <cell r="L220">
            <v>7315</v>
          </cell>
          <cell r="M220">
            <v>7243.45</v>
          </cell>
          <cell r="N220">
            <v>6264.21</v>
          </cell>
          <cell r="O220">
            <v>-44679.57</v>
          </cell>
          <cell r="P220">
            <v>445540.34</v>
          </cell>
          <cell r="R220">
            <v>422719.61</v>
          </cell>
          <cell r="S220">
            <v>427503.89</v>
          </cell>
          <cell r="T220">
            <v>434307.53</v>
          </cell>
          <cell r="U220">
            <v>440811.17000000004</v>
          </cell>
          <cell r="V220">
            <v>447358.39</v>
          </cell>
          <cell r="W220">
            <v>453099.53</v>
          </cell>
          <cell r="X220">
            <v>461617.30000000005</v>
          </cell>
          <cell r="Y220">
            <v>469397.25000000006</v>
          </cell>
          <cell r="Z220">
            <v>476712.25000000006</v>
          </cell>
          <cell r="AA220">
            <v>483955.70000000007</v>
          </cell>
          <cell r="AB220">
            <v>490219.91000000009</v>
          </cell>
          <cell r="AC220">
            <v>445540.34000000008</v>
          </cell>
        </row>
        <row r="221">
          <cell r="A221">
            <v>202050101001</v>
          </cell>
          <cell r="B221" t="str">
            <v xml:space="preserve">Jubiliación Patronal                                                  </v>
          </cell>
          <cell r="C221">
            <v>304593.43</v>
          </cell>
          <cell r="D221">
            <v>5162.1400000000003</v>
          </cell>
          <cell r="E221">
            <v>5162.1400000000003</v>
          </cell>
          <cell r="F221">
            <v>5162.1400000000003</v>
          </cell>
          <cell r="G221">
            <v>5162.1400000000003</v>
          </cell>
          <cell r="H221">
            <v>5162.1400000000003</v>
          </cell>
          <cell r="I221">
            <v>5162.1400000000003</v>
          </cell>
          <cell r="J221">
            <v>6512.18</v>
          </cell>
          <cell r="K221">
            <v>6512.18</v>
          </cell>
          <cell r="L221">
            <v>6512.18</v>
          </cell>
          <cell r="M221">
            <v>6512.18</v>
          </cell>
          <cell r="N221">
            <v>6512.18</v>
          </cell>
          <cell r="O221">
            <v>-32478.83</v>
          </cell>
          <cell r="P221">
            <v>335648.34</v>
          </cell>
          <cell r="R221">
            <v>309755.57</v>
          </cell>
          <cell r="S221">
            <v>314917.71000000002</v>
          </cell>
          <cell r="T221">
            <v>320079.85000000003</v>
          </cell>
          <cell r="U221">
            <v>325241.99000000005</v>
          </cell>
          <cell r="V221">
            <v>330404.13000000006</v>
          </cell>
          <cell r="W221">
            <v>335566.27000000008</v>
          </cell>
          <cell r="X221">
            <v>342078.45000000007</v>
          </cell>
          <cell r="Y221">
            <v>348590.63000000006</v>
          </cell>
          <cell r="Z221">
            <v>355102.81000000006</v>
          </cell>
          <cell r="AA221">
            <v>361614.99000000005</v>
          </cell>
          <cell r="AB221">
            <v>368127.17000000004</v>
          </cell>
          <cell r="AC221">
            <v>335648.34</v>
          </cell>
        </row>
        <row r="222">
          <cell r="A222">
            <v>202050101002</v>
          </cell>
          <cell r="B222" t="str">
            <v xml:space="preserve">Desahucio                                                             </v>
          </cell>
          <cell r="C222">
            <v>113772.31</v>
          </cell>
          <cell r="D222">
            <v>-808.27</v>
          </cell>
          <cell r="E222">
            <v>-377.86</v>
          </cell>
          <cell r="F222">
            <v>1641.5</v>
          </cell>
          <cell r="G222">
            <v>1341.5</v>
          </cell>
          <cell r="H222">
            <v>1385.08</v>
          </cell>
          <cell r="I222">
            <v>579</v>
          </cell>
          <cell r="J222">
            <v>2005.59</v>
          </cell>
          <cell r="K222">
            <v>1267.77</v>
          </cell>
          <cell r="L222">
            <v>802.82</v>
          </cell>
          <cell r="M222">
            <v>731.27</v>
          </cell>
          <cell r="N222">
            <v>-247.97</v>
          </cell>
          <cell r="O222">
            <v>-12200.74</v>
          </cell>
          <cell r="P222">
            <v>109892</v>
          </cell>
          <cell r="R222">
            <v>112964.04</v>
          </cell>
          <cell r="S222">
            <v>112586.18</v>
          </cell>
          <cell r="T222">
            <v>114227.68</v>
          </cell>
          <cell r="U222">
            <v>115569.18</v>
          </cell>
          <cell r="V222">
            <v>116954.26</v>
          </cell>
          <cell r="W222">
            <v>117533.26</v>
          </cell>
          <cell r="X222">
            <v>119538.84999999999</v>
          </cell>
          <cell r="Y222">
            <v>120806.62</v>
          </cell>
          <cell r="Z222">
            <v>121609.44</v>
          </cell>
          <cell r="AA222">
            <v>122340.71</v>
          </cell>
          <cell r="AB222">
            <v>122092.74</v>
          </cell>
          <cell r="AC222">
            <v>109892</v>
          </cell>
        </row>
        <row r="223">
          <cell r="A223">
            <v>3</v>
          </cell>
          <cell r="B223" t="str">
            <v xml:space="preserve">PATRIMONIO NETO                                                       </v>
          </cell>
          <cell r="C223">
            <v>9097379.8499999996</v>
          </cell>
          <cell r="D223">
            <v>0</v>
          </cell>
          <cell r="E223">
            <v>0</v>
          </cell>
          <cell r="F223">
            <v>0</v>
          </cell>
          <cell r="G223">
            <v>0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  <cell r="N223">
            <v>0</v>
          </cell>
          <cell r="O223">
            <v>1525962.01</v>
          </cell>
          <cell r="P223">
            <v>10623341.859999999</v>
          </cell>
          <cell r="R223">
            <v>9097379.8499999996</v>
          </cell>
          <cell r="S223">
            <v>9097379.8499999996</v>
          </cell>
          <cell r="T223">
            <v>9097379.8499999996</v>
          </cell>
          <cell r="U223">
            <v>9097379.8499999996</v>
          </cell>
          <cell r="V223">
            <v>9097379.8499999996</v>
          </cell>
          <cell r="W223">
            <v>9097379.8499999996</v>
          </cell>
          <cell r="X223">
            <v>9097379.8499999996</v>
          </cell>
          <cell r="Y223">
            <v>9097379.8499999996</v>
          </cell>
          <cell r="Z223">
            <v>9097379.8499999996</v>
          </cell>
          <cell r="AA223">
            <v>9097379.8499999996</v>
          </cell>
          <cell r="AB223">
            <v>9097379.8499999996</v>
          </cell>
          <cell r="AC223">
            <v>10623341.859999999</v>
          </cell>
        </row>
        <row r="224">
          <cell r="A224">
            <v>301</v>
          </cell>
          <cell r="B224" t="str">
            <v xml:space="preserve">CAPITAL                                                               </v>
          </cell>
          <cell r="C224">
            <v>1608300</v>
          </cell>
          <cell r="D224">
            <v>0</v>
          </cell>
          <cell r="E224">
            <v>0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1608300</v>
          </cell>
          <cell r="R224">
            <v>1608300</v>
          </cell>
          <cell r="S224">
            <v>1608300</v>
          </cell>
          <cell r="T224">
            <v>1608300</v>
          </cell>
          <cell r="U224">
            <v>1608300</v>
          </cell>
          <cell r="V224">
            <v>1608300</v>
          </cell>
          <cell r="W224">
            <v>1608300</v>
          </cell>
          <cell r="X224">
            <v>1608300</v>
          </cell>
          <cell r="Y224">
            <v>1608300</v>
          </cell>
          <cell r="Z224">
            <v>1608300</v>
          </cell>
          <cell r="AA224">
            <v>1608300</v>
          </cell>
          <cell r="AB224">
            <v>1608300</v>
          </cell>
          <cell r="AC224">
            <v>1608300</v>
          </cell>
        </row>
        <row r="225">
          <cell r="A225">
            <v>30101</v>
          </cell>
          <cell r="B225" t="str">
            <v xml:space="preserve">CAPITAL SOCIAL                                                        </v>
          </cell>
          <cell r="C225">
            <v>1608300</v>
          </cell>
          <cell r="D225">
            <v>0</v>
          </cell>
          <cell r="E225">
            <v>0</v>
          </cell>
          <cell r="F225">
            <v>0</v>
          </cell>
          <cell r="G225">
            <v>0</v>
          </cell>
          <cell r="H225">
            <v>0</v>
          </cell>
          <cell r="I225">
            <v>0</v>
          </cell>
          <cell r="J225">
            <v>0</v>
          </cell>
          <cell r="K225">
            <v>0</v>
          </cell>
          <cell r="L225">
            <v>0</v>
          </cell>
          <cell r="M225">
            <v>0</v>
          </cell>
          <cell r="N225">
            <v>0</v>
          </cell>
          <cell r="O225">
            <v>0</v>
          </cell>
          <cell r="P225">
            <v>1608300</v>
          </cell>
          <cell r="R225">
            <v>1608300</v>
          </cell>
          <cell r="S225">
            <v>1608300</v>
          </cell>
          <cell r="T225">
            <v>1608300</v>
          </cell>
          <cell r="U225">
            <v>1608300</v>
          </cell>
          <cell r="V225">
            <v>1608300</v>
          </cell>
          <cell r="W225">
            <v>1608300</v>
          </cell>
          <cell r="X225">
            <v>1608300</v>
          </cell>
          <cell r="Y225">
            <v>1608300</v>
          </cell>
          <cell r="Z225">
            <v>1608300</v>
          </cell>
          <cell r="AA225">
            <v>1608300</v>
          </cell>
          <cell r="AB225">
            <v>1608300</v>
          </cell>
          <cell r="AC225">
            <v>1608300</v>
          </cell>
        </row>
        <row r="226">
          <cell r="A226">
            <v>3010101</v>
          </cell>
          <cell r="B226" t="str">
            <v xml:space="preserve">CAPITAL SOCIAL                                                        </v>
          </cell>
          <cell r="C226">
            <v>1608300</v>
          </cell>
          <cell r="D226">
            <v>0</v>
          </cell>
          <cell r="E226">
            <v>0</v>
          </cell>
          <cell r="F226">
            <v>0</v>
          </cell>
          <cell r="G226">
            <v>0</v>
          </cell>
          <cell r="H226">
            <v>0</v>
          </cell>
          <cell r="I226">
            <v>0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  <cell r="N226">
            <v>0</v>
          </cell>
          <cell r="O226">
            <v>0</v>
          </cell>
          <cell r="P226">
            <v>1608300</v>
          </cell>
          <cell r="R226">
            <v>1608300</v>
          </cell>
          <cell r="S226">
            <v>1608300</v>
          </cell>
          <cell r="T226">
            <v>1608300</v>
          </cell>
          <cell r="U226">
            <v>1608300</v>
          </cell>
          <cell r="V226">
            <v>1608300</v>
          </cell>
          <cell r="W226">
            <v>1608300</v>
          </cell>
          <cell r="X226">
            <v>1608300</v>
          </cell>
          <cell r="Y226">
            <v>1608300</v>
          </cell>
          <cell r="Z226">
            <v>1608300</v>
          </cell>
          <cell r="AA226">
            <v>1608300</v>
          </cell>
          <cell r="AB226">
            <v>1608300</v>
          </cell>
          <cell r="AC226">
            <v>1608300</v>
          </cell>
        </row>
        <row r="227">
          <cell r="A227">
            <v>301010101</v>
          </cell>
          <cell r="B227" t="str">
            <v xml:space="preserve">CAPITAL SOCIAL                                                        </v>
          </cell>
          <cell r="C227">
            <v>1608300</v>
          </cell>
          <cell r="D227">
            <v>0</v>
          </cell>
          <cell r="E227">
            <v>0</v>
          </cell>
          <cell r="F227">
            <v>0</v>
          </cell>
          <cell r="G227">
            <v>0</v>
          </cell>
          <cell r="H227">
            <v>0</v>
          </cell>
          <cell r="I227">
            <v>0</v>
          </cell>
          <cell r="J227">
            <v>0</v>
          </cell>
          <cell r="K227">
            <v>0</v>
          </cell>
          <cell r="L227">
            <v>0</v>
          </cell>
          <cell r="M227">
            <v>0</v>
          </cell>
          <cell r="N227">
            <v>0</v>
          </cell>
          <cell r="O227">
            <v>0</v>
          </cell>
          <cell r="P227">
            <v>1608300</v>
          </cell>
          <cell r="R227">
            <v>1608300</v>
          </cell>
          <cell r="S227">
            <v>1608300</v>
          </cell>
          <cell r="T227">
            <v>1608300</v>
          </cell>
          <cell r="U227">
            <v>1608300</v>
          </cell>
          <cell r="V227">
            <v>1608300</v>
          </cell>
          <cell r="W227">
            <v>1608300</v>
          </cell>
          <cell r="X227">
            <v>1608300</v>
          </cell>
          <cell r="Y227">
            <v>1608300</v>
          </cell>
          <cell r="Z227">
            <v>1608300</v>
          </cell>
          <cell r="AA227">
            <v>1608300</v>
          </cell>
          <cell r="AB227">
            <v>1608300</v>
          </cell>
          <cell r="AC227">
            <v>1608300</v>
          </cell>
        </row>
        <row r="228">
          <cell r="A228">
            <v>301010101001</v>
          </cell>
          <cell r="B228" t="str">
            <v xml:space="preserve">Captial Social                                                        </v>
          </cell>
          <cell r="C228">
            <v>1608300</v>
          </cell>
          <cell r="D228">
            <v>0</v>
          </cell>
          <cell r="E228">
            <v>0</v>
          </cell>
          <cell r="F228">
            <v>0</v>
          </cell>
          <cell r="G228">
            <v>0</v>
          </cell>
          <cell r="H228">
            <v>0</v>
          </cell>
          <cell r="I228">
            <v>0</v>
          </cell>
          <cell r="J228">
            <v>0</v>
          </cell>
          <cell r="K228">
            <v>0</v>
          </cell>
          <cell r="L228">
            <v>0</v>
          </cell>
          <cell r="M228">
            <v>0</v>
          </cell>
          <cell r="N228">
            <v>0</v>
          </cell>
          <cell r="O228">
            <v>0</v>
          </cell>
          <cell r="P228">
            <v>1608300</v>
          </cell>
          <cell r="R228">
            <v>1608300</v>
          </cell>
          <cell r="S228">
            <v>1608300</v>
          </cell>
          <cell r="T228">
            <v>1608300</v>
          </cell>
          <cell r="U228">
            <v>1608300</v>
          </cell>
          <cell r="V228">
            <v>1608300</v>
          </cell>
          <cell r="W228">
            <v>1608300</v>
          </cell>
          <cell r="X228">
            <v>1608300</v>
          </cell>
          <cell r="Y228">
            <v>1608300</v>
          </cell>
          <cell r="Z228">
            <v>1608300</v>
          </cell>
          <cell r="AA228">
            <v>1608300</v>
          </cell>
          <cell r="AB228">
            <v>1608300</v>
          </cell>
          <cell r="AC228">
            <v>1608300</v>
          </cell>
        </row>
        <row r="229">
          <cell r="A229">
            <v>304</v>
          </cell>
          <cell r="B229" t="str">
            <v xml:space="preserve">RESERVAS:                                                             </v>
          </cell>
          <cell r="C229">
            <v>528900.34</v>
          </cell>
          <cell r="D229">
            <v>97499.69</v>
          </cell>
          <cell r="E229">
            <v>0</v>
          </cell>
          <cell r="F229">
            <v>0</v>
          </cell>
          <cell r="G229">
            <v>0</v>
          </cell>
          <cell r="H229">
            <v>0</v>
          </cell>
          <cell r="I229">
            <v>0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  <cell r="O229">
            <v>0</v>
          </cell>
          <cell r="P229">
            <v>626400.03</v>
          </cell>
          <cell r="R229">
            <v>626400.03</v>
          </cell>
          <cell r="S229">
            <v>626400.03</v>
          </cell>
          <cell r="T229">
            <v>626400.03</v>
          </cell>
          <cell r="U229">
            <v>626400.03</v>
          </cell>
          <cell r="V229">
            <v>626400.03</v>
          </cell>
          <cell r="W229">
            <v>626400.03</v>
          </cell>
          <cell r="X229">
            <v>626400.03</v>
          </cell>
          <cell r="Y229">
            <v>626400.03</v>
          </cell>
          <cell r="Z229">
            <v>626400.03</v>
          </cell>
          <cell r="AA229">
            <v>626400.03</v>
          </cell>
          <cell r="AB229">
            <v>626400.03</v>
          </cell>
          <cell r="AC229">
            <v>626400.03</v>
          </cell>
        </row>
        <row r="230">
          <cell r="A230">
            <v>30401</v>
          </cell>
          <cell r="B230" t="str">
            <v xml:space="preserve">RESERVA LEGAL                                                         </v>
          </cell>
          <cell r="C230">
            <v>521900.78</v>
          </cell>
          <cell r="D230">
            <v>97499.69</v>
          </cell>
          <cell r="E230">
            <v>0</v>
          </cell>
          <cell r="F230">
            <v>0</v>
          </cell>
          <cell r="G230">
            <v>0</v>
          </cell>
          <cell r="H230">
            <v>0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N230">
            <v>0</v>
          </cell>
          <cell r="O230">
            <v>0</v>
          </cell>
          <cell r="P230">
            <v>619400.47</v>
          </cell>
          <cell r="R230">
            <v>619400.47</v>
          </cell>
          <cell r="S230">
            <v>619400.47</v>
          </cell>
          <cell r="T230">
            <v>619400.47</v>
          </cell>
          <cell r="U230">
            <v>619400.47</v>
          </cell>
          <cell r="V230">
            <v>619400.47</v>
          </cell>
          <cell r="W230">
            <v>619400.47</v>
          </cell>
          <cell r="X230">
            <v>619400.47</v>
          </cell>
          <cell r="Y230">
            <v>619400.47</v>
          </cell>
          <cell r="Z230">
            <v>619400.47</v>
          </cell>
          <cell r="AA230">
            <v>619400.47</v>
          </cell>
          <cell r="AB230">
            <v>619400.47</v>
          </cell>
          <cell r="AC230">
            <v>619400.47</v>
          </cell>
        </row>
        <row r="231">
          <cell r="A231">
            <v>3040101</v>
          </cell>
          <cell r="B231" t="str">
            <v xml:space="preserve">RESERVA LEGAL                                                         </v>
          </cell>
          <cell r="C231">
            <v>521900.78</v>
          </cell>
          <cell r="D231">
            <v>97499.69</v>
          </cell>
          <cell r="E231">
            <v>0</v>
          </cell>
          <cell r="F231">
            <v>0</v>
          </cell>
          <cell r="G231">
            <v>0</v>
          </cell>
          <cell r="H231">
            <v>0</v>
          </cell>
          <cell r="I231">
            <v>0</v>
          </cell>
          <cell r="J231">
            <v>0</v>
          </cell>
          <cell r="K231">
            <v>0</v>
          </cell>
          <cell r="L231">
            <v>0</v>
          </cell>
          <cell r="M231">
            <v>0</v>
          </cell>
          <cell r="N231">
            <v>0</v>
          </cell>
          <cell r="O231">
            <v>0</v>
          </cell>
          <cell r="P231">
            <v>619400.47</v>
          </cell>
          <cell r="R231">
            <v>619400.47</v>
          </cell>
          <cell r="S231">
            <v>619400.47</v>
          </cell>
          <cell r="T231">
            <v>619400.47</v>
          </cell>
          <cell r="U231">
            <v>619400.47</v>
          </cell>
          <cell r="V231">
            <v>619400.47</v>
          </cell>
          <cell r="W231">
            <v>619400.47</v>
          </cell>
          <cell r="X231">
            <v>619400.47</v>
          </cell>
          <cell r="Y231">
            <v>619400.47</v>
          </cell>
          <cell r="Z231">
            <v>619400.47</v>
          </cell>
          <cell r="AA231">
            <v>619400.47</v>
          </cell>
          <cell r="AB231">
            <v>619400.47</v>
          </cell>
          <cell r="AC231">
            <v>619400.47</v>
          </cell>
        </row>
        <row r="232">
          <cell r="A232">
            <v>304010101</v>
          </cell>
          <cell r="B232" t="str">
            <v xml:space="preserve">RESERVA LEGAL                                                         </v>
          </cell>
          <cell r="C232">
            <v>521900.78</v>
          </cell>
          <cell r="D232">
            <v>97499.69</v>
          </cell>
          <cell r="E232">
            <v>0</v>
          </cell>
          <cell r="F232">
            <v>0</v>
          </cell>
          <cell r="G232">
            <v>0</v>
          </cell>
          <cell r="H232">
            <v>0</v>
          </cell>
          <cell r="I232">
            <v>0</v>
          </cell>
          <cell r="J232">
            <v>0</v>
          </cell>
          <cell r="K232">
            <v>0</v>
          </cell>
          <cell r="L232">
            <v>0</v>
          </cell>
          <cell r="M232">
            <v>0</v>
          </cell>
          <cell r="N232">
            <v>0</v>
          </cell>
          <cell r="O232">
            <v>0</v>
          </cell>
          <cell r="P232">
            <v>619400.47</v>
          </cell>
          <cell r="R232">
            <v>619400.47</v>
          </cell>
          <cell r="S232">
            <v>619400.47</v>
          </cell>
          <cell r="T232">
            <v>619400.47</v>
          </cell>
          <cell r="U232">
            <v>619400.47</v>
          </cell>
          <cell r="V232">
            <v>619400.47</v>
          </cell>
          <cell r="W232">
            <v>619400.47</v>
          </cell>
          <cell r="X232">
            <v>619400.47</v>
          </cell>
          <cell r="Y232">
            <v>619400.47</v>
          </cell>
          <cell r="Z232">
            <v>619400.47</v>
          </cell>
          <cell r="AA232">
            <v>619400.47</v>
          </cell>
          <cell r="AB232">
            <v>619400.47</v>
          </cell>
          <cell r="AC232">
            <v>619400.47</v>
          </cell>
        </row>
        <row r="233">
          <cell r="A233">
            <v>304010101001</v>
          </cell>
          <cell r="B233" t="str">
            <v xml:space="preserve">Reserva Legal                                                         </v>
          </cell>
          <cell r="C233">
            <v>521900.78</v>
          </cell>
          <cell r="D233">
            <v>97499.69</v>
          </cell>
          <cell r="E233">
            <v>0</v>
          </cell>
          <cell r="F233">
            <v>0</v>
          </cell>
          <cell r="G233">
            <v>0</v>
          </cell>
          <cell r="H233">
            <v>0</v>
          </cell>
          <cell r="I233">
            <v>0</v>
          </cell>
          <cell r="J233">
            <v>0</v>
          </cell>
          <cell r="K233">
            <v>0</v>
          </cell>
          <cell r="L233">
            <v>0</v>
          </cell>
          <cell r="M233">
            <v>0</v>
          </cell>
          <cell r="N233">
            <v>0</v>
          </cell>
          <cell r="O233">
            <v>0</v>
          </cell>
          <cell r="P233">
            <v>619400.47</v>
          </cell>
          <cell r="R233">
            <v>619400.47</v>
          </cell>
          <cell r="S233">
            <v>619400.47</v>
          </cell>
          <cell r="T233">
            <v>619400.47</v>
          </cell>
          <cell r="U233">
            <v>619400.47</v>
          </cell>
          <cell r="V233">
            <v>619400.47</v>
          </cell>
          <cell r="W233">
            <v>619400.47</v>
          </cell>
          <cell r="X233">
            <v>619400.47</v>
          </cell>
          <cell r="Y233">
            <v>619400.47</v>
          </cell>
          <cell r="Z233">
            <v>619400.47</v>
          </cell>
          <cell r="AA233">
            <v>619400.47</v>
          </cell>
          <cell r="AB233">
            <v>619400.47</v>
          </cell>
          <cell r="AC233">
            <v>619400.47</v>
          </cell>
        </row>
        <row r="234">
          <cell r="A234">
            <v>30402</v>
          </cell>
          <cell r="B234" t="str">
            <v xml:space="preserve">RESERVAS FACULTATIVA Y ESTATUTARIA                                    </v>
          </cell>
          <cell r="C234">
            <v>6999.56</v>
          </cell>
          <cell r="D234">
            <v>0</v>
          </cell>
          <cell r="E234">
            <v>0</v>
          </cell>
          <cell r="F234">
            <v>0</v>
          </cell>
          <cell r="G234">
            <v>0</v>
          </cell>
          <cell r="H234">
            <v>0</v>
          </cell>
          <cell r="I234">
            <v>0</v>
          </cell>
          <cell r="J234">
            <v>0</v>
          </cell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6999.56</v>
          </cell>
          <cell r="R234">
            <v>6999.56</v>
          </cell>
          <cell r="S234">
            <v>6999.56</v>
          </cell>
          <cell r="T234">
            <v>6999.56</v>
          </cell>
          <cell r="U234">
            <v>6999.56</v>
          </cell>
          <cell r="V234">
            <v>6999.56</v>
          </cell>
          <cell r="W234">
            <v>6999.56</v>
          </cell>
          <cell r="X234">
            <v>6999.56</v>
          </cell>
          <cell r="Y234">
            <v>6999.56</v>
          </cell>
          <cell r="Z234">
            <v>6999.56</v>
          </cell>
          <cell r="AA234">
            <v>6999.56</v>
          </cell>
          <cell r="AB234">
            <v>6999.56</v>
          </cell>
          <cell r="AC234">
            <v>6999.56</v>
          </cell>
        </row>
        <row r="235">
          <cell r="A235">
            <v>3040201</v>
          </cell>
          <cell r="B235" t="str">
            <v xml:space="preserve">RESERVA FACULTATIVA Y ESTATUTARIA                                     </v>
          </cell>
          <cell r="C235">
            <v>6999.56</v>
          </cell>
          <cell r="D235">
            <v>0</v>
          </cell>
          <cell r="E235">
            <v>0</v>
          </cell>
          <cell r="F235">
            <v>0</v>
          </cell>
          <cell r="G235">
            <v>0</v>
          </cell>
          <cell r="H235">
            <v>0</v>
          </cell>
          <cell r="I235">
            <v>0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  <cell r="N235">
            <v>0</v>
          </cell>
          <cell r="O235">
            <v>0</v>
          </cell>
          <cell r="P235">
            <v>6999.56</v>
          </cell>
          <cell r="R235">
            <v>6999.56</v>
          </cell>
          <cell r="S235">
            <v>6999.56</v>
          </cell>
          <cell r="T235">
            <v>6999.56</v>
          </cell>
          <cell r="U235">
            <v>6999.56</v>
          </cell>
          <cell r="V235">
            <v>6999.56</v>
          </cell>
          <cell r="W235">
            <v>6999.56</v>
          </cell>
          <cell r="X235">
            <v>6999.56</v>
          </cell>
          <cell r="Y235">
            <v>6999.56</v>
          </cell>
          <cell r="Z235">
            <v>6999.56</v>
          </cell>
          <cell r="AA235">
            <v>6999.56</v>
          </cell>
          <cell r="AB235">
            <v>6999.56</v>
          </cell>
          <cell r="AC235">
            <v>6999.56</v>
          </cell>
        </row>
        <row r="236">
          <cell r="A236">
            <v>304020101</v>
          </cell>
          <cell r="B236" t="str">
            <v xml:space="preserve">RESEVA FACULTATIVA Y ESTATUTARIA                                      </v>
          </cell>
          <cell r="C236">
            <v>6999.56</v>
          </cell>
          <cell r="D236">
            <v>0</v>
          </cell>
          <cell r="E236">
            <v>0</v>
          </cell>
          <cell r="F236">
            <v>0</v>
          </cell>
          <cell r="G236">
            <v>0</v>
          </cell>
          <cell r="H236">
            <v>0</v>
          </cell>
          <cell r="I236">
            <v>0</v>
          </cell>
          <cell r="J236">
            <v>0</v>
          </cell>
          <cell r="K236">
            <v>0</v>
          </cell>
          <cell r="L236">
            <v>0</v>
          </cell>
          <cell r="M236">
            <v>0</v>
          </cell>
          <cell r="N236">
            <v>0</v>
          </cell>
          <cell r="O236">
            <v>0</v>
          </cell>
          <cell r="P236">
            <v>6999.56</v>
          </cell>
          <cell r="R236">
            <v>6999.56</v>
          </cell>
          <cell r="S236">
            <v>6999.56</v>
          </cell>
          <cell r="T236">
            <v>6999.56</v>
          </cell>
          <cell r="U236">
            <v>6999.56</v>
          </cell>
          <cell r="V236">
            <v>6999.56</v>
          </cell>
          <cell r="W236">
            <v>6999.56</v>
          </cell>
          <cell r="X236">
            <v>6999.56</v>
          </cell>
          <cell r="Y236">
            <v>6999.56</v>
          </cell>
          <cell r="Z236">
            <v>6999.56</v>
          </cell>
          <cell r="AA236">
            <v>6999.56</v>
          </cell>
          <cell r="AB236">
            <v>6999.56</v>
          </cell>
          <cell r="AC236">
            <v>6999.56</v>
          </cell>
        </row>
        <row r="237">
          <cell r="A237">
            <v>304020101001</v>
          </cell>
          <cell r="B237" t="str">
            <v xml:space="preserve">Reserva Facultativa y Estatutaria                                     </v>
          </cell>
          <cell r="C237">
            <v>6999.56</v>
          </cell>
          <cell r="D237">
            <v>0</v>
          </cell>
          <cell r="E237">
            <v>0</v>
          </cell>
          <cell r="F237">
            <v>0</v>
          </cell>
          <cell r="G237">
            <v>0</v>
          </cell>
          <cell r="H237">
            <v>0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  <cell r="M237">
            <v>0</v>
          </cell>
          <cell r="N237">
            <v>0</v>
          </cell>
          <cell r="O237">
            <v>0</v>
          </cell>
          <cell r="P237">
            <v>6999.56</v>
          </cell>
          <cell r="R237">
            <v>6999.56</v>
          </cell>
          <cell r="S237">
            <v>6999.56</v>
          </cell>
          <cell r="T237">
            <v>6999.56</v>
          </cell>
          <cell r="U237">
            <v>6999.56</v>
          </cell>
          <cell r="V237">
            <v>6999.56</v>
          </cell>
          <cell r="W237">
            <v>6999.56</v>
          </cell>
          <cell r="X237">
            <v>6999.56</v>
          </cell>
          <cell r="Y237">
            <v>6999.56</v>
          </cell>
          <cell r="Z237">
            <v>6999.56</v>
          </cell>
          <cell r="AA237">
            <v>6999.56</v>
          </cell>
          <cell r="AB237">
            <v>6999.56</v>
          </cell>
          <cell r="AC237">
            <v>6999.56</v>
          </cell>
        </row>
        <row r="238">
          <cell r="A238">
            <v>305</v>
          </cell>
          <cell r="B238" t="str">
            <v xml:space="preserve">OTROS RESULTADOS INTEGRALES                                           </v>
          </cell>
          <cell r="C238">
            <v>65681.87</v>
          </cell>
          <cell r="D238">
            <v>0</v>
          </cell>
          <cell r="E238">
            <v>0</v>
          </cell>
          <cell r="F238">
            <v>0</v>
          </cell>
          <cell r="G238">
            <v>0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  <cell r="N238">
            <v>0</v>
          </cell>
          <cell r="O238">
            <v>45045.02</v>
          </cell>
          <cell r="P238">
            <v>110726.89</v>
          </cell>
          <cell r="R238">
            <v>65681.87</v>
          </cell>
          <cell r="S238">
            <v>65681.87</v>
          </cell>
          <cell r="T238">
            <v>65681.87</v>
          </cell>
          <cell r="U238">
            <v>65681.87</v>
          </cell>
          <cell r="V238">
            <v>65681.87</v>
          </cell>
          <cell r="W238">
            <v>65681.87</v>
          </cell>
          <cell r="X238">
            <v>65681.87</v>
          </cell>
          <cell r="Y238">
            <v>65681.87</v>
          </cell>
          <cell r="Z238">
            <v>65681.87</v>
          </cell>
          <cell r="AA238">
            <v>65681.87</v>
          </cell>
          <cell r="AB238">
            <v>65681.87</v>
          </cell>
          <cell r="AC238">
            <v>110726.88999999998</v>
          </cell>
        </row>
        <row r="239">
          <cell r="A239">
            <v>30502</v>
          </cell>
          <cell r="B239" t="str">
            <v xml:space="preserve">SUPERAVIT POR REVALUACIÓN DE PROPIEDADES, PLANTA Y EQUIPO             </v>
          </cell>
          <cell r="C239">
            <v>27785.96</v>
          </cell>
          <cell r="D239">
            <v>0</v>
          </cell>
          <cell r="E239">
            <v>0</v>
          </cell>
          <cell r="F239">
            <v>0</v>
          </cell>
          <cell r="G239">
            <v>0</v>
          </cell>
          <cell r="H239">
            <v>0</v>
          </cell>
          <cell r="I239">
            <v>0</v>
          </cell>
          <cell r="J239">
            <v>0</v>
          </cell>
          <cell r="K239">
            <v>0</v>
          </cell>
          <cell r="L239">
            <v>0</v>
          </cell>
          <cell r="M239">
            <v>0</v>
          </cell>
          <cell r="N239">
            <v>0</v>
          </cell>
          <cell r="O239">
            <v>0</v>
          </cell>
          <cell r="P239">
            <v>27785.96</v>
          </cell>
          <cell r="R239">
            <v>27785.96</v>
          </cell>
          <cell r="S239">
            <v>27785.96</v>
          </cell>
          <cell r="T239">
            <v>27785.96</v>
          </cell>
          <cell r="U239">
            <v>27785.96</v>
          </cell>
          <cell r="V239">
            <v>27785.96</v>
          </cell>
          <cell r="W239">
            <v>27785.96</v>
          </cell>
          <cell r="X239">
            <v>27785.96</v>
          </cell>
          <cell r="Y239">
            <v>27785.96</v>
          </cell>
          <cell r="Z239">
            <v>27785.96</v>
          </cell>
          <cell r="AA239">
            <v>27785.96</v>
          </cell>
          <cell r="AB239">
            <v>27785.96</v>
          </cell>
          <cell r="AC239">
            <v>27785.96</v>
          </cell>
        </row>
        <row r="240">
          <cell r="A240">
            <v>3050201</v>
          </cell>
          <cell r="B240" t="str">
            <v xml:space="preserve">SUPERAVIT POR REVALUACIÓN DE PROPIEDADES, PLANTA Y EQUIPO             </v>
          </cell>
          <cell r="C240">
            <v>27785.96</v>
          </cell>
          <cell r="D240">
            <v>0</v>
          </cell>
          <cell r="E240">
            <v>0</v>
          </cell>
          <cell r="F240">
            <v>0</v>
          </cell>
          <cell r="G240">
            <v>0</v>
          </cell>
          <cell r="H240">
            <v>0</v>
          </cell>
          <cell r="I240">
            <v>0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  <cell r="N240">
            <v>0</v>
          </cell>
          <cell r="O240">
            <v>0</v>
          </cell>
          <cell r="P240">
            <v>27785.96</v>
          </cell>
          <cell r="R240">
            <v>27785.96</v>
          </cell>
          <cell r="S240">
            <v>27785.96</v>
          </cell>
          <cell r="T240">
            <v>27785.96</v>
          </cell>
          <cell r="U240">
            <v>27785.96</v>
          </cell>
          <cell r="V240">
            <v>27785.96</v>
          </cell>
          <cell r="W240">
            <v>27785.96</v>
          </cell>
          <cell r="X240">
            <v>27785.96</v>
          </cell>
          <cell r="Y240">
            <v>27785.96</v>
          </cell>
          <cell r="Z240">
            <v>27785.96</v>
          </cell>
          <cell r="AA240">
            <v>27785.96</v>
          </cell>
          <cell r="AB240">
            <v>27785.96</v>
          </cell>
          <cell r="AC240">
            <v>27785.96</v>
          </cell>
        </row>
        <row r="241">
          <cell r="A241">
            <v>305020101</v>
          </cell>
          <cell r="B241" t="str">
            <v xml:space="preserve">SUPERAVIT POR REVALUACIÓN DE PROPIEDADES, PLANTA Y EQUIPO             </v>
          </cell>
          <cell r="C241">
            <v>27785.96</v>
          </cell>
          <cell r="D241">
            <v>0</v>
          </cell>
          <cell r="E241">
            <v>0</v>
          </cell>
          <cell r="F241">
            <v>0</v>
          </cell>
          <cell r="G241">
            <v>0</v>
          </cell>
          <cell r="H241">
            <v>0</v>
          </cell>
          <cell r="I241">
            <v>0</v>
          </cell>
          <cell r="J241">
            <v>0</v>
          </cell>
          <cell r="K241">
            <v>0</v>
          </cell>
          <cell r="L241">
            <v>0</v>
          </cell>
          <cell r="M241">
            <v>0</v>
          </cell>
          <cell r="N241">
            <v>0</v>
          </cell>
          <cell r="O241">
            <v>0</v>
          </cell>
          <cell r="P241">
            <v>27785.96</v>
          </cell>
          <cell r="R241">
            <v>27785.96</v>
          </cell>
          <cell r="S241">
            <v>27785.96</v>
          </cell>
          <cell r="T241">
            <v>27785.96</v>
          </cell>
          <cell r="U241">
            <v>27785.96</v>
          </cell>
          <cell r="V241">
            <v>27785.96</v>
          </cell>
          <cell r="W241">
            <v>27785.96</v>
          </cell>
          <cell r="X241">
            <v>27785.96</v>
          </cell>
          <cell r="Y241">
            <v>27785.96</v>
          </cell>
          <cell r="Z241">
            <v>27785.96</v>
          </cell>
          <cell r="AA241">
            <v>27785.96</v>
          </cell>
          <cell r="AB241">
            <v>27785.96</v>
          </cell>
          <cell r="AC241">
            <v>27785.96</v>
          </cell>
        </row>
        <row r="242">
          <cell r="A242">
            <v>305020101001</v>
          </cell>
          <cell r="B242" t="str">
            <v xml:space="preserve">superavit por revaluacion de propiedades, planta y equipos            </v>
          </cell>
          <cell r="C242">
            <v>27785.96</v>
          </cell>
          <cell r="D242">
            <v>0</v>
          </cell>
          <cell r="E242">
            <v>0</v>
          </cell>
          <cell r="F242">
            <v>0</v>
          </cell>
          <cell r="G242">
            <v>0</v>
          </cell>
          <cell r="H242">
            <v>0</v>
          </cell>
          <cell r="I242">
            <v>0</v>
          </cell>
          <cell r="J242">
            <v>0</v>
          </cell>
          <cell r="K242">
            <v>0</v>
          </cell>
          <cell r="L242">
            <v>0</v>
          </cell>
          <cell r="M242">
            <v>0</v>
          </cell>
          <cell r="N242">
            <v>0</v>
          </cell>
          <cell r="O242">
            <v>0</v>
          </cell>
          <cell r="P242">
            <v>27785.96</v>
          </cell>
          <cell r="R242">
            <v>27785.96</v>
          </cell>
          <cell r="S242">
            <v>27785.96</v>
          </cell>
          <cell r="T242">
            <v>27785.96</v>
          </cell>
          <cell r="U242">
            <v>27785.96</v>
          </cell>
          <cell r="V242">
            <v>27785.96</v>
          </cell>
          <cell r="W242">
            <v>27785.96</v>
          </cell>
          <cell r="X242">
            <v>27785.96</v>
          </cell>
          <cell r="Y242">
            <v>27785.96</v>
          </cell>
          <cell r="Z242">
            <v>27785.96</v>
          </cell>
          <cell r="AA242">
            <v>27785.96</v>
          </cell>
          <cell r="AB242">
            <v>27785.96</v>
          </cell>
          <cell r="AC242">
            <v>27785.96</v>
          </cell>
        </row>
        <row r="243">
          <cell r="A243">
            <v>30504</v>
          </cell>
          <cell r="B243" t="str">
            <v xml:space="preserve">GANANCIAS Y PÉRDIDAS ACTUARIALES ACUMULADAS                           </v>
          </cell>
          <cell r="C243">
            <v>37895.910000000003</v>
          </cell>
          <cell r="D243">
            <v>0</v>
          </cell>
          <cell r="E243">
            <v>0</v>
          </cell>
          <cell r="F243">
            <v>0</v>
          </cell>
          <cell r="G243">
            <v>0</v>
          </cell>
          <cell r="H243">
            <v>0</v>
          </cell>
          <cell r="I243">
            <v>0</v>
          </cell>
          <cell r="J243">
            <v>0</v>
          </cell>
          <cell r="K243">
            <v>0</v>
          </cell>
          <cell r="L243">
            <v>0</v>
          </cell>
          <cell r="M243">
            <v>0</v>
          </cell>
          <cell r="N243">
            <v>0</v>
          </cell>
          <cell r="O243">
            <v>45045.02</v>
          </cell>
          <cell r="P243">
            <v>82940.929999999993</v>
          </cell>
          <cell r="R243">
            <v>37895.910000000003</v>
          </cell>
          <cell r="S243">
            <v>37895.910000000003</v>
          </cell>
          <cell r="T243">
            <v>37895.910000000003</v>
          </cell>
          <cell r="U243">
            <v>37895.910000000003</v>
          </cell>
          <cell r="V243">
            <v>37895.910000000003</v>
          </cell>
          <cell r="W243">
            <v>37895.910000000003</v>
          </cell>
          <cell r="X243">
            <v>37895.910000000003</v>
          </cell>
          <cell r="Y243">
            <v>37895.910000000003</v>
          </cell>
          <cell r="Z243">
            <v>37895.910000000003</v>
          </cell>
          <cell r="AA243">
            <v>37895.910000000003</v>
          </cell>
          <cell r="AB243">
            <v>37895.910000000003</v>
          </cell>
          <cell r="AC243">
            <v>82940.929999999993</v>
          </cell>
        </row>
        <row r="244">
          <cell r="A244">
            <v>3050401</v>
          </cell>
          <cell r="B244" t="str">
            <v xml:space="preserve">GANANCIAS Y PÉRDIDAS ACTUARIALES ACUMULADAS                           </v>
          </cell>
          <cell r="C244">
            <v>37895.910000000003</v>
          </cell>
          <cell r="D244">
            <v>0</v>
          </cell>
          <cell r="E244">
            <v>0</v>
          </cell>
          <cell r="F244">
            <v>0</v>
          </cell>
          <cell r="G244">
            <v>0</v>
          </cell>
          <cell r="H244">
            <v>0</v>
          </cell>
          <cell r="I244">
            <v>0</v>
          </cell>
          <cell r="J244">
            <v>0</v>
          </cell>
          <cell r="K244">
            <v>0</v>
          </cell>
          <cell r="L244">
            <v>0</v>
          </cell>
          <cell r="M244">
            <v>0</v>
          </cell>
          <cell r="N244">
            <v>0</v>
          </cell>
          <cell r="O244">
            <v>45045.02</v>
          </cell>
          <cell r="P244">
            <v>82940.929999999993</v>
          </cell>
          <cell r="R244">
            <v>37895.910000000003</v>
          </cell>
          <cell r="S244">
            <v>37895.910000000003</v>
          </cell>
          <cell r="T244">
            <v>37895.910000000003</v>
          </cell>
          <cell r="U244">
            <v>37895.910000000003</v>
          </cell>
          <cell r="V244">
            <v>37895.910000000003</v>
          </cell>
          <cell r="W244">
            <v>37895.910000000003</v>
          </cell>
          <cell r="X244">
            <v>37895.910000000003</v>
          </cell>
          <cell r="Y244">
            <v>37895.910000000003</v>
          </cell>
          <cell r="Z244">
            <v>37895.910000000003</v>
          </cell>
          <cell r="AA244">
            <v>37895.910000000003</v>
          </cell>
          <cell r="AB244">
            <v>37895.910000000003</v>
          </cell>
          <cell r="AC244">
            <v>82940.929999999993</v>
          </cell>
        </row>
        <row r="245">
          <cell r="A245">
            <v>305040101</v>
          </cell>
          <cell r="B245" t="str">
            <v xml:space="preserve">GANANCIAS Y PÉRDIDAS ACTUARIALES ACUMULADAS                           </v>
          </cell>
          <cell r="C245">
            <v>37895.910000000003</v>
          </cell>
          <cell r="D245">
            <v>0</v>
          </cell>
          <cell r="E245">
            <v>0</v>
          </cell>
          <cell r="F245">
            <v>0</v>
          </cell>
          <cell r="G245">
            <v>0</v>
          </cell>
          <cell r="H245">
            <v>0</v>
          </cell>
          <cell r="I245">
            <v>0</v>
          </cell>
          <cell r="J245">
            <v>0</v>
          </cell>
          <cell r="K245">
            <v>0</v>
          </cell>
          <cell r="L245">
            <v>0</v>
          </cell>
          <cell r="M245">
            <v>0</v>
          </cell>
          <cell r="N245">
            <v>0</v>
          </cell>
          <cell r="O245">
            <v>45045.02</v>
          </cell>
          <cell r="P245">
            <v>82940.929999999993</v>
          </cell>
          <cell r="R245">
            <v>37895.910000000003</v>
          </cell>
          <cell r="S245">
            <v>37895.910000000003</v>
          </cell>
          <cell r="T245">
            <v>37895.910000000003</v>
          </cell>
          <cell r="U245">
            <v>37895.910000000003</v>
          </cell>
          <cell r="V245">
            <v>37895.910000000003</v>
          </cell>
          <cell r="W245">
            <v>37895.910000000003</v>
          </cell>
          <cell r="X245">
            <v>37895.910000000003</v>
          </cell>
          <cell r="Y245">
            <v>37895.910000000003</v>
          </cell>
          <cell r="Z245">
            <v>37895.910000000003</v>
          </cell>
          <cell r="AA245">
            <v>37895.910000000003</v>
          </cell>
          <cell r="AB245">
            <v>37895.910000000003</v>
          </cell>
          <cell r="AC245">
            <v>82940.929999999993</v>
          </cell>
        </row>
        <row r="246">
          <cell r="A246">
            <v>305040101001</v>
          </cell>
          <cell r="B246" t="str">
            <v xml:space="preserve">Perdidas y ganacias Actuariales reconocidas ORI                       </v>
          </cell>
          <cell r="C246">
            <v>8287.43</v>
          </cell>
          <cell r="D246">
            <v>0</v>
          </cell>
          <cell r="E246">
            <v>0</v>
          </cell>
          <cell r="F246">
            <v>0</v>
          </cell>
          <cell r="G246">
            <v>0</v>
          </cell>
          <cell r="H246">
            <v>0</v>
          </cell>
          <cell r="I246">
            <v>0</v>
          </cell>
          <cell r="J246">
            <v>0</v>
          </cell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O246">
            <v>56355.61</v>
          </cell>
          <cell r="P246">
            <v>64643.040000000001</v>
          </cell>
          <cell r="R246">
            <v>8287.43</v>
          </cell>
          <cell r="S246">
            <v>8287.43</v>
          </cell>
          <cell r="T246">
            <v>8287.43</v>
          </cell>
          <cell r="U246">
            <v>8287.43</v>
          </cell>
          <cell r="V246">
            <v>8287.43</v>
          </cell>
          <cell r="W246">
            <v>8287.43</v>
          </cell>
          <cell r="X246">
            <v>8287.43</v>
          </cell>
          <cell r="Y246">
            <v>8287.43</v>
          </cell>
          <cell r="Z246">
            <v>8287.43</v>
          </cell>
          <cell r="AA246">
            <v>8287.43</v>
          </cell>
          <cell r="AB246">
            <v>8287.43</v>
          </cell>
          <cell r="AC246">
            <v>64643.040000000001</v>
          </cell>
        </row>
        <row r="247">
          <cell r="A247">
            <v>305040101002</v>
          </cell>
          <cell r="B247" t="str">
            <v xml:space="preserve">Gasto por Impuesto a la Ganancia Diferido                             </v>
          </cell>
          <cell r="C247">
            <v>29608.48</v>
          </cell>
          <cell r="D247">
            <v>0</v>
          </cell>
          <cell r="E247">
            <v>0</v>
          </cell>
          <cell r="F247">
            <v>0</v>
          </cell>
          <cell r="G247">
            <v>0</v>
          </cell>
          <cell r="H247">
            <v>0</v>
          </cell>
          <cell r="I247">
            <v>0</v>
          </cell>
          <cell r="J247">
            <v>0</v>
          </cell>
          <cell r="K247">
            <v>0</v>
          </cell>
          <cell r="L247">
            <v>0</v>
          </cell>
          <cell r="M247">
            <v>0</v>
          </cell>
          <cell r="N247">
            <v>0</v>
          </cell>
          <cell r="O247">
            <v>-11310.59</v>
          </cell>
          <cell r="P247">
            <v>18297.89</v>
          </cell>
          <cell r="R247">
            <v>29608.48</v>
          </cell>
          <cell r="S247">
            <v>29608.48</v>
          </cell>
          <cell r="T247">
            <v>29608.48</v>
          </cell>
          <cell r="U247">
            <v>29608.48</v>
          </cell>
          <cell r="V247">
            <v>29608.48</v>
          </cell>
          <cell r="W247">
            <v>29608.48</v>
          </cell>
          <cell r="X247">
            <v>29608.48</v>
          </cell>
          <cell r="Y247">
            <v>29608.48</v>
          </cell>
          <cell r="Z247">
            <v>29608.48</v>
          </cell>
          <cell r="AA247">
            <v>29608.48</v>
          </cell>
          <cell r="AB247">
            <v>29608.48</v>
          </cell>
          <cell r="AC247">
            <v>18297.89</v>
          </cell>
        </row>
        <row r="248">
          <cell r="A248">
            <v>306</v>
          </cell>
          <cell r="B248" t="str">
            <v xml:space="preserve">RESULTADOS ACUMULADOS                                                 </v>
          </cell>
          <cell r="C248">
            <v>5919500.75</v>
          </cell>
          <cell r="D248">
            <v>877497.2</v>
          </cell>
          <cell r="E248">
            <v>0</v>
          </cell>
          <cell r="F248">
            <v>0</v>
          </cell>
          <cell r="G248">
            <v>0</v>
          </cell>
          <cell r="H248">
            <v>0</v>
          </cell>
          <cell r="I248">
            <v>0</v>
          </cell>
          <cell r="J248">
            <v>0</v>
          </cell>
          <cell r="K248">
            <v>0</v>
          </cell>
          <cell r="L248">
            <v>0</v>
          </cell>
          <cell r="M248">
            <v>0</v>
          </cell>
          <cell r="N248">
            <v>0</v>
          </cell>
          <cell r="O248">
            <v>0</v>
          </cell>
          <cell r="P248">
            <v>6796997.9500000002</v>
          </cell>
          <cell r="R248">
            <v>6796997.9500000002</v>
          </cell>
          <cell r="S248">
            <v>6796997.9500000002</v>
          </cell>
          <cell r="T248">
            <v>6796997.9500000002</v>
          </cell>
          <cell r="U248">
            <v>6796997.9500000002</v>
          </cell>
          <cell r="V248">
            <v>6796997.9500000002</v>
          </cell>
          <cell r="W248">
            <v>6796997.9500000002</v>
          </cell>
          <cell r="X248">
            <v>6796997.9500000002</v>
          </cell>
          <cell r="Y248">
            <v>6796997.9500000002</v>
          </cell>
          <cell r="Z248">
            <v>6796997.9500000002</v>
          </cell>
          <cell r="AA248">
            <v>6796997.9500000002</v>
          </cell>
          <cell r="AB248">
            <v>6796997.9500000002</v>
          </cell>
          <cell r="AC248">
            <v>6796997.9500000002</v>
          </cell>
        </row>
        <row r="249">
          <cell r="A249">
            <v>30601</v>
          </cell>
          <cell r="B249" t="str">
            <v xml:space="preserve">RESULTADOS ACUMULADOS                                                 </v>
          </cell>
          <cell r="C249">
            <v>4948161.88</v>
          </cell>
          <cell r="D249">
            <v>877497.2</v>
          </cell>
          <cell r="E249">
            <v>0</v>
          </cell>
          <cell r="F249">
            <v>0</v>
          </cell>
          <cell r="G249">
            <v>0</v>
          </cell>
          <cell r="H249">
            <v>0</v>
          </cell>
          <cell r="I249">
            <v>0</v>
          </cell>
          <cell r="J249">
            <v>0</v>
          </cell>
          <cell r="K249">
            <v>0</v>
          </cell>
          <cell r="L249">
            <v>0</v>
          </cell>
          <cell r="M249">
            <v>0</v>
          </cell>
          <cell r="N249">
            <v>0</v>
          </cell>
          <cell r="O249">
            <v>0</v>
          </cell>
          <cell r="P249">
            <v>5825659.0800000001</v>
          </cell>
          <cell r="R249">
            <v>5825659.0800000001</v>
          </cell>
          <cell r="S249">
            <v>5825659.0800000001</v>
          </cell>
          <cell r="T249">
            <v>5825659.0800000001</v>
          </cell>
          <cell r="U249">
            <v>5825659.0800000001</v>
          </cell>
          <cell r="V249">
            <v>5825659.0800000001</v>
          </cell>
          <cell r="W249">
            <v>5825659.0800000001</v>
          </cell>
          <cell r="X249">
            <v>5825659.0800000001</v>
          </cell>
          <cell r="Y249">
            <v>5825659.0800000001</v>
          </cell>
          <cell r="Z249">
            <v>5825659.0800000001</v>
          </cell>
          <cell r="AA249">
            <v>5825659.0800000001</v>
          </cell>
          <cell r="AB249">
            <v>5825659.0800000001</v>
          </cell>
          <cell r="AC249">
            <v>5825659.0800000001</v>
          </cell>
        </row>
        <row r="250">
          <cell r="A250">
            <v>3060101</v>
          </cell>
          <cell r="B250" t="str">
            <v xml:space="preserve">RESULTADOS ACUMULADOS                                                 </v>
          </cell>
          <cell r="C250">
            <v>4948161.88</v>
          </cell>
          <cell r="D250">
            <v>877497.2</v>
          </cell>
          <cell r="E250">
            <v>0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5825659.0800000001</v>
          </cell>
          <cell r="R250">
            <v>5825659.0800000001</v>
          </cell>
          <cell r="S250">
            <v>5825659.0800000001</v>
          </cell>
          <cell r="T250">
            <v>5825659.0800000001</v>
          </cell>
          <cell r="U250">
            <v>5825659.0800000001</v>
          </cell>
          <cell r="V250">
            <v>5825659.0800000001</v>
          </cell>
          <cell r="W250">
            <v>5825659.0800000001</v>
          </cell>
          <cell r="X250">
            <v>5825659.0800000001</v>
          </cell>
          <cell r="Y250">
            <v>5825659.0800000001</v>
          </cell>
          <cell r="Z250">
            <v>5825659.0800000001</v>
          </cell>
          <cell r="AA250">
            <v>5825659.0800000001</v>
          </cell>
          <cell r="AB250">
            <v>5825659.0800000001</v>
          </cell>
          <cell r="AC250">
            <v>5825659.0800000001</v>
          </cell>
        </row>
        <row r="251">
          <cell r="A251">
            <v>306010101</v>
          </cell>
          <cell r="B251" t="str">
            <v xml:space="preserve">UTILIDADES Y/O PERDIDAS DE EJERCICIOS ANTERIORES                      </v>
          </cell>
          <cell r="C251">
            <v>4948161.88</v>
          </cell>
          <cell r="D251">
            <v>877497.2</v>
          </cell>
          <cell r="E251">
            <v>0</v>
          </cell>
          <cell r="F251">
            <v>0</v>
          </cell>
          <cell r="G251">
            <v>0</v>
          </cell>
          <cell r="H251">
            <v>0</v>
          </cell>
          <cell r="I251">
            <v>0</v>
          </cell>
          <cell r="J251">
            <v>0</v>
          </cell>
          <cell r="K251">
            <v>0</v>
          </cell>
          <cell r="L251">
            <v>0</v>
          </cell>
          <cell r="M251">
            <v>0</v>
          </cell>
          <cell r="N251">
            <v>0</v>
          </cell>
          <cell r="O251">
            <v>0</v>
          </cell>
          <cell r="P251">
            <v>5825659.0800000001</v>
          </cell>
          <cell r="R251">
            <v>5825659.0800000001</v>
          </cell>
          <cell r="S251">
            <v>5825659.0800000001</v>
          </cell>
          <cell r="T251">
            <v>5825659.0800000001</v>
          </cell>
          <cell r="U251">
            <v>5825659.0800000001</v>
          </cell>
          <cell r="V251">
            <v>5825659.0800000001</v>
          </cell>
          <cell r="W251">
            <v>5825659.0800000001</v>
          </cell>
          <cell r="X251">
            <v>5825659.0800000001</v>
          </cell>
          <cell r="Y251">
            <v>5825659.0800000001</v>
          </cell>
          <cell r="Z251">
            <v>5825659.0800000001</v>
          </cell>
          <cell r="AA251">
            <v>5825659.0800000001</v>
          </cell>
          <cell r="AB251">
            <v>5825659.0800000001</v>
          </cell>
          <cell r="AC251">
            <v>5825659.0800000001</v>
          </cell>
        </row>
        <row r="252">
          <cell r="A252">
            <v>306010101001</v>
          </cell>
          <cell r="B252" t="str">
            <v xml:space="preserve">Ganancia Acumulada de Periodo anteriores                              </v>
          </cell>
          <cell r="C252">
            <v>5233066.87</v>
          </cell>
          <cell r="D252">
            <v>877497.2</v>
          </cell>
          <cell r="E252">
            <v>0</v>
          </cell>
          <cell r="F252">
            <v>0</v>
          </cell>
          <cell r="G252">
            <v>0</v>
          </cell>
          <cell r="H252">
            <v>0</v>
          </cell>
          <cell r="I252">
            <v>0</v>
          </cell>
          <cell r="J252">
            <v>0</v>
          </cell>
          <cell r="K252">
            <v>0</v>
          </cell>
          <cell r="L252">
            <v>0</v>
          </cell>
          <cell r="M252">
            <v>0</v>
          </cell>
          <cell r="N252">
            <v>0</v>
          </cell>
          <cell r="O252">
            <v>0</v>
          </cell>
          <cell r="P252">
            <v>6110564.0700000003</v>
          </cell>
          <cell r="R252">
            <v>6110564.0700000003</v>
          </cell>
          <cell r="S252">
            <v>6110564.0700000003</v>
          </cell>
          <cell r="T252">
            <v>6110564.0700000003</v>
          </cell>
          <cell r="U252">
            <v>6110564.0700000003</v>
          </cell>
          <cell r="V252">
            <v>6110564.0700000003</v>
          </cell>
          <cell r="W252">
            <v>6110564.0700000003</v>
          </cell>
          <cell r="X252">
            <v>6110564.0700000003</v>
          </cell>
          <cell r="Y252">
            <v>6110564.0700000003</v>
          </cell>
          <cell r="Z252">
            <v>6110564.0700000003</v>
          </cell>
          <cell r="AA252">
            <v>6110564.0700000003</v>
          </cell>
          <cell r="AB252">
            <v>6110564.0700000003</v>
          </cell>
          <cell r="AC252">
            <v>6110564.0700000003</v>
          </cell>
        </row>
        <row r="253">
          <cell r="A253">
            <v>306010101003</v>
          </cell>
          <cell r="B253" t="str">
            <v xml:space="preserve">Correccion de Resultados años anteriores                              </v>
          </cell>
          <cell r="C253">
            <v>-284904.99</v>
          </cell>
          <cell r="D253">
            <v>0</v>
          </cell>
          <cell r="E253">
            <v>0</v>
          </cell>
          <cell r="F253">
            <v>0</v>
          </cell>
          <cell r="G253">
            <v>0</v>
          </cell>
          <cell r="H253">
            <v>0</v>
          </cell>
          <cell r="I253">
            <v>0</v>
          </cell>
          <cell r="J253">
            <v>0</v>
          </cell>
          <cell r="K253">
            <v>0</v>
          </cell>
          <cell r="L253">
            <v>0</v>
          </cell>
          <cell r="M253">
            <v>0</v>
          </cell>
          <cell r="N253">
            <v>0</v>
          </cell>
          <cell r="O253">
            <v>0</v>
          </cell>
          <cell r="P253">
            <v>-284904.99</v>
          </cell>
          <cell r="R253">
            <v>-284904.99</v>
          </cell>
          <cell r="S253">
            <v>-284904.99</v>
          </cell>
          <cell r="T253">
            <v>-284904.99</v>
          </cell>
          <cell r="U253">
            <v>-284904.99</v>
          </cell>
          <cell r="V253">
            <v>-284904.99</v>
          </cell>
          <cell r="W253">
            <v>-284904.99</v>
          </cell>
          <cell r="X253">
            <v>-284904.99</v>
          </cell>
          <cell r="Y253">
            <v>-284904.99</v>
          </cell>
          <cell r="Z253">
            <v>-284904.99</v>
          </cell>
          <cell r="AA253">
            <v>-284904.99</v>
          </cell>
          <cell r="AB253">
            <v>-284904.99</v>
          </cell>
          <cell r="AC253">
            <v>-284904.99</v>
          </cell>
        </row>
        <row r="254">
          <cell r="A254">
            <v>30602</v>
          </cell>
          <cell r="B254" t="str">
            <v>RESULTADOS ACUMULADOS PROVENIENTES DE LA ADOPCIÓN POR PRIMERA VEZ DE L</v>
          </cell>
          <cell r="C254">
            <v>971338.87</v>
          </cell>
          <cell r="D254">
            <v>0</v>
          </cell>
          <cell r="E254">
            <v>0</v>
          </cell>
          <cell r="F254">
            <v>0</v>
          </cell>
          <cell r="G254">
            <v>0</v>
          </cell>
          <cell r="H254">
            <v>0</v>
          </cell>
          <cell r="I254">
            <v>0</v>
          </cell>
          <cell r="J254">
            <v>0</v>
          </cell>
          <cell r="K254">
            <v>0</v>
          </cell>
          <cell r="L254">
            <v>0</v>
          </cell>
          <cell r="M254">
            <v>0</v>
          </cell>
          <cell r="N254">
            <v>0</v>
          </cell>
          <cell r="O254">
            <v>0</v>
          </cell>
          <cell r="P254">
            <v>971338.87</v>
          </cell>
          <cell r="R254">
            <v>971338.87</v>
          </cell>
          <cell r="S254">
            <v>971338.87</v>
          </cell>
          <cell r="T254">
            <v>971338.87</v>
          </cell>
          <cell r="U254">
            <v>971338.87</v>
          </cell>
          <cell r="V254">
            <v>971338.87</v>
          </cell>
          <cell r="W254">
            <v>971338.87</v>
          </cell>
          <cell r="X254">
            <v>971338.87</v>
          </cell>
          <cell r="Y254">
            <v>971338.87</v>
          </cell>
          <cell r="Z254">
            <v>971338.87</v>
          </cell>
          <cell r="AA254">
            <v>971338.87</v>
          </cell>
          <cell r="AB254">
            <v>971338.87</v>
          </cell>
          <cell r="AC254">
            <v>971338.87</v>
          </cell>
        </row>
        <row r="255">
          <cell r="A255">
            <v>3060201</v>
          </cell>
          <cell r="B255" t="str">
            <v>RESULTADOS ACUMULADOS PROVENIENTES DE LA ADOPCIÓN POR PRIMERA VEZ DE L</v>
          </cell>
          <cell r="C255">
            <v>971338.87</v>
          </cell>
          <cell r="D255">
            <v>0</v>
          </cell>
          <cell r="E255">
            <v>0</v>
          </cell>
          <cell r="F255">
            <v>0</v>
          </cell>
          <cell r="G255">
            <v>0</v>
          </cell>
          <cell r="H255">
            <v>0</v>
          </cell>
          <cell r="I255">
            <v>0</v>
          </cell>
          <cell r="J255">
            <v>0</v>
          </cell>
          <cell r="K255">
            <v>0</v>
          </cell>
          <cell r="L255">
            <v>0</v>
          </cell>
          <cell r="M255">
            <v>0</v>
          </cell>
          <cell r="N255">
            <v>0</v>
          </cell>
          <cell r="O255">
            <v>0</v>
          </cell>
          <cell r="P255">
            <v>971338.87</v>
          </cell>
          <cell r="R255">
            <v>971338.87</v>
          </cell>
          <cell r="S255">
            <v>971338.87</v>
          </cell>
          <cell r="T255">
            <v>971338.87</v>
          </cell>
          <cell r="U255">
            <v>971338.87</v>
          </cell>
          <cell r="V255">
            <v>971338.87</v>
          </cell>
          <cell r="W255">
            <v>971338.87</v>
          </cell>
          <cell r="X255">
            <v>971338.87</v>
          </cell>
          <cell r="Y255">
            <v>971338.87</v>
          </cell>
          <cell r="Z255">
            <v>971338.87</v>
          </cell>
          <cell r="AA255">
            <v>971338.87</v>
          </cell>
          <cell r="AB255">
            <v>971338.87</v>
          </cell>
          <cell r="AC255">
            <v>971338.87</v>
          </cell>
        </row>
        <row r="256">
          <cell r="A256">
            <v>306020101</v>
          </cell>
          <cell r="B256" t="str">
            <v>RESULTADOS ACUMULADOS PROVENIENTES DE LA ADOPCIÓN POR PRIMERA VEZ DE L</v>
          </cell>
          <cell r="C256">
            <v>971338.87</v>
          </cell>
          <cell r="D256">
            <v>0</v>
          </cell>
          <cell r="E256">
            <v>0</v>
          </cell>
          <cell r="F256">
            <v>0</v>
          </cell>
          <cell r="G256">
            <v>0</v>
          </cell>
          <cell r="H256">
            <v>0</v>
          </cell>
          <cell r="I256">
            <v>0</v>
          </cell>
          <cell r="J256">
            <v>0</v>
          </cell>
          <cell r="K256">
            <v>0</v>
          </cell>
          <cell r="L256">
            <v>0</v>
          </cell>
          <cell r="M256">
            <v>0</v>
          </cell>
          <cell r="N256">
            <v>0</v>
          </cell>
          <cell r="O256">
            <v>0</v>
          </cell>
          <cell r="P256">
            <v>971338.87</v>
          </cell>
          <cell r="R256">
            <v>971338.87</v>
          </cell>
          <cell r="S256">
            <v>971338.87</v>
          </cell>
          <cell r="T256">
            <v>971338.87</v>
          </cell>
          <cell r="U256">
            <v>971338.87</v>
          </cell>
          <cell r="V256">
            <v>971338.87</v>
          </cell>
          <cell r="W256">
            <v>971338.87</v>
          </cell>
          <cell r="X256">
            <v>971338.87</v>
          </cell>
          <cell r="Y256">
            <v>971338.87</v>
          </cell>
          <cell r="Z256">
            <v>971338.87</v>
          </cell>
          <cell r="AA256">
            <v>971338.87</v>
          </cell>
          <cell r="AB256">
            <v>971338.87</v>
          </cell>
          <cell r="AC256">
            <v>971338.87</v>
          </cell>
        </row>
        <row r="257">
          <cell r="A257">
            <v>306020101001</v>
          </cell>
          <cell r="B257" t="str">
            <v>Resultados Acumulados Provenientes de la Adopción por Primera Vez de l</v>
          </cell>
          <cell r="C257">
            <v>971338.87</v>
          </cell>
          <cell r="D257">
            <v>0</v>
          </cell>
          <cell r="E257">
            <v>0</v>
          </cell>
          <cell r="F257">
            <v>0</v>
          </cell>
          <cell r="G257">
            <v>0</v>
          </cell>
          <cell r="H257">
            <v>0</v>
          </cell>
          <cell r="I257">
            <v>0</v>
          </cell>
          <cell r="J257">
            <v>0</v>
          </cell>
          <cell r="K257">
            <v>0</v>
          </cell>
          <cell r="L257">
            <v>0</v>
          </cell>
          <cell r="M257">
            <v>0</v>
          </cell>
          <cell r="N257">
            <v>0</v>
          </cell>
          <cell r="O257">
            <v>0</v>
          </cell>
          <cell r="P257">
            <v>971338.87</v>
          </cell>
          <cell r="R257">
            <v>971338.87</v>
          </cell>
          <cell r="S257">
            <v>971338.87</v>
          </cell>
          <cell r="T257">
            <v>971338.87</v>
          </cell>
          <cell r="U257">
            <v>971338.87</v>
          </cell>
          <cell r="V257">
            <v>971338.87</v>
          </cell>
          <cell r="W257">
            <v>971338.87</v>
          </cell>
          <cell r="X257">
            <v>971338.87</v>
          </cell>
          <cell r="Y257">
            <v>971338.87</v>
          </cell>
          <cell r="Z257">
            <v>971338.87</v>
          </cell>
          <cell r="AA257">
            <v>971338.87</v>
          </cell>
          <cell r="AB257">
            <v>971338.87</v>
          </cell>
          <cell r="AC257">
            <v>971338.87</v>
          </cell>
        </row>
        <row r="258">
          <cell r="A258">
            <v>307</v>
          </cell>
          <cell r="B258" t="str">
            <v xml:space="preserve">RESULTADO DEL EJERCICIO                                               </v>
          </cell>
          <cell r="C258">
            <v>974996.89</v>
          </cell>
          <cell r="D258">
            <v>-974996.89</v>
          </cell>
          <cell r="E258">
            <v>0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1480916.99</v>
          </cell>
          <cell r="P258">
            <v>1480916.99</v>
          </cell>
          <cell r="R258">
            <v>309770.83999999799</v>
          </cell>
          <cell r="S258">
            <v>653149.24999999627</v>
          </cell>
          <cell r="T258">
            <v>778563.47999999672</v>
          </cell>
          <cell r="U258">
            <v>1277680.8299999963</v>
          </cell>
          <cell r="V258">
            <v>1511054.5999999959</v>
          </cell>
          <cell r="W258">
            <v>1958742.5099999979</v>
          </cell>
          <cell r="X258">
            <v>2080676.8599999975</v>
          </cell>
          <cell r="Y258">
            <v>2239381.589999998</v>
          </cell>
          <cell r="Z258">
            <v>1034671.549999997</v>
          </cell>
          <cell r="AA258">
            <v>2738373.0799999945</v>
          </cell>
          <cell r="AB258">
            <v>2379343.4199999943</v>
          </cell>
          <cell r="AC258">
            <v>-735339.15000000782</v>
          </cell>
        </row>
        <row r="259">
          <cell r="A259">
            <v>30701</v>
          </cell>
          <cell r="B259" t="str">
            <v xml:space="preserve">RESULTADO DEL EJERCICIO                                               </v>
          </cell>
          <cell r="C259">
            <v>974996.89</v>
          </cell>
          <cell r="D259">
            <v>-974996.89</v>
          </cell>
          <cell r="E259">
            <v>0</v>
          </cell>
          <cell r="F259">
            <v>0</v>
          </cell>
          <cell r="G259">
            <v>0</v>
          </cell>
          <cell r="H259">
            <v>0</v>
          </cell>
          <cell r="I259">
            <v>0</v>
          </cell>
          <cell r="J259">
            <v>0</v>
          </cell>
          <cell r="K259">
            <v>0</v>
          </cell>
          <cell r="L259">
            <v>0</v>
          </cell>
          <cell r="M259">
            <v>0</v>
          </cell>
          <cell r="N259">
            <v>0</v>
          </cell>
          <cell r="O259">
            <v>1480916.99</v>
          </cell>
          <cell r="P259">
            <v>1480916.99</v>
          </cell>
        </row>
        <row r="260">
          <cell r="A260">
            <v>3070101</v>
          </cell>
          <cell r="B260" t="str">
            <v xml:space="preserve">RESULTADO DEL EJERCICIO                                               </v>
          </cell>
          <cell r="C260">
            <v>974996.89</v>
          </cell>
          <cell r="D260">
            <v>-974996.89</v>
          </cell>
          <cell r="E260">
            <v>0</v>
          </cell>
          <cell r="F260">
            <v>0</v>
          </cell>
          <cell r="G260">
            <v>0</v>
          </cell>
          <cell r="H260">
            <v>0</v>
          </cell>
          <cell r="I260">
            <v>0</v>
          </cell>
          <cell r="J260">
            <v>0</v>
          </cell>
          <cell r="K260">
            <v>0</v>
          </cell>
          <cell r="L260">
            <v>0</v>
          </cell>
          <cell r="M260">
            <v>0</v>
          </cell>
          <cell r="N260">
            <v>0</v>
          </cell>
          <cell r="O260">
            <v>1480916.99</v>
          </cell>
          <cell r="P260">
            <v>1480916.99</v>
          </cell>
          <cell r="R260">
            <v>0</v>
          </cell>
          <cell r="S260">
            <v>0</v>
          </cell>
          <cell r="T260">
            <v>0</v>
          </cell>
          <cell r="U260">
            <v>0</v>
          </cell>
          <cell r="V260">
            <v>0</v>
          </cell>
          <cell r="W260">
            <v>0</v>
          </cell>
          <cell r="X260">
            <v>0</v>
          </cell>
          <cell r="Y260">
            <v>0</v>
          </cell>
          <cell r="Z260">
            <v>0</v>
          </cell>
          <cell r="AA260">
            <v>0</v>
          </cell>
          <cell r="AB260">
            <v>0</v>
          </cell>
          <cell r="AC260">
            <v>1480916.99</v>
          </cell>
        </row>
        <row r="261">
          <cell r="A261">
            <v>307010101</v>
          </cell>
          <cell r="B261" t="str">
            <v xml:space="preserve">UTILIDADES Y/O PERDIDAS DE EJERCICIOS ANTERIORES                      </v>
          </cell>
          <cell r="C261">
            <v>974996.89</v>
          </cell>
          <cell r="D261">
            <v>-974996.89</v>
          </cell>
          <cell r="E261">
            <v>0</v>
          </cell>
          <cell r="F261">
            <v>0</v>
          </cell>
          <cell r="G261">
            <v>0</v>
          </cell>
          <cell r="H261">
            <v>0</v>
          </cell>
          <cell r="I261">
            <v>0</v>
          </cell>
          <cell r="J261">
            <v>0</v>
          </cell>
          <cell r="K261">
            <v>0</v>
          </cell>
          <cell r="L261">
            <v>0</v>
          </cell>
          <cell r="M261">
            <v>0</v>
          </cell>
          <cell r="N261">
            <v>0</v>
          </cell>
          <cell r="O261">
            <v>1480916.99</v>
          </cell>
          <cell r="P261">
            <v>1480916.99</v>
          </cell>
          <cell r="R261">
            <v>0</v>
          </cell>
          <cell r="S261">
            <v>0</v>
          </cell>
          <cell r="T261">
            <v>0</v>
          </cell>
          <cell r="U261">
            <v>0</v>
          </cell>
          <cell r="V261">
            <v>0</v>
          </cell>
          <cell r="W261">
            <v>0</v>
          </cell>
          <cell r="X261">
            <v>0</v>
          </cell>
          <cell r="Y261">
            <v>0</v>
          </cell>
          <cell r="Z261">
            <v>0</v>
          </cell>
          <cell r="AA261">
            <v>0</v>
          </cell>
          <cell r="AB261">
            <v>0</v>
          </cell>
          <cell r="AC261">
            <v>1480916.99</v>
          </cell>
        </row>
        <row r="262">
          <cell r="A262">
            <v>307010101001</v>
          </cell>
          <cell r="B262" t="str">
            <v xml:space="preserve">Utilidad del Ejercicio Economico Actual                               </v>
          </cell>
          <cell r="C262">
            <v>974996.89</v>
          </cell>
          <cell r="D262">
            <v>-974996.89</v>
          </cell>
          <cell r="E262">
            <v>0</v>
          </cell>
          <cell r="F262">
            <v>0</v>
          </cell>
          <cell r="G262">
            <v>0</v>
          </cell>
          <cell r="H262">
            <v>0</v>
          </cell>
          <cell r="I262">
            <v>0</v>
          </cell>
          <cell r="J262">
            <v>0</v>
          </cell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1480916.99</v>
          </cell>
          <cell r="P262">
            <v>1480916.99</v>
          </cell>
          <cell r="R262">
            <v>0</v>
          </cell>
          <cell r="S262">
            <v>0</v>
          </cell>
          <cell r="T262">
            <v>0</v>
          </cell>
          <cell r="U262">
            <v>0</v>
          </cell>
          <cell r="V262">
            <v>0</v>
          </cell>
          <cell r="W262">
            <v>0</v>
          </cell>
          <cell r="X262">
            <v>0</v>
          </cell>
          <cell r="Y262">
            <v>0</v>
          </cell>
          <cell r="Z262">
            <v>0</v>
          </cell>
          <cell r="AA262">
            <v>0</v>
          </cell>
          <cell r="AB262">
            <v>0</v>
          </cell>
          <cell r="AC262">
            <v>1480916.99</v>
          </cell>
        </row>
        <row r="263">
          <cell r="A263">
            <v>91</v>
          </cell>
          <cell r="B263" t="str">
            <v xml:space="preserve">CUENTAS DE ORDEN DEUDORAS                                             </v>
          </cell>
          <cell r="C263">
            <v>23000</v>
          </cell>
          <cell r="D263">
            <v>0</v>
          </cell>
          <cell r="E263">
            <v>0</v>
          </cell>
          <cell r="F263">
            <v>0</v>
          </cell>
          <cell r="G263">
            <v>0</v>
          </cell>
          <cell r="H263">
            <v>0</v>
          </cell>
          <cell r="I263">
            <v>0</v>
          </cell>
          <cell r="J263">
            <v>0</v>
          </cell>
          <cell r="K263">
            <v>0</v>
          </cell>
          <cell r="L263">
            <v>0</v>
          </cell>
          <cell r="M263">
            <v>0</v>
          </cell>
          <cell r="N263">
            <v>0</v>
          </cell>
          <cell r="O263">
            <v>-23000</v>
          </cell>
          <cell r="P263">
            <v>0</v>
          </cell>
          <cell r="R263">
            <v>23000</v>
          </cell>
          <cell r="S263">
            <v>23000</v>
          </cell>
          <cell r="T263">
            <v>23000</v>
          </cell>
          <cell r="U263">
            <v>23000</v>
          </cell>
          <cell r="V263">
            <v>23000</v>
          </cell>
          <cell r="W263">
            <v>23000</v>
          </cell>
          <cell r="X263">
            <v>23000</v>
          </cell>
          <cell r="Y263">
            <v>23000</v>
          </cell>
          <cell r="Z263">
            <v>23000</v>
          </cell>
          <cell r="AA263">
            <v>23000</v>
          </cell>
          <cell r="AB263">
            <v>23000</v>
          </cell>
          <cell r="AC263">
            <v>0</v>
          </cell>
        </row>
        <row r="264">
          <cell r="A264">
            <v>9101</v>
          </cell>
          <cell r="B264" t="str">
            <v xml:space="preserve">CUENTAS DE ORDEN DEUDORAS                                             </v>
          </cell>
          <cell r="C264">
            <v>23000</v>
          </cell>
          <cell r="D264">
            <v>0</v>
          </cell>
          <cell r="E264">
            <v>0</v>
          </cell>
          <cell r="F264">
            <v>0</v>
          </cell>
          <cell r="G264">
            <v>0</v>
          </cell>
          <cell r="H264">
            <v>0</v>
          </cell>
          <cell r="I264">
            <v>0</v>
          </cell>
          <cell r="J264">
            <v>0</v>
          </cell>
          <cell r="K264">
            <v>0</v>
          </cell>
          <cell r="L264">
            <v>0</v>
          </cell>
          <cell r="M264">
            <v>0</v>
          </cell>
          <cell r="N264">
            <v>0</v>
          </cell>
          <cell r="O264">
            <v>-23000</v>
          </cell>
          <cell r="P264">
            <v>0</v>
          </cell>
          <cell r="R264">
            <v>23000</v>
          </cell>
          <cell r="S264">
            <v>23000</v>
          </cell>
          <cell r="T264">
            <v>23000</v>
          </cell>
          <cell r="U264">
            <v>23000</v>
          </cell>
          <cell r="V264">
            <v>23000</v>
          </cell>
          <cell r="W264">
            <v>23000</v>
          </cell>
          <cell r="X264">
            <v>23000</v>
          </cell>
          <cell r="Y264">
            <v>23000</v>
          </cell>
          <cell r="Z264">
            <v>23000</v>
          </cell>
          <cell r="AA264">
            <v>23000</v>
          </cell>
          <cell r="AB264">
            <v>23000</v>
          </cell>
          <cell r="AC264">
            <v>0</v>
          </cell>
        </row>
        <row r="265">
          <cell r="A265">
            <v>910101</v>
          </cell>
          <cell r="B265" t="str">
            <v xml:space="preserve">CUENTAS DE ORDEN DEUDORAS                                             </v>
          </cell>
          <cell r="C265">
            <v>23000</v>
          </cell>
          <cell r="D265">
            <v>0</v>
          </cell>
          <cell r="E265">
            <v>0</v>
          </cell>
          <cell r="F265">
            <v>0</v>
          </cell>
          <cell r="G265">
            <v>0</v>
          </cell>
          <cell r="H265">
            <v>0</v>
          </cell>
          <cell r="I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  <cell r="N265">
            <v>0</v>
          </cell>
          <cell r="O265">
            <v>-23000</v>
          </cell>
          <cell r="P265">
            <v>0</v>
          </cell>
          <cell r="R265">
            <v>23000</v>
          </cell>
          <cell r="S265">
            <v>23000</v>
          </cell>
          <cell r="T265">
            <v>23000</v>
          </cell>
          <cell r="U265">
            <v>23000</v>
          </cell>
          <cell r="V265">
            <v>23000</v>
          </cell>
          <cell r="W265">
            <v>23000</v>
          </cell>
          <cell r="X265">
            <v>23000</v>
          </cell>
          <cell r="Y265">
            <v>23000</v>
          </cell>
          <cell r="Z265">
            <v>23000</v>
          </cell>
          <cell r="AA265">
            <v>23000</v>
          </cell>
          <cell r="AB265">
            <v>23000</v>
          </cell>
          <cell r="AC265">
            <v>0</v>
          </cell>
        </row>
        <row r="266">
          <cell r="A266">
            <v>9101010001</v>
          </cell>
          <cell r="B266" t="str">
            <v xml:space="preserve">Cheques recibidos en garantía                                         </v>
          </cell>
          <cell r="C266">
            <v>23000</v>
          </cell>
          <cell r="D266">
            <v>0</v>
          </cell>
          <cell r="E266">
            <v>0</v>
          </cell>
          <cell r="F266">
            <v>0</v>
          </cell>
          <cell r="G266">
            <v>0</v>
          </cell>
          <cell r="H266">
            <v>0</v>
          </cell>
          <cell r="I266">
            <v>0</v>
          </cell>
          <cell r="J266">
            <v>0</v>
          </cell>
          <cell r="K266">
            <v>0</v>
          </cell>
          <cell r="L266">
            <v>0</v>
          </cell>
          <cell r="M266">
            <v>0</v>
          </cell>
          <cell r="N266">
            <v>0</v>
          </cell>
          <cell r="O266">
            <v>-23000</v>
          </cell>
          <cell r="P266">
            <v>0</v>
          </cell>
          <cell r="R266">
            <v>23000</v>
          </cell>
          <cell r="S266">
            <v>23000</v>
          </cell>
          <cell r="T266">
            <v>23000</v>
          </cell>
          <cell r="U266">
            <v>23000</v>
          </cell>
          <cell r="V266">
            <v>23000</v>
          </cell>
          <cell r="W266">
            <v>23000</v>
          </cell>
          <cell r="X266">
            <v>23000</v>
          </cell>
          <cell r="Y266">
            <v>23000</v>
          </cell>
          <cell r="Z266">
            <v>23000</v>
          </cell>
          <cell r="AA266">
            <v>23000</v>
          </cell>
          <cell r="AB266">
            <v>23000</v>
          </cell>
          <cell r="AC266">
            <v>0</v>
          </cell>
        </row>
        <row r="267">
          <cell r="A267">
            <v>92</v>
          </cell>
          <cell r="B267" t="str">
            <v xml:space="preserve">CUENTAS DE ORDEN ACREEDORAS                                           </v>
          </cell>
          <cell r="C267">
            <v>-23000</v>
          </cell>
          <cell r="D267">
            <v>0</v>
          </cell>
          <cell r="E267">
            <v>0</v>
          </cell>
          <cell r="F267">
            <v>0</v>
          </cell>
          <cell r="G267">
            <v>0</v>
          </cell>
          <cell r="H267">
            <v>0</v>
          </cell>
          <cell r="I267">
            <v>0</v>
          </cell>
          <cell r="J267">
            <v>0</v>
          </cell>
          <cell r="K267">
            <v>0</v>
          </cell>
          <cell r="L267">
            <v>0</v>
          </cell>
          <cell r="M267">
            <v>0</v>
          </cell>
          <cell r="N267">
            <v>0</v>
          </cell>
          <cell r="O267">
            <v>23000</v>
          </cell>
          <cell r="P267">
            <v>0</v>
          </cell>
          <cell r="R267">
            <v>-23000</v>
          </cell>
          <cell r="S267">
            <v>-23000</v>
          </cell>
          <cell r="T267">
            <v>-23000</v>
          </cell>
          <cell r="U267">
            <v>-23000</v>
          </cell>
          <cell r="V267">
            <v>-23000</v>
          </cell>
          <cell r="W267">
            <v>-23000</v>
          </cell>
          <cell r="X267">
            <v>-23000</v>
          </cell>
          <cell r="Y267">
            <v>-23000</v>
          </cell>
          <cell r="Z267">
            <v>-23000</v>
          </cell>
          <cell r="AA267">
            <v>-23000</v>
          </cell>
          <cell r="AB267">
            <v>-23000</v>
          </cell>
          <cell r="AC267">
            <v>0</v>
          </cell>
        </row>
        <row r="268">
          <cell r="A268">
            <v>9201</v>
          </cell>
          <cell r="B268" t="str">
            <v xml:space="preserve">CUENTAS DE ORDEN ACREEDORAS                                           </v>
          </cell>
          <cell r="C268">
            <v>-23000</v>
          </cell>
          <cell r="D268">
            <v>0</v>
          </cell>
          <cell r="E268">
            <v>0</v>
          </cell>
          <cell r="F268">
            <v>0</v>
          </cell>
          <cell r="G268">
            <v>0</v>
          </cell>
          <cell r="H268">
            <v>0</v>
          </cell>
          <cell r="I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  <cell r="N268">
            <v>0</v>
          </cell>
          <cell r="O268">
            <v>23000</v>
          </cell>
          <cell r="P268">
            <v>0</v>
          </cell>
          <cell r="R268">
            <v>-23000</v>
          </cell>
          <cell r="S268">
            <v>-23000</v>
          </cell>
          <cell r="T268">
            <v>-23000</v>
          </cell>
          <cell r="U268">
            <v>-23000</v>
          </cell>
          <cell r="V268">
            <v>-23000</v>
          </cell>
          <cell r="W268">
            <v>-23000</v>
          </cell>
          <cell r="X268">
            <v>-23000</v>
          </cell>
          <cell r="Y268">
            <v>-23000</v>
          </cell>
          <cell r="Z268">
            <v>-23000</v>
          </cell>
          <cell r="AA268">
            <v>-23000</v>
          </cell>
          <cell r="AB268">
            <v>-23000</v>
          </cell>
          <cell r="AC268">
            <v>0</v>
          </cell>
        </row>
        <row r="269">
          <cell r="A269">
            <v>920101</v>
          </cell>
          <cell r="B269" t="str">
            <v xml:space="preserve">CUENTAS DE ORDEN ACREEDORAS                                           </v>
          </cell>
          <cell r="C269">
            <v>-23000</v>
          </cell>
          <cell r="D269">
            <v>0</v>
          </cell>
          <cell r="E269">
            <v>0</v>
          </cell>
          <cell r="F269">
            <v>0</v>
          </cell>
          <cell r="G269">
            <v>0</v>
          </cell>
          <cell r="H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  <cell r="O269">
            <v>23000</v>
          </cell>
          <cell r="P269">
            <v>0</v>
          </cell>
          <cell r="R269">
            <v>-23000</v>
          </cell>
          <cell r="S269">
            <v>-23000</v>
          </cell>
          <cell r="T269">
            <v>-23000</v>
          </cell>
          <cell r="U269">
            <v>-23000</v>
          </cell>
          <cell r="V269">
            <v>-23000</v>
          </cell>
          <cell r="W269">
            <v>-23000</v>
          </cell>
          <cell r="X269">
            <v>-23000</v>
          </cell>
          <cell r="Y269">
            <v>-23000</v>
          </cell>
          <cell r="Z269">
            <v>-23000</v>
          </cell>
          <cell r="AA269">
            <v>-23000</v>
          </cell>
          <cell r="AB269">
            <v>-23000</v>
          </cell>
          <cell r="AC269">
            <v>0</v>
          </cell>
        </row>
        <row r="270">
          <cell r="A270">
            <v>9201010001</v>
          </cell>
          <cell r="B270" t="str">
            <v xml:space="preserve">Acreedores por cheques recibidos en garantía                          </v>
          </cell>
          <cell r="C270">
            <v>-23000</v>
          </cell>
          <cell r="D270">
            <v>0</v>
          </cell>
          <cell r="E270">
            <v>0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23000</v>
          </cell>
          <cell r="P270">
            <v>0</v>
          </cell>
          <cell r="R270">
            <v>-23000</v>
          </cell>
          <cell r="S270">
            <v>-23000</v>
          </cell>
          <cell r="T270">
            <v>-23000</v>
          </cell>
          <cell r="U270">
            <v>-23000</v>
          </cell>
          <cell r="V270">
            <v>-23000</v>
          </cell>
          <cell r="W270">
            <v>-23000</v>
          </cell>
          <cell r="X270">
            <v>-23000</v>
          </cell>
          <cell r="Y270">
            <v>-23000</v>
          </cell>
          <cell r="Z270">
            <v>-23000</v>
          </cell>
          <cell r="AA270">
            <v>-23000</v>
          </cell>
          <cell r="AB270">
            <v>-23000</v>
          </cell>
          <cell r="AC270">
            <v>0</v>
          </cell>
        </row>
      </sheetData>
      <sheetData sheetId="29">
        <row r="15">
          <cell r="E15">
            <v>23295174.23</v>
          </cell>
          <cell r="F15">
            <v>26398335.637778502</v>
          </cell>
          <cell r="G15">
            <v>25005447.170000002</v>
          </cell>
          <cell r="M15">
            <v>-6.8396015011156552E-2</v>
          </cell>
        </row>
        <row r="16">
          <cell r="E16">
            <v>6191481.3600000003</v>
          </cell>
          <cell r="F16">
            <v>6870974.7896569408</v>
          </cell>
          <cell r="G16">
            <v>6560746.8399999999</v>
          </cell>
          <cell r="M16">
            <v>-5.628406170904765E-2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% macroeco"/>
      <sheetName val="Base datos Ind. macroeconomico"/>
      <sheetName val="Balance General"/>
      <sheetName val="Comparativo PG Mes"/>
      <sheetName val="Comparativo PG Mes 000´"/>
      <sheetName val="Comparativo PG Acumulado"/>
      <sheetName val="Comparativo PG Acumulado 000´"/>
      <sheetName val="Financial Ratios"/>
      <sheetName val="Ind P&amp;L Run D."/>
      <sheetName val="Base Datos Ind. P&amp;L Runday"/>
      <sheetName val="Evolucion de Gastos Fabrica"/>
      <sheetName val="Evolucion de Gastos Administrac"/>
      <sheetName val="Input gastos"/>
      <sheetName val="Analisis de Descuento"/>
      <sheetName val="Analisis Inventario"/>
      <sheetName val="Comparativo Gastos"/>
      <sheetName val="Mercadeo"/>
      <sheetName val="Ventas"/>
      <sheetName val="Administracion"/>
      <sheetName val="Distribucion 03"/>
      <sheetName val="Mercadeo 03"/>
      <sheetName val="Ventas 03"/>
      <sheetName val="Administracion 03"/>
      <sheetName val="BG"/>
      <sheetName val="Pivot Cecos"/>
      <sheetName val="CECOS DATA"/>
      <sheetName val="Clasif Cecos"/>
      <sheetName val="Gastos ayuda"/>
      <sheetName val="Roic Analysis"/>
      <sheetName val="DATA ROIC"/>
      <sheetName val="P&amp;L Plastico"/>
      <sheetName val="P&amp;L Industrial"/>
      <sheetName val="P&amp;L Total Calzado"/>
      <sheetName val="P&amp;L Juguetes"/>
      <sheetName val="M Prima Tons Planta"/>
    </sheetNames>
    <sheetDataSet>
      <sheetData sheetId="0" refreshError="1"/>
      <sheetData sheetId="1" refreshError="1"/>
      <sheetData sheetId="2" refreshError="1">
        <row r="35">
          <cell r="H35">
            <v>42266</v>
          </cell>
        </row>
        <row r="37">
          <cell r="H37">
            <v>32856.800000000003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respaldo/documentos/c/2018/Carpeta%20financiera/Carpeta%20Financiera%20Enero%202021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ng. Luis Morales Garzon" refreshedDate="44565.694377083331" createdVersion="7" refreshedVersion="7" minRefreshableVersion="3" recordCount="952" xr:uid="{8F9628AD-1AEF-47E0-97CF-56A1DD677450}">
  <cacheSource type="worksheet">
    <worksheetSource ref="A1:U1048576" sheet="Base de gastos" r:id="rId2"/>
  </cacheSource>
  <cacheFields count="21">
    <cacheField name="PERIODO" numFmtId="0">
      <sharedItems containsString="0" containsBlank="1" containsNumber="1" containsInteger="1" minValue="2016" maxValue="2021" count="7">
        <n v="2016"/>
        <n v="2017"/>
        <n v="2018"/>
        <n v="2019"/>
        <n v="2020"/>
        <n v="2021"/>
        <m/>
      </sharedItems>
    </cacheField>
    <cacheField name="GRUPO" numFmtId="0">
      <sharedItems containsBlank="1" count="12">
        <s v="COSTO DE PRODUCCION"/>
        <s v="GASTO DE VENTA"/>
        <s v="GASTO ADMINISTRATIVO"/>
        <s v="GASTO FINANCIERO"/>
        <s v="OTROS INGRESOS Y EGRESOS"/>
        <s v="GASTOS DE VENTA                                                       "/>
        <s v="GASTOS DE ADMINISTRATIVOS                                             "/>
        <s v="GASTOS  FINANCIEROS                                                   "/>
        <s v="OTROS INGRESOS                                                        "/>
        <s v="CUENTAS DE ORDEN DEUDORAS                                             "/>
        <s v="CUENTAS DE ORDEN ACREEDORAS                                           "/>
        <m/>
      </sharedItems>
    </cacheField>
    <cacheField name="SUBGRUPO" numFmtId="0">
      <sharedItems containsBlank="1" count="34">
        <s v="MANO DE OBRA                                                          "/>
        <s v="DEPRECIACIONES DE PLANTAS Y EQUIPOS                                   "/>
        <s v="OTROS COSTOS DIRECTOS DE FABRICACION                                  "/>
        <s v="OTROS BENEFICIOS DEL PERSONAL                                         "/>
        <s v="OTROS COSTOS INDIRECTOS DE FABRICACION                                "/>
        <s v="GASTOS DE NOMINA DE VENTAS                                            "/>
        <s v="OTRAS GASTOS DE PERSONAL                                              "/>
        <s v="GASTOS  GENERALES  DE VENTA                                           "/>
        <s v="GASTOS DE NOMINA DE ADMINISTRACION                                    "/>
        <s v="HONORARIOS                                                            "/>
        <s v="MANTENIMIENTO                                                         "/>
        <s v="SEGUROS Y REASEGUROS                                                  "/>
        <s v="OTROS GASTOS                                                          "/>
        <s v="IMPUESTOS Y CONTRIBUCIONES                                            "/>
        <s v="PROPIEDADES, PLANTA Y EQUIPO                                          "/>
        <s v="INTERESES                                                             "/>
        <s v="OTROS GASTOS FINANCIEROS                                              "/>
        <s v="OTROS INGRESOS                                                        "/>
        <s v="OTROS EGRESOS                                                         "/>
        <s v="GASTOS DE NOMINA DE VENTAS"/>
        <s v="OTRAS GASTOS DE PERSONAL"/>
        <s v="GASTOS  GENERALES  DE VENTA"/>
        <s v="GASTOS DE NOMINA DE ADMINISTRACION"/>
        <s v="HONORARIOS"/>
        <s v="MANTENIMIENTO"/>
        <s v="SEGUROS Y REASEGUROS"/>
        <s v="OTROS GASTOS"/>
        <s v="IMPUESTOS Y CONTRIBUCIONES"/>
        <s v="PROPIEDADES, PLANTA Y EQUIPO"/>
        <s v="INTERESES"/>
        <s v="OTROS GASTOS FINANCIEROS"/>
        <s v="OTROS INGRESOS"/>
        <s v="OTROS EGRESOS"/>
        <m/>
      </sharedItems>
    </cacheField>
    <cacheField name="Cod1" numFmtId="0">
      <sharedItems containsString="0" containsBlank="1" containsNumber="1" containsInteger="1" minValue="2" maxValue="12"/>
    </cacheField>
    <cacheField name="Cod2" numFmtId="0">
      <sharedItems containsString="0" containsBlank="1" containsNumber="1" containsInteger="1" minValue="2" maxValue="12" count="7">
        <n v="12"/>
        <n v="2"/>
        <n v="4"/>
        <n v="6"/>
        <n v="8"/>
        <n v="10"/>
        <m/>
      </sharedItems>
    </cacheField>
    <cacheField name="Cuenta Contable" numFmtId="0">
      <sharedItems containsString="0" containsBlank="1" containsNumber="1" containsInteger="1" minValue="52" maxValue="540101040014"/>
    </cacheField>
    <cacheField name="Nombre de la Cuenta" numFmtId="0">
      <sharedItems containsBlank="1"/>
    </cacheField>
    <cacheField name="Enero" numFmtId="0">
      <sharedItems containsString="0" containsBlank="1" containsNumber="1" minValue="-1109.1400000000001" maxValue="139080.07"/>
    </cacheField>
    <cacheField name="Febrero" numFmtId="0">
      <sharedItems containsString="0" containsBlank="1" containsNumber="1" minValue="-534.54999999999995" maxValue="121581.53"/>
    </cacheField>
    <cacheField name="Marzo" numFmtId="0">
      <sharedItems containsString="0" containsBlank="1" containsNumber="1" minValue="-561.6" maxValue="162258.78"/>
    </cacheField>
    <cacheField name="Abril" numFmtId="0">
      <sharedItems containsString="0" containsBlank="1" containsNumber="1" minValue="-6361.98" maxValue="127021.22"/>
    </cacheField>
    <cacheField name="Mayo" numFmtId="0">
      <sharedItems containsString="0" containsBlank="1" containsNumber="1" minValue="-1576.97" maxValue="122952.25"/>
    </cacheField>
    <cacheField name="Junio" numFmtId="0">
      <sharedItems containsString="0" containsBlank="1" containsNumber="1" minValue="-48000" maxValue="166571.54999999999"/>
    </cacheField>
    <cacheField name="Julio" numFmtId="0">
      <sharedItems containsString="0" containsBlank="1" containsNumber="1" minValue="-65482.37" maxValue="349517.63"/>
    </cacheField>
    <cacheField name="Agosto" numFmtId="0">
      <sharedItems containsString="0" containsBlank="1" containsNumber="1" minValue="-1143.33" maxValue="220752.74"/>
    </cacheField>
    <cacheField name="Septiembre" numFmtId="0">
      <sharedItems containsString="0" containsBlank="1" containsNumber="1" minValue="-2000.01" maxValue="172729.74"/>
    </cacheField>
    <cacheField name="Octubre" numFmtId="0">
      <sharedItems containsString="0" containsBlank="1" containsNumber="1" minValue="-349517.63" maxValue="167418.65"/>
    </cacheField>
    <cacheField name="Noviembre" numFmtId="0">
      <sharedItems containsString="0" containsBlank="1" containsNumber="1" minValue="-14368.52" maxValue="618324.21"/>
    </cacheField>
    <cacheField name="Diciembre" numFmtId="43">
      <sharedItems containsString="0" containsBlank="1" containsNumber="1" minValue="-17172.169999999998" maxValue="1028661.89"/>
    </cacheField>
    <cacheField name="Saldo Actual" numFmtId="0">
      <sharedItems containsString="0" containsBlank="1" containsNumber="1" minValue="-65482.37" maxValue="1073477.78"/>
    </cacheField>
    <cacheField name="Acum YTD" numFmtId="0">
      <sharedItems containsString="0" containsBlank="1" containsNumber="1" minValue="-65482.370000000112" maxValue="3219595.550000000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52">
  <r>
    <x v="0"/>
    <x v="0"/>
    <x v="0"/>
    <m/>
    <x v="0"/>
    <n v="510201010001"/>
    <s v="Sueldos                                                               "/>
    <n v="21330"/>
    <n v="23444"/>
    <n v="22018"/>
    <n v="22066.799999999999"/>
    <n v="26788.2"/>
    <n v="31558.400000000001"/>
    <n v="31412"/>
    <n v="30942.46"/>
    <n v="34993.9"/>
    <n v="34990.300000000003"/>
    <n v="33947.199999999997"/>
    <n v="32525.9"/>
    <n v="346017.16000000003"/>
    <n v="346017.16000000003"/>
  </r>
  <r>
    <x v="0"/>
    <x v="0"/>
    <x v="0"/>
    <m/>
    <x v="0"/>
    <n v="510201010002"/>
    <s v="Sobretiempo                                                           "/>
    <n v="8995.43"/>
    <n v="7910.11"/>
    <n v="10304.93"/>
    <n v="9505.59"/>
    <n v="12487.81"/>
    <n v="19681.46"/>
    <n v="13676.24"/>
    <n v="12967.32"/>
    <n v="17219.93"/>
    <n v="18678.080000000002"/>
    <n v="19308.78"/>
    <n v="10925.38"/>
    <n v="161661.05999999997"/>
    <n v="161661.06000000006"/>
  </r>
  <r>
    <x v="0"/>
    <x v="0"/>
    <x v="0"/>
    <m/>
    <x v="0"/>
    <n v="510201010003"/>
    <s v="Aporte Patronal 12.15%                                                "/>
    <n v="3726.79"/>
    <n v="3838.6"/>
    <n v="3972.9"/>
    <n v="3881.07"/>
    <n v="4799.1099999999997"/>
    <n v="6273"/>
    <n v="5521.23"/>
    <n v="5378.67"/>
    <n v="6392.85"/>
    <n v="6563.85"/>
    <n v="6524.15"/>
    <n v="5320.57"/>
    <n v="62192.789999999994"/>
    <n v="62192.789999999921"/>
  </r>
  <r>
    <x v="0"/>
    <x v="0"/>
    <x v="0"/>
    <m/>
    <x v="0"/>
    <n v="510201010005"/>
    <s v="Fondo de Reserva                                                      "/>
    <n v="2380.1799999999998"/>
    <n v="2228.5300000000002"/>
    <n v="2274.46"/>
    <n v="2211.84"/>
    <n v="2283.71"/>
    <n v="2436.02"/>
    <n v="2150.85"/>
    <n v="2097.42"/>
    <n v="2210.4"/>
    <n v="2443.08"/>
    <n v="2457.13"/>
    <n v="2110.15"/>
    <n v="27283.770000000008"/>
    <n v="27283.770000000019"/>
  </r>
  <r>
    <x v="0"/>
    <x v="0"/>
    <x v="0"/>
    <m/>
    <x v="0"/>
    <n v="510201010006"/>
    <s v="Decimo Tercer Sueldo                                                  "/>
    <n v="2527.12"/>
    <n v="2612.92"/>
    <n v="2693.61"/>
    <n v="2631.07"/>
    <n v="3273.03"/>
    <n v="4270"/>
    <n v="3757.4"/>
    <n v="3659.17"/>
    <n v="4351.1499999999996"/>
    <n v="4472.42"/>
    <n v="4438.05"/>
    <n v="3617.2"/>
    <n v="42303.14"/>
    <n v="42303.14000000013"/>
  </r>
  <r>
    <x v="0"/>
    <x v="0"/>
    <x v="0"/>
    <m/>
    <x v="0"/>
    <n v="510201010007"/>
    <s v="Decimo Cuarto Sueldo                                                  "/>
    <n v="1616.5"/>
    <n v="1769"/>
    <n v="2637.25"/>
    <n v="1661.23"/>
    <n v="2058.75"/>
    <n v="2456.27"/>
    <n v="2440"/>
    <n v="2410.52"/>
    <n v="2770.37"/>
    <n v="2773.47"/>
    <n v="2699.31"/>
    <n v="2592.5"/>
    <n v="27885.170000000002"/>
    <n v="27885.170000000042"/>
  </r>
  <r>
    <x v="0"/>
    <x v="0"/>
    <x v="0"/>
    <m/>
    <x v="0"/>
    <n v="510201010008"/>
    <s v="Vacaciones                                                            "/>
    <n v="0"/>
    <n v="0"/>
    <n v="0"/>
    <n v="0"/>
    <n v="0"/>
    <n v="0"/>
    <n v="0"/>
    <n v="0"/>
    <n v="-36.32"/>
    <n v="0"/>
    <n v="304.36"/>
    <n v="8711.14"/>
    <n v="8979.18"/>
    <n v="8979.1800000000512"/>
  </r>
  <r>
    <x v="0"/>
    <x v="0"/>
    <x v="0"/>
    <m/>
    <x v="0"/>
    <n v="510201010009"/>
    <s v="Desahucio Planta Directos                                             "/>
    <n v="0"/>
    <n v="1519.5"/>
    <n v="0"/>
    <n v="366"/>
    <n v="0"/>
    <n v="0"/>
    <n v="0"/>
    <n v="0"/>
    <n v="250"/>
    <n v="0"/>
    <n v="0"/>
    <n v="-2135.5"/>
    <n v="0"/>
    <n v="0"/>
  </r>
  <r>
    <x v="0"/>
    <x v="0"/>
    <x v="0"/>
    <m/>
    <x v="0"/>
    <n v="510201010010"/>
    <s v="Indemnización Planta Directos                                         "/>
    <n v="0"/>
    <n v="7260"/>
    <n v="0"/>
    <n v="0"/>
    <n v="0"/>
    <n v="0"/>
    <n v="0"/>
    <n v="0"/>
    <n v="0"/>
    <n v="0"/>
    <n v="0"/>
    <n v="0"/>
    <n v="7260"/>
    <n v="7260"/>
  </r>
  <r>
    <x v="0"/>
    <x v="0"/>
    <x v="1"/>
    <m/>
    <x v="0"/>
    <n v="510201030001"/>
    <s v="Costo de Depreciación Maquinarias y Equipos                           "/>
    <n v="37157.19"/>
    <n v="33538.629999999997"/>
    <n v="33656.28"/>
    <n v="34293.279999999999"/>
    <n v="34300.78"/>
    <n v="34300.78"/>
    <n v="34300.78"/>
    <n v="34363.589999999997"/>
    <n v="34418.54"/>
    <n v="35458.31"/>
    <n v="36378.18"/>
    <n v="36528.21"/>
    <n v="418694.55"/>
    <n v="418694.55000000005"/>
  </r>
  <r>
    <x v="0"/>
    <x v="0"/>
    <x v="2"/>
    <m/>
    <x v="0"/>
    <n v="510201050001"/>
    <s v="Mantenimiento de Maq y Equipos Directos                               "/>
    <n v="12724.02"/>
    <n v="13610.91"/>
    <n v="9535.83"/>
    <n v="4611.13"/>
    <n v="9895.15"/>
    <n v="16247.83"/>
    <n v="35806.07"/>
    <n v="8404.06"/>
    <n v="5337.55"/>
    <n v="14346.29"/>
    <n v="17792.93"/>
    <n v="11805.44"/>
    <n v="160117.21"/>
    <n v="160117.20999999996"/>
  </r>
  <r>
    <x v="0"/>
    <x v="0"/>
    <x v="2"/>
    <m/>
    <x v="0"/>
    <n v="510201050002"/>
    <s v="Suministros, Materiales y Repuestos Directos                          "/>
    <n v="4756.1400000000003"/>
    <n v="18219.66"/>
    <n v="8259.3700000000008"/>
    <n v="5735.48"/>
    <n v="10873.32"/>
    <n v="19415.75"/>
    <n v="7516.02"/>
    <n v="12175.68"/>
    <n v="7319.81"/>
    <n v="18567.28"/>
    <n v="13766.71"/>
    <n v="17606.23"/>
    <n v="144211.45000000001"/>
    <n v="144211.44999999995"/>
  </r>
  <r>
    <x v="0"/>
    <x v="0"/>
    <x v="2"/>
    <m/>
    <x v="0"/>
    <n v="510201050003"/>
    <s v="Troqueles                                                             "/>
    <n v="4520.6400000000003"/>
    <n v="4292.9399999999996"/>
    <n v="1693.68"/>
    <n v="0"/>
    <n v="0"/>
    <n v="70"/>
    <n v="0"/>
    <n v="0"/>
    <n v="126.82"/>
    <n v="0"/>
    <n v="237.32"/>
    <n v="-10941.4"/>
    <n v="0"/>
    <n v="0"/>
  </r>
  <r>
    <x v="0"/>
    <x v="0"/>
    <x v="2"/>
    <m/>
    <x v="0"/>
    <n v="510201050004"/>
    <s v="Servicio de Manufactura Directos                                      "/>
    <n v="19798.919999999998"/>
    <n v="21598.92"/>
    <n v="24688.52"/>
    <n v="21607.42"/>
    <n v="29768.5"/>
    <n v="11970.68"/>
    <n v="24246.52"/>
    <n v="11008.89"/>
    <n v="7128.4"/>
    <n v="7376.27"/>
    <n v="7455.74"/>
    <n v="10464.23"/>
    <n v="197113.00999999998"/>
    <n v="197113.00999999954"/>
  </r>
  <r>
    <x v="0"/>
    <x v="0"/>
    <x v="0"/>
    <m/>
    <x v="0"/>
    <n v="510202010001"/>
    <s v="Sueldos                                                               "/>
    <n v="16507.13"/>
    <n v="22034.67"/>
    <n v="16134"/>
    <n v="15809.47"/>
    <n v="15979.6"/>
    <n v="21958"/>
    <n v="22761"/>
    <n v="21996"/>
    <n v="22363.8"/>
    <n v="24129.33"/>
    <n v="24756.400000000001"/>
    <n v="22975.200000000001"/>
    <n v="247404.6"/>
    <n v="247404.59999999986"/>
  </r>
  <r>
    <x v="0"/>
    <x v="0"/>
    <x v="0"/>
    <m/>
    <x v="0"/>
    <n v="510202010002"/>
    <s v="Sobretiempo                                                           "/>
    <n v="2650.27"/>
    <n v="2872.81"/>
    <n v="3570.39"/>
    <n v="3400.08"/>
    <n v="3877.67"/>
    <n v="5042.3500000000004"/>
    <n v="3636.48"/>
    <n v="3868.23"/>
    <n v="4400.17"/>
    <n v="5068.6099999999997"/>
    <n v="5130.68"/>
    <n v="3041.46"/>
    <n v="46559.199999999997"/>
    <n v="46559.199999999953"/>
  </r>
  <r>
    <x v="0"/>
    <x v="0"/>
    <x v="0"/>
    <m/>
    <x v="0"/>
    <n v="510202010003"/>
    <s v="Aporte Patronal 12.15%                                                "/>
    <n v="2285.37"/>
    <n v="2997.15"/>
    <n v="2348.4899999999998"/>
    <n v="2289.0100000000002"/>
    <n v="2385.6"/>
    <n v="3233.24"/>
    <n v="3164.43"/>
    <n v="3098.9"/>
    <n v="4625.71"/>
    <n v="3504.43"/>
    <n v="3577.67"/>
    <n v="3120.23"/>
    <n v="36630.230000000003"/>
    <n v="36630.229999999749"/>
  </r>
  <r>
    <x v="0"/>
    <x v="0"/>
    <x v="0"/>
    <m/>
    <x v="0"/>
    <n v="510202010005"/>
    <s v="Fondo de Reserva                                                      "/>
    <n v="1391.18"/>
    <n v="1655.36"/>
    <n v="1275.1400000000001"/>
    <n v="1242.0999999999999"/>
    <n v="1230.1099999999999"/>
    <n v="1586.63"/>
    <n v="1595.15"/>
    <n v="1634.32"/>
    <n v="2567.63"/>
    <n v="1699.84"/>
    <n v="1729.95"/>
    <n v="1663.62"/>
    <n v="19271.03"/>
    <n v="19271.030000000028"/>
  </r>
  <r>
    <x v="0"/>
    <x v="0"/>
    <x v="0"/>
    <m/>
    <x v="0"/>
    <n v="510202010006"/>
    <s v="Decimo Tercer Sueldo                                                  "/>
    <n v="1596.47"/>
    <n v="2075.63"/>
    <n v="1642.04"/>
    <n v="1600.8"/>
    <n v="1660.62"/>
    <n v="2250.04"/>
    <n v="2199.8200000000002"/>
    <n v="2155.35"/>
    <n v="3206.08"/>
    <n v="2433.17"/>
    <n v="2490.58"/>
    <n v="2168.0500000000002"/>
    <n v="25478.650000000005"/>
    <n v="25478.650000000373"/>
  </r>
  <r>
    <x v="0"/>
    <x v="0"/>
    <x v="0"/>
    <m/>
    <x v="0"/>
    <n v="510202010007"/>
    <s v="Decimo Cuarto Sueldo                                                  "/>
    <n v="777.75"/>
    <n v="896.7"/>
    <n v="762.5"/>
    <n v="766.57"/>
    <n v="793"/>
    <n v="915"/>
    <n v="934.32"/>
    <n v="889.58"/>
    <n v="974.97"/>
    <n v="1049.2"/>
    <n v="1050.23"/>
    <n v="900.77"/>
    <n v="10710.59"/>
    <n v="10710.590000000084"/>
  </r>
  <r>
    <x v="0"/>
    <x v="0"/>
    <x v="0"/>
    <m/>
    <x v="0"/>
    <n v="510202010008"/>
    <s v="Vacaciones                                                            "/>
    <n v="115.13"/>
    <n v="298.77999999999997"/>
    <n v="0"/>
    <n v="326.73"/>
    <n v="0"/>
    <n v="22.99"/>
    <n v="0"/>
    <n v="0"/>
    <n v="0"/>
    <n v="0"/>
    <n v="425.73"/>
    <n v="0"/>
    <n v="1189.3600000000001"/>
    <n v="1189.3599999998696"/>
  </r>
  <r>
    <x v="0"/>
    <x v="0"/>
    <x v="0"/>
    <m/>
    <x v="0"/>
    <n v="510202010009"/>
    <s v="Desahucio Planta Indirectos                                           "/>
    <n v="779.03"/>
    <n v="1752.34"/>
    <n v="618.71"/>
    <n v="1517.93"/>
    <n v="618.71"/>
    <n v="618.71"/>
    <n v="618.71"/>
    <n v="3656.21"/>
    <n v="646.66999999999996"/>
    <n v="512.64"/>
    <n v="512.64"/>
    <n v="-3738.35"/>
    <n v="8113.9499999999989"/>
    <n v="8113.9499999994878"/>
  </r>
  <r>
    <x v="0"/>
    <x v="0"/>
    <x v="0"/>
    <m/>
    <x v="0"/>
    <n v="510202010010"/>
    <s v="Indemnización Planta Indirectos                                       "/>
    <n v="0"/>
    <n v="1098"/>
    <n v="0"/>
    <n v="4046.49"/>
    <n v="0"/>
    <n v="0"/>
    <n v="0"/>
    <n v="13500"/>
    <n v="0"/>
    <n v="0"/>
    <n v="0"/>
    <n v="1098"/>
    <n v="19742.489999999998"/>
    <n v="19742.489999999991"/>
  </r>
  <r>
    <x v="0"/>
    <x v="0"/>
    <x v="0"/>
    <m/>
    <x v="0"/>
    <n v="510202010011"/>
    <s v="Jubilación Patronal Planta Indirectos                                 "/>
    <n v="1846.07"/>
    <n v="1846.07"/>
    <n v="1846.07"/>
    <n v="1846.07"/>
    <n v="1846.07"/>
    <n v="1846.07"/>
    <n v="1846.07"/>
    <n v="1846.07"/>
    <n v="1749.79"/>
    <n v="1749.79"/>
    <n v="1749.79"/>
    <n v="-8215.93"/>
    <n v="11802"/>
    <n v="11802.000000000698"/>
  </r>
  <r>
    <x v="0"/>
    <x v="0"/>
    <x v="0"/>
    <m/>
    <x v="0"/>
    <n v="510202010012"/>
    <s v="Bonificaciones Voluntarias Planta Indirectos                          "/>
    <n v="0"/>
    <n v="0"/>
    <n v="0"/>
    <n v="0"/>
    <n v="0"/>
    <n v="0"/>
    <n v="0"/>
    <n v="0"/>
    <n v="11709.22"/>
    <n v="0"/>
    <n v="0"/>
    <n v="0"/>
    <n v="11709.22"/>
    <n v="11709.219999999972"/>
  </r>
  <r>
    <x v="0"/>
    <x v="0"/>
    <x v="3"/>
    <m/>
    <x v="0"/>
    <n v="510202020001"/>
    <s v="Agasajo al Personal Planta                                            "/>
    <n v="0"/>
    <n v="0"/>
    <n v="0"/>
    <n v="0"/>
    <n v="38"/>
    <n v="0"/>
    <n v="0"/>
    <n v="3334.55"/>
    <n v="361.88"/>
    <n v="0"/>
    <n v="1608.26"/>
    <n v="0"/>
    <n v="5342.6900000000005"/>
    <n v="5342.6899999999441"/>
  </r>
  <r>
    <x v="0"/>
    <x v="0"/>
    <x v="3"/>
    <m/>
    <x v="0"/>
    <n v="510202020003"/>
    <s v="Alimentación Planta                                                   "/>
    <n v="3787.3"/>
    <n v="4616.2"/>
    <n v="4472.2"/>
    <n v="5110.5"/>
    <n v="5610.95"/>
    <n v="5876.7"/>
    <n v="3983.3"/>
    <n v="4198.45"/>
    <n v="3958.5"/>
    <n v="4246.3999999999996"/>
    <n v="4315.2"/>
    <n v="3669.4"/>
    <n v="53845.1"/>
    <n v="53845.09999999986"/>
  </r>
  <r>
    <x v="0"/>
    <x v="0"/>
    <x v="3"/>
    <m/>
    <x v="0"/>
    <n v="510202020004"/>
    <s v="Movilización planta                                                   "/>
    <n v="40"/>
    <n v="40"/>
    <n v="40"/>
    <n v="83.5"/>
    <n v="40"/>
    <n v="130"/>
    <n v="300"/>
    <n v="389"/>
    <n v="88"/>
    <n v="40"/>
    <n v="62"/>
    <n v="40"/>
    <n v="1292.5"/>
    <n v="1292.5"/>
  </r>
  <r>
    <x v="0"/>
    <x v="0"/>
    <x v="3"/>
    <m/>
    <x v="0"/>
    <n v="510202020005"/>
    <s v="Gastos Médicos Planta                                                 "/>
    <n v="0"/>
    <n v="39.15"/>
    <n v="160.11000000000001"/>
    <n v="21.94"/>
    <n v="95.91"/>
    <n v="26.06"/>
    <n v="32.04"/>
    <n v="22.15"/>
    <n v="0"/>
    <n v="0"/>
    <n v="2485.5"/>
    <n v="2631.5"/>
    <n v="5514.3600000000006"/>
    <n v="5514.3599999998696"/>
  </r>
  <r>
    <x v="0"/>
    <x v="0"/>
    <x v="3"/>
    <m/>
    <x v="0"/>
    <n v="510202020006"/>
    <s v="Uniformes personal planta                                             "/>
    <n v="1370"/>
    <n v="3700"/>
    <n v="0"/>
    <n v="0"/>
    <n v="0"/>
    <n v="800"/>
    <n v="3250"/>
    <n v="0"/>
    <n v="0"/>
    <n v="242"/>
    <n v="0"/>
    <n v="0"/>
    <n v="9362"/>
    <n v="9362"/>
  </r>
  <r>
    <x v="0"/>
    <x v="0"/>
    <x v="3"/>
    <m/>
    <x v="0"/>
    <n v="510202020007"/>
    <s v="Capacitación y Seminarios Planta                                      "/>
    <n v="0"/>
    <n v="100"/>
    <n v="120"/>
    <n v="0"/>
    <n v="0"/>
    <n v="0"/>
    <n v="13.91"/>
    <n v="40"/>
    <n v="0"/>
    <n v="0"/>
    <n v="0"/>
    <n v="240"/>
    <n v="513.91"/>
    <n v="513.91000000014901"/>
  </r>
  <r>
    <x v="0"/>
    <x v="0"/>
    <x v="3"/>
    <m/>
    <x v="0"/>
    <n v="510202020008"/>
    <s v="Otros gastos del personal Planta                                      "/>
    <n v="0"/>
    <n v="0"/>
    <n v="0"/>
    <n v="47.5"/>
    <n v="0"/>
    <n v="161.5"/>
    <n v="0"/>
    <n v="58.5"/>
    <n v="0"/>
    <n v="0"/>
    <n v="0"/>
    <n v="0"/>
    <n v="267.5"/>
    <n v="267.5"/>
  </r>
  <r>
    <x v="0"/>
    <x v="0"/>
    <x v="3"/>
    <m/>
    <x v="0"/>
    <n v="510202020009"/>
    <s v="Utiles de limpieza, cafeteria y varios planta                         "/>
    <n v="515.65"/>
    <n v="480.98"/>
    <n v="491.59"/>
    <n v="327.29000000000002"/>
    <n v="887.86"/>
    <n v="89.57"/>
    <n v="148.85"/>
    <n v="229.44"/>
    <n v="0"/>
    <n v="80.84"/>
    <n v="111.28"/>
    <n v="126.59"/>
    <n v="3489.9400000000005"/>
    <n v="3489.9399999990128"/>
  </r>
  <r>
    <x v="0"/>
    <x v="0"/>
    <x v="1"/>
    <m/>
    <x v="0"/>
    <n v="510202030002"/>
    <s v="Costo de Deprecion Maquinarias y Equipos                              "/>
    <n v="796.71"/>
    <n v="2442.41"/>
    <n v="2442.41"/>
    <n v="2442.41"/>
    <n v="2442.41"/>
    <n v="2442.41"/>
    <n v="2442.41"/>
    <n v="2509.17"/>
    <n v="2608.08"/>
    <n v="2608.08"/>
    <n v="2608.08"/>
    <n v="2608.56"/>
    <n v="28393.140000000003"/>
    <n v="28393.140000001062"/>
  </r>
  <r>
    <x v="0"/>
    <x v="0"/>
    <x v="1"/>
    <m/>
    <x v="0"/>
    <n v="510202030003"/>
    <s v="Costo de Depreciación Muebles y Enseres                               "/>
    <n v="6.17"/>
    <n v="6.17"/>
    <n v="6.17"/>
    <n v="6.17"/>
    <n v="23.61"/>
    <n v="41.04"/>
    <n v="43.04"/>
    <n v="53.05"/>
    <n v="94.24"/>
    <n v="94.24"/>
    <n v="94.24"/>
    <n v="114.98"/>
    <n v="583.12"/>
    <n v="583.12000000011176"/>
  </r>
  <r>
    <x v="0"/>
    <x v="0"/>
    <x v="1"/>
    <m/>
    <x v="0"/>
    <n v="510202030004"/>
    <s v="Costo de Depreciación Equipos de Computación                          "/>
    <n v="123.34"/>
    <n v="119.05"/>
    <n v="113.48"/>
    <n v="113.48"/>
    <n v="113.48"/>
    <n v="113.48"/>
    <n v="104.85"/>
    <n v="93.61"/>
    <n v="53.91"/>
    <n v="16.57"/>
    <n v="13.69"/>
    <n v="10.65"/>
    <n v="989.59000000000015"/>
    <n v="989.58999999938533"/>
  </r>
  <r>
    <x v="0"/>
    <x v="0"/>
    <x v="1"/>
    <m/>
    <x v="0"/>
    <n v="510202030005"/>
    <s v="Costo de Depreciación de Vehículos                                    "/>
    <n v="1135.57"/>
    <n v="1135.57"/>
    <n v="1135.57"/>
    <n v="1135.57"/>
    <n v="1135.57"/>
    <n v="1135.57"/>
    <n v="1135.57"/>
    <n v="1135.57"/>
    <n v="1135.57"/>
    <n v="1135.57"/>
    <n v="1135.57"/>
    <n v="1135.49"/>
    <n v="13626.759999999998"/>
    <n v="13626.759999998379"/>
  </r>
  <r>
    <x v="0"/>
    <x v="0"/>
    <x v="1"/>
    <m/>
    <x v="0"/>
    <n v="510202030008"/>
    <s v="Costo de Depreciación Equipos de seguridad                            "/>
    <n v="0"/>
    <n v="0"/>
    <n v="0"/>
    <n v="0"/>
    <n v="0"/>
    <n v="0"/>
    <n v="24.86"/>
    <n v="24.86"/>
    <n v="24.86"/>
    <n v="24.86"/>
    <n v="24.86"/>
    <n v="-124.3"/>
    <n v="0"/>
    <n v="0"/>
  </r>
  <r>
    <x v="0"/>
    <x v="0"/>
    <x v="4"/>
    <m/>
    <x v="0"/>
    <n v="510202050001"/>
    <s v="Mantenimiento de Maq y Equipos Indirectos                             "/>
    <n v="270.77"/>
    <n v="88.88"/>
    <n v="3262.9"/>
    <n v="1546.99"/>
    <n v="1014.63"/>
    <n v="853.29"/>
    <n v="275"/>
    <n v="251.98"/>
    <n v="1328.2"/>
    <n v="1380.98"/>
    <n v="1056.48"/>
    <n v="1425.24"/>
    <n v="12755.339999999998"/>
    <n v="12755.339999999851"/>
  </r>
  <r>
    <x v="0"/>
    <x v="0"/>
    <x v="4"/>
    <m/>
    <x v="0"/>
    <n v="510202050002"/>
    <s v="Mantenimiento de Edificio Planta                                      "/>
    <n v="6124.65"/>
    <n v="7693.95"/>
    <n v="2676.07"/>
    <n v="15593.19"/>
    <n v="1239"/>
    <n v="1436.72"/>
    <n v="1008.14"/>
    <n v="1804.25"/>
    <n v="500"/>
    <n v="1220"/>
    <n v="2032.88"/>
    <n v="511.21"/>
    <n v="41840.06"/>
    <n v="41840.060000000056"/>
  </r>
  <r>
    <x v="0"/>
    <x v="0"/>
    <x v="4"/>
    <m/>
    <x v="0"/>
    <n v="510202050003"/>
    <s v="Mantenimiento de Muebles y Equipo Planta                              "/>
    <n v="0"/>
    <n v="0"/>
    <n v="0"/>
    <n v="240"/>
    <n v="0"/>
    <n v="0"/>
    <n v="360.41"/>
    <n v="600"/>
    <n v="703.38"/>
    <n v="0"/>
    <n v="757.35"/>
    <n v="2.74"/>
    <n v="2663.8799999999997"/>
    <n v="2663.8800000003539"/>
  </r>
  <r>
    <x v="0"/>
    <x v="0"/>
    <x v="4"/>
    <m/>
    <x v="0"/>
    <n v="510202050004"/>
    <s v="Combustibles Bodega                                                   "/>
    <n v="785"/>
    <n v="663.27"/>
    <n v="989.19"/>
    <n v="905.98"/>
    <n v="1129.67"/>
    <n v="1642.46"/>
    <n v="1131.3399999999999"/>
    <n v="1302.92"/>
    <n v="1065.83"/>
    <n v="1053.3"/>
    <n v="1043.83"/>
    <n v="1063.6099999999999"/>
    <n v="12776.400000000001"/>
    <n v="12776.399999999441"/>
  </r>
  <r>
    <x v="0"/>
    <x v="0"/>
    <x v="4"/>
    <m/>
    <x v="0"/>
    <n v="510202050005"/>
    <s v="Artículos de Seguridad                                                "/>
    <n v="0"/>
    <n v="145"/>
    <n v="0"/>
    <n v="0"/>
    <n v="0"/>
    <n v="0"/>
    <n v="60"/>
    <n v="148"/>
    <n v="0"/>
    <n v="0"/>
    <n v="0"/>
    <n v="0"/>
    <n v="353"/>
    <n v="353"/>
  </r>
  <r>
    <x v="0"/>
    <x v="0"/>
    <x v="4"/>
    <m/>
    <x v="0"/>
    <n v="510202050006"/>
    <s v="Agua Planta                                                           "/>
    <n v="275.64999999999998"/>
    <n v="253.78"/>
    <n v="0"/>
    <n v="4.21"/>
    <n v="944.25"/>
    <n v="0"/>
    <n v="423.78"/>
    <n v="0"/>
    <n v="0"/>
    <n v="101.89"/>
    <n v="137.75"/>
    <n v="136.72"/>
    <n v="2278.0299999999997"/>
    <n v="2278.0299999997951"/>
  </r>
  <r>
    <x v="0"/>
    <x v="0"/>
    <x v="4"/>
    <m/>
    <x v="0"/>
    <n v="510202050007"/>
    <s v="Energía Eléctrica Planta                                              "/>
    <n v="4702.05"/>
    <n v="6146.79"/>
    <n v="5954.46"/>
    <n v="6213.5"/>
    <n v="6458.34"/>
    <n v="6875.53"/>
    <n v="5993.97"/>
    <n v="1371.29"/>
    <n v="0"/>
    <n v="13403.4"/>
    <n v="6028.94"/>
    <n v="5706.66"/>
    <n v="68854.930000000008"/>
    <n v="68854.929999999702"/>
  </r>
  <r>
    <x v="0"/>
    <x v="0"/>
    <x v="4"/>
    <m/>
    <x v="0"/>
    <n v="510202050009"/>
    <s v="Gastos Menores de activos Planta                                      "/>
    <n v="0"/>
    <n v="0"/>
    <n v="312.5"/>
    <n v="625"/>
    <n v="267.5"/>
    <n v="0"/>
    <n v="0"/>
    <n v="0"/>
    <n v="1430.27"/>
    <n v="468.92"/>
    <n v="670"/>
    <n v="0"/>
    <n v="3774.19"/>
    <n v="3774.1899999999441"/>
  </r>
  <r>
    <x v="0"/>
    <x v="0"/>
    <x v="4"/>
    <m/>
    <x v="0"/>
    <n v="510202050010"/>
    <s v="Fletes                                                                "/>
    <n v="8330.4599999999991"/>
    <n v="8103.38"/>
    <n v="7101.25"/>
    <n v="4000.04"/>
    <n v="7801.74"/>
    <n v="3592.6"/>
    <n v="8090"/>
    <n v="7880.6"/>
    <n v="3542.1"/>
    <n v="6491.43"/>
    <n v="5907.6"/>
    <n v="5698.66"/>
    <n v="76539.86"/>
    <n v="76539.860000000801"/>
  </r>
  <r>
    <x v="0"/>
    <x v="0"/>
    <x v="4"/>
    <m/>
    <x v="0"/>
    <n v="510202050011"/>
    <s v="Otros Costo de Producción                                             "/>
    <n v="0"/>
    <n v="0"/>
    <n v="0"/>
    <n v="0"/>
    <n v="0"/>
    <n v="0"/>
    <n v="380"/>
    <n v="3924"/>
    <n v="5524.21"/>
    <n v="219.6"/>
    <n v="0"/>
    <n v="0"/>
    <n v="10047.81"/>
    <n v="10047.810000000056"/>
  </r>
  <r>
    <x v="0"/>
    <x v="0"/>
    <x v="4"/>
    <m/>
    <x v="0"/>
    <n v="510202050013"/>
    <s v="Servicio de Manufactura Indirectos                                    "/>
    <n v="6387.35"/>
    <n v="8580.1299999999992"/>
    <n v="6400.57"/>
    <n v="6754.16"/>
    <n v="6627.11"/>
    <n v="7650.36"/>
    <n v="3859.02"/>
    <n v="9999.7199999999993"/>
    <n v="3437.79"/>
    <n v="2986.56"/>
    <n v="4337.05"/>
    <n v="10163.719999999999"/>
    <n v="77183.539999999994"/>
    <n v="77183.540000000037"/>
  </r>
  <r>
    <x v="0"/>
    <x v="0"/>
    <x v="4"/>
    <m/>
    <x v="0"/>
    <n v="510202050014"/>
    <s v="Gastos de control de calidad                                          "/>
    <n v="35"/>
    <n v="25"/>
    <n v="247"/>
    <n v="0"/>
    <n v="79.5"/>
    <n v="0"/>
    <n v="0"/>
    <n v="145"/>
    <n v="0"/>
    <n v="248"/>
    <n v="0"/>
    <n v="0"/>
    <n v="779.5"/>
    <n v="779.5"/>
  </r>
  <r>
    <x v="0"/>
    <x v="0"/>
    <x v="4"/>
    <m/>
    <x v="0"/>
    <n v="510202050015"/>
    <s v="Mant.  Vehiculos Bodega                                               "/>
    <n v="1694.13"/>
    <n v="3580.02"/>
    <n v="5933.02"/>
    <n v="2013.56"/>
    <n v="3160.71"/>
    <n v="1958.6"/>
    <n v="2843.51"/>
    <n v="6818.17"/>
    <n v="3631.02"/>
    <n v="1397.66"/>
    <n v="1618.31"/>
    <n v="885.73"/>
    <n v="35534.439999999995"/>
    <n v="35534.439999999944"/>
  </r>
  <r>
    <x v="0"/>
    <x v="0"/>
    <x v="4"/>
    <m/>
    <x v="0"/>
    <n v="510202050016"/>
    <s v="Suministros, Materiales y Repuestos Indirectos                        "/>
    <n v="364.51"/>
    <n v="8278.6299999999992"/>
    <n v="7609.97"/>
    <n v="10792.06"/>
    <n v="7955.67"/>
    <n v="9341.33"/>
    <n v="14683.8"/>
    <n v="9552.8700000000008"/>
    <n v="7537.05"/>
    <n v="14315.93"/>
    <n v="14436"/>
    <n v="8771.49"/>
    <n v="113639.31000000001"/>
    <n v="113639.31000000006"/>
  </r>
  <r>
    <x v="0"/>
    <x v="0"/>
    <x v="4"/>
    <m/>
    <x v="0"/>
    <n v="510202050017"/>
    <s v="Servicio de Afilada de Cuchillas                                      "/>
    <n v="507.04"/>
    <n v="558.12"/>
    <n v="370.84"/>
    <n v="510.08"/>
    <n v="605.58000000000004"/>
    <n v="588.74"/>
    <n v="378.24"/>
    <n v="439"/>
    <n v="520"/>
    <n v="598.20000000000005"/>
    <n v="317.39999999999998"/>
    <n v="428.84"/>
    <n v="5822.079999999999"/>
    <n v="5822.0800000005402"/>
  </r>
  <r>
    <x v="0"/>
    <x v="0"/>
    <x v="4"/>
    <m/>
    <x v="0"/>
    <n v="510202050020"/>
    <s v="Seguro contra incendios                                               "/>
    <n v="406.64"/>
    <n v="406.64"/>
    <n v="406.63"/>
    <n v="166"/>
    <n v="0"/>
    <n v="0"/>
    <n v="0"/>
    <n v="0"/>
    <n v="0"/>
    <n v="0"/>
    <n v="362.68"/>
    <n v="362.68"/>
    <n v="2111.27"/>
    <n v="2111.2700000004843"/>
  </r>
  <r>
    <x v="0"/>
    <x v="0"/>
    <x v="4"/>
    <m/>
    <x v="0"/>
    <n v="510202050022"/>
    <s v="Seguro de Vehiculos                                                   "/>
    <n v="241.39"/>
    <n v="241.39"/>
    <n v="241.39"/>
    <n v="241.39"/>
    <n v="241.39"/>
    <n v="241.39"/>
    <n v="241.39"/>
    <n v="62.3"/>
    <n v="0"/>
    <n v="0"/>
    <n v="242.33"/>
    <n v="242.33"/>
    <n v="2236.6899999999996"/>
    <n v="2236.6900000008754"/>
  </r>
  <r>
    <x v="0"/>
    <x v="0"/>
    <x v="4"/>
    <m/>
    <x v="0"/>
    <n v="510202050023"/>
    <s v="Seguro SENAE                                                          "/>
    <n v="1265.54"/>
    <n v="1265.54"/>
    <n v="1265.54"/>
    <n v="1265.54"/>
    <n v="1265.54"/>
    <n v="1265.54"/>
    <n v="1265.54"/>
    <n v="1265.54"/>
    <n v="1011.01"/>
    <n v="1699.69"/>
    <n v="1268.79"/>
    <n v="1200.57"/>
    <n v="15304.380000000001"/>
    <n v="15304.379999999888"/>
  </r>
  <r>
    <x v="0"/>
    <x v="0"/>
    <x v="4"/>
    <m/>
    <x v="0"/>
    <n v="510202050024"/>
    <s v="Gastos viaticos planta                                                "/>
    <n v="0"/>
    <n v="0"/>
    <n v="0"/>
    <n v="1096"/>
    <n v="0"/>
    <n v="0"/>
    <n v="0"/>
    <n v="0"/>
    <n v="0"/>
    <n v="0"/>
    <n v="0"/>
    <n v="0"/>
    <n v="1096"/>
    <n v="1096"/>
  </r>
  <r>
    <x v="0"/>
    <x v="0"/>
    <x v="4"/>
    <m/>
    <x v="0"/>
    <n v="510202050026"/>
    <s v="Sistema de seguridad Planta-Produccion                                "/>
    <n v="0"/>
    <n v="1535.65"/>
    <n v="0"/>
    <n v="614"/>
    <n v="99.74"/>
    <n v="0"/>
    <n v="3878"/>
    <n v="0"/>
    <n v="0"/>
    <n v="0"/>
    <n v="0"/>
    <n v="0"/>
    <n v="6127.3899999999994"/>
    <n v="6127.3900000001304"/>
  </r>
  <r>
    <x v="0"/>
    <x v="0"/>
    <x v="4"/>
    <m/>
    <x v="0"/>
    <n v="510202050027"/>
    <s v="Suministros de seguridad industrial (EPP Y OTROS )                    "/>
    <n v="0"/>
    <n v="78.819999999999993"/>
    <n v="790.72"/>
    <n v="230.79"/>
    <n v="335.5"/>
    <n v="0"/>
    <n v="0"/>
    <n v="450.5"/>
    <n v="0"/>
    <n v="0"/>
    <n v="80"/>
    <n v="66.5"/>
    <n v="2032.83"/>
    <n v="2032.8300000000745"/>
  </r>
  <r>
    <x v="0"/>
    <x v="0"/>
    <x v="4"/>
    <m/>
    <x v="0"/>
    <n v="510202050028"/>
    <s v="Gastos movilizacion planta                                            "/>
    <n v="196.1"/>
    <n v="257.05"/>
    <n v="1186.75"/>
    <n v="1063.4000000000001"/>
    <n v="1420"/>
    <n v="1370"/>
    <n v="90.25"/>
    <n v="11"/>
    <n v="316.25"/>
    <n v="533.04999999999995"/>
    <n v="479.5"/>
    <n v="402.65"/>
    <n v="7326"/>
    <n v="7325.9999999995343"/>
  </r>
  <r>
    <x v="0"/>
    <x v="0"/>
    <x v="4"/>
    <m/>
    <x v="0"/>
    <n v="510202050029"/>
    <s v="Honorarios profesionales planta                                       "/>
    <n v="1416.68"/>
    <n v="1888.9"/>
    <n v="1888.9"/>
    <n v="1888.9"/>
    <n v="1888.9"/>
    <n v="944.45"/>
    <n v="0"/>
    <n v="0"/>
    <n v="0"/>
    <n v="550"/>
    <n v="0"/>
    <n v="0"/>
    <n v="10466.73"/>
    <n v="10466.729999999981"/>
  </r>
  <r>
    <x v="0"/>
    <x v="0"/>
    <x v="4"/>
    <m/>
    <x v="0"/>
    <n v="510202050030"/>
    <s v="Mantenimiento de instalaciones planta                                 "/>
    <n v="0"/>
    <n v="1346.82"/>
    <n v="1339.93"/>
    <n v="1707.98"/>
    <n v="603.94000000000005"/>
    <n v="504.5"/>
    <n v="4388.91"/>
    <n v="1127.8"/>
    <n v="600"/>
    <n v="3983.14"/>
    <n v="5075.32"/>
    <n v="1859.31"/>
    <n v="22537.649999999998"/>
    <n v="22537.649999999907"/>
  </r>
  <r>
    <x v="0"/>
    <x v="0"/>
    <x v="4"/>
    <m/>
    <x v="0"/>
    <n v="510202050032"/>
    <s v="Alquiler maquinarias y otros                                          "/>
    <n v="0"/>
    <n v="0"/>
    <n v="210"/>
    <n v="480"/>
    <n v="300"/>
    <n v="0"/>
    <n v="0"/>
    <n v="790"/>
    <n v="0"/>
    <n v="0"/>
    <n v="300"/>
    <n v="0"/>
    <n v="2080"/>
    <n v="2080"/>
  </r>
  <r>
    <x v="0"/>
    <x v="0"/>
    <x v="4"/>
    <m/>
    <x v="0"/>
    <n v="510202050033"/>
    <s v="Destrucción desechos - medio ambiente                                 "/>
    <n v="0"/>
    <n v="0"/>
    <n v="242.9"/>
    <n v="0"/>
    <n v="0"/>
    <n v="0"/>
    <n v="0"/>
    <n v="0"/>
    <n v="0"/>
    <n v="290.35000000000002"/>
    <n v="0"/>
    <n v="0"/>
    <n v="533.25"/>
    <n v="533.25"/>
  </r>
  <r>
    <x v="0"/>
    <x v="0"/>
    <x v="4"/>
    <m/>
    <x v="0"/>
    <n v="510202050034"/>
    <s v="Iva costo                                                             "/>
    <n v="0"/>
    <n v="0"/>
    <n v="0"/>
    <n v="67.14"/>
    <n v="372.74"/>
    <n v="351.58"/>
    <n v="1797.64"/>
    <n v="911.97"/>
    <n v="638.66999999999996"/>
    <n v="1056.0899999999999"/>
    <n v="1695.76"/>
    <n v="1296.48"/>
    <n v="8188.0700000000015"/>
    <n v="8188.070000000298"/>
  </r>
  <r>
    <x v="0"/>
    <x v="0"/>
    <x v="4"/>
    <m/>
    <x v="0"/>
    <n v="510202050035"/>
    <s v="Matrícula e impuestos Vehicular bodega                                "/>
    <n v="0"/>
    <n v="0"/>
    <n v="0"/>
    <n v="0"/>
    <n v="612.89"/>
    <n v="60"/>
    <n v="0"/>
    <n v="72.09"/>
    <n v="0"/>
    <n v="556.79999999999995"/>
    <n v="53.1"/>
    <n v="0"/>
    <n v="1354.8799999999999"/>
    <n v="1354.8799999998882"/>
  </r>
  <r>
    <x v="0"/>
    <x v="0"/>
    <x v="4"/>
    <m/>
    <x v="0"/>
    <n v="510202050036"/>
    <s v="Otros pagos bienes y servicios planta                                 "/>
    <n v="0"/>
    <n v="0"/>
    <n v="0"/>
    <n v="0"/>
    <n v="53.58"/>
    <n v="0"/>
    <n v="385"/>
    <n v="1035.75"/>
    <n v="1015"/>
    <n v="375"/>
    <n v="874.27"/>
    <n v="335"/>
    <n v="4073.6"/>
    <n v="4073.6000000000931"/>
  </r>
  <r>
    <x v="0"/>
    <x v="0"/>
    <x v="4"/>
    <m/>
    <x v="0"/>
    <n v="510202050037"/>
    <s v="Tasa de recolección de basura                                         "/>
    <n v="0"/>
    <n v="0"/>
    <n v="0"/>
    <n v="893.29"/>
    <n v="932.19"/>
    <n v="968.93"/>
    <n v="0"/>
    <n v="1930.84"/>
    <n v="822.46"/>
    <n v="0"/>
    <n v="995.78"/>
    <n v="904.66"/>
    <n v="7448.15"/>
    <n v="7448.1499999999069"/>
  </r>
  <r>
    <x v="0"/>
    <x v="0"/>
    <x v="4"/>
    <m/>
    <x v="0"/>
    <n v="510202050038"/>
    <s v="Muestras recibidas                                                    "/>
    <n v="0"/>
    <n v="0"/>
    <n v="0"/>
    <n v="0"/>
    <n v="0"/>
    <n v="0"/>
    <n v="0"/>
    <n v="101.53"/>
    <n v="20"/>
    <n v="0"/>
    <n v="0"/>
    <n v="0"/>
    <n v="121.53"/>
    <n v="121.52999999979511"/>
  </r>
  <r>
    <x v="0"/>
    <x v="0"/>
    <x v="4"/>
    <m/>
    <x v="0"/>
    <n v="510202050039"/>
    <s v="Accesorios y herramientas                                             "/>
    <n v="0"/>
    <n v="0"/>
    <n v="0"/>
    <n v="0"/>
    <n v="0"/>
    <n v="0"/>
    <n v="0"/>
    <n v="0"/>
    <n v="400"/>
    <n v="0"/>
    <n v="0"/>
    <n v="0"/>
    <n v="400"/>
    <n v="400"/>
  </r>
  <r>
    <x v="0"/>
    <x v="0"/>
    <x v="4"/>
    <m/>
    <x v="0"/>
    <n v="510202050040"/>
    <s v="Gastos de licencias - software y mant  ERP                            "/>
    <n v="0"/>
    <n v="0"/>
    <n v="0"/>
    <n v="0"/>
    <n v="0"/>
    <n v="0"/>
    <n v="0"/>
    <n v="0"/>
    <n v="0"/>
    <n v="4986"/>
    <n v="0"/>
    <n v="0"/>
    <n v="4986"/>
    <n v="4986"/>
  </r>
  <r>
    <x v="0"/>
    <x v="1"/>
    <x v="5"/>
    <m/>
    <x v="0"/>
    <n v="520101010001"/>
    <s v="Sueldos                                                               "/>
    <n v="12276.77"/>
    <n v="12632.67"/>
    <n v="13395.75"/>
    <n v="13920.21"/>
    <n v="13403.54"/>
    <n v="13153.54"/>
    <n v="12903.54"/>
    <n v="13293.54"/>
    <n v="13353.54"/>
    <n v="13357.11"/>
    <n v="13343.95"/>
    <n v="13317.28"/>
    <n v="158351.44000000003"/>
    <n v="158351.43999999994"/>
  </r>
  <r>
    <x v="0"/>
    <x v="1"/>
    <x v="5"/>
    <m/>
    <x v="0"/>
    <n v="520101010002"/>
    <s v="Sobretiempos                                                          "/>
    <n v="698.26"/>
    <n v="397.1"/>
    <n v="692.69"/>
    <n v="478.64"/>
    <n v="690.66"/>
    <n v="487.17"/>
    <n v="518.79999999999995"/>
    <n v="608.79"/>
    <n v="543.25"/>
    <n v="614.25"/>
    <n v="352.19"/>
    <n v="597.70000000000005"/>
    <n v="6679.4999999999991"/>
    <n v="6679.5"/>
  </r>
  <r>
    <x v="0"/>
    <x v="1"/>
    <x v="5"/>
    <m/>
    <x v="0"/>
    <n v="520101010003"/>
    <s v="Comisiones                                                            "/>
    <n v="5489.6"/>
    <n v="7374.63"/>
    <n v="9005.1200000000008"/>
    <n v="8105.91"/>
    <n v="14351.49"/>
    <n v="10978.01"/>
    <n v="12413.69"/>
    <n v="23137.11"/>
    <n v="9438.92"/>
    <n v="10159.65"/>
    <n v="6611.79"/>
    <n v="11422.93"/>
    <n v="128488.84999999998"/>
    <n v="128488.85000000009"/>
  </r>
  <r>
    <x v="0"/>
    <x v="1"/>
    <x v="5"/>
    <m/>
    <x v="0"/>
    <n v="520101010004"/>
    <s v="Aporte Patronal 12.15%                                                "/>
    <n v="2243.4699999999998"/>
    <n v="2479.16"/>
    <n v="2805.89"/>
    <n v="2734.31"/>
    <n v="3456.15"/>
    <n v="2991.18"/>
    <n v="3139.07"/>
    <n v="4500.3500000000004"/>
    <n v="2835.25"/>
    <n v="2931.92"/>
    <n v="2467.4499999999998"/>
    <n v="3078.57"/>
    <n v="35662.769999999997"/>
    <n v="35662.770000000484"/>
  </r>
  <r>
    <x v="0"/>
    <x v="1"/>
    <x v="5"/>
    <m/>
    <x v="0"/>
    <n v="520101010005"/>
    <s v="Fondo de Reserva                                                      "/>
    <n v="770.87"/>
    <n v="835.28"/>
    <n v="915.24"/>
    <n v="803.18"/>
    <n v="1104.3"/>
    <n v="920.21"/>
    <n v="1205.1199999999999"/>
    <n v="2183.17"/>
    <n v="1503.29"/>
    <n v="1523.21"/>
    <n v="1239.98"/>
    <n v="1589.67"/>
    <n v="14593.519999999999"/>
    <n v="14593.520000000019"/>
  </r>
  <r>
    <x v="0"/>
    <x v="1"/>
    <x v="5"/>
    <m/>
    <x v="0"/>
    <n v="520101010006"/>
    <s v="Decimo Tercer Sueldo                                                  "/>
    <n v="1538.74"/>
    <n v="1700.38"/>
    <n v="1924.46"/>
    <n v="1875.4"/>
    <n v="2370.4899999999998"/>
    <n v="2051.56"/>
    <n v="2153.0100000000002"/>
    <n v="3086.61"/>
    <n v="1944.65"/>
    <n v="2010.92"/>
    <n v="1692.33"/>
    <n v="2111.4899999999998"/>
    <n v="24460.04"/>
    <n v="24460.040000000037"/>
  </r>
  <r>
    <x v="0"/>
    <x v="1"/>
    <x v="5"/>
    <m/>
    <x v="0"/>
    <n v="520101010007"/>
    <s v="Decimo Cuarto Sueldo                                                  "/>
    <n v="414.8"/>
    <n v="443.27"/>
    <n v="503.25"/>
    <n v="495.12"/>
    <n v="457.5"/>
    <n v="442.25"/>
    <n v="427"/>
    <n v="453.43"/>
    <n v="457.5"/>
    <n v="458.52"/>
    <n v="457.5"/>
    <n v="457.5"/>
    <n v="5467.6399999999994"/>
    <n v="5467.6400000001304"/>
  </r>
  <r>
    <x v="0"/>
    <x v="1"/>
    <x v="5"/>
    <m/>
    <x v="0"/>
    <n v="520101010008"/>
    <s v="Vacaciones                                                            "/>
    <n v="0"/>
    <n v="0"/>
    <n v="-126.25"/>
    <n v="92.15"/>
    <n v="0"/>
    <n v="128.22"/>
    <n v="0"/>
    <n v="0"/>
    <n v="0"/>
    <n v="0"/>
    <n v="0"/>
    <n v="9412.08"/>
    <n v="9506.2000000000007"/>
    <n v="9506.2000000001863"/>
  </r>
  <r>
    <x v="0"/>
    <x v="1"/>
    <x v="5"/>
    <m/>
    <x v="0"/>
    <n v="520101010009"/>
    <s v="Desahucio Ventas                                                      "/>
    <n v="116.51"/>
    <n v="116.51"/>
    <n v="933.02"/>
    <n v="116.51"/>
    <n v="116.51"/>
    <n v="116.51"/>
    <n v="116.51"/>
    <n v="116.51"/>
    <n v="119.18"/>
    <n v="583.46"/>
    <n v="119.18"/>
    <n v="-620.73"/>
    <n v="1949.6799999999998"/>
    <n v="1949.6799999987707"/>
  </r>
  <r>
    <x v="0"/>
    <x v="1"/>
    <x v="5"/>
    <m/>
    <x v="0"/>
    <n v="520101010010"/>
    <s v="Indemnización Ventas                                                  "/>
    <n v="0"/>
    <n v="0"/>
    <n v="3919.26"/>
    <n v="0"/>
    <n v="0"/>
    <n v="0"/>
    <n v="0"/>
    <n v="0"/>
    <n v="0"/>
    <n v="0"/>
    <n v="0"/>
    <n v="0"/>
    <n v="3919.26"/>
    <n v="3919.2599999997765"/>
  </r>
  <r>
    <x v="0"/>
    <x v="1"/>
    <x v="5"/>
    <m/>
    <x v="0"/>
    <n v="520101010012"/>
    <s v="Jubilación Patronal Ventas                                            "/>
    <n v="549.13"/>
    <n v="549.13"/>
    <n v="549.13"/>
    <n v="549.13"/>
    <n v="549.13"/>
    <n v="549.13"/>
    <n v="549.13"/>
    <n v="549.13"/>
    <n v="542.97"/>
    <n v="542.97"/>
    <n v="542.97"/>
    <n v="-2343.08"/>
    <n v="3678.8700000000008"/>
    <n v="3678.8699999996461"/>
  </r>
  <r>
    <x v="0"/>
    <x v="1"/>
    <x v="6"/>
    <m/>
    <x v="0"/>
    <n v="520101020002"/>
    <s v="Alimentacion Ventas                                                   "/>
    <n v="2.75"/>
    <n v="0"/>
    <n v="48.29"/>
    <n v="110.77"/>
    <n v="0"/>
    <n v="337.49"/>
    <n v="132.24"/>
    <n v="53.21"/>
    <n v="240.25"/>
    <n v="357.58"/>
    <n v="80.260000000000005"/>
    <n v="51.65"/>
    <n v="1414.49"/>
    <n v="1414.4900000002235"/>
  </r>
  <r>
    <x v="0"/>
    <x v="1"/>
    <x v="6"/>
    <m/>
    <x v="0"/>
    <n v="520101020003"/>
    <s v="Movilizacion/Transp de Personal Ventas                                "/>
    <n v="236"/>
    <n v="60"/>
    <n v="236"/>
    <n v="160"/>
    <n v="152"/>
    <n v="150"/>
    <n v="0"/>
    <n v="180"/>
    <n v="160"/>
    <n v="0"/>
    <n v="0"/>
    <n v="0"/>
    <n v="1334"/>
    <n v="1334"/>
  </r>
  <r>
    <x v="0"/>
    <x v="1"/>
    <x v="6"/>
    <m/>
    <x v="0"/>
    <n v="520101020006"/>
    <s v="Capacitación y Seminarios Ventas                                      "/>
    <n v="0"/>
    <n v="0"/>
    <n v="350"/>
    <n v="70"/>
    <n v="70"/>
    <n v="180"/>
    <n v="0"/>
    <n v="40"/>
    <n v="120"/>
    <n v="0"/>
    <n v="0"/>
    <n v="0"/>
    <n v="830"/>
    <n v="830"/>
  </r>
  <r>
    <x v="0"/>
    <x v="1"/>
    <x v="6"/>
    <m/>
    <x v="0"/>
    <n v="520101020007"/>
    <s v="Agasajo al Personal Ventas                                            "/>
    <n v="0"/>
    <n v="242.85"/>
    <n v="87.5"/>
    <n v="166"/>
    <n v="0"/>
    <n v="0"/>
    <n v="0"/>
    <n v="0"/>
    <n v="0"/>
    <n v="256.5"/>
    <n v="89.7"/>
    <n v="664.84"/>
    <n v="1507.39"/>
    <n v="1507.3900000001304"/>
  </r>
  <r>
    <x v="0"/>
    <x v="1"/>
    <x v="7"/>
    <m/>
    <x v="0"/>
    <n v="520101030001"/>
    <s v="Comisiones a Terceros                                                 "/>
    <n v="16037.44"/>
    <n v="15886.95"/>
    <n v="14023.26"/>
    <n v="8288.34"/>
    <n v="16591.02"/>
    <n v="0"/>
    <n v="23456.37"/>
    <n v="4270.6499999999996"/>
    <n v="0"/>
    <n v="1600"/>
    <n v="0"/>
    <n v="938.9"/>
    <n v="101092.93"/>
    <n v="101092.9299999997"/>
  </r>
  <r>
    <x v="0"/>
    <x v="1"/>
    <x v="7"/>
    <m/>
    <x v="0"/>
    <n v="520101030002"/>
    <s v="Promoción y Publicidad                                                "/>
    <n v="320"/>
    <n v="262.70999999999998"/>
    <n v="260"/>
    <n v="260"/>
    <n v="920"/>
    <n v="260"/>
    <n v="920"/>
    <n v="260"/>
    <n v="260"/>
    <n v="2520.6999999999998"/>
    <n v="2090.1"/>
    <n v="21.94"/>
    <n v="8355.4500000000007"/>
    <n v="8355.4500000001863"/>
  </r>
  <r>
    <x v="0"/>
    <x v="1"/>
    <x v="7"/>
    <m/>
    <x v="0"/>
    <n v="520101030003"/>
    <s v="Gastos de Viaje Ventas                                                "/>
    <n v="135.80000000000001"/>
    <n v="1231"/>
    <n v="0"/>
    <n v="146.80000000000001"/>
    <n v="286"/>
    <n v="110"/>
    <n v="539.02"/>
    <n v="336.51"/>
    <n v="0"/>
    <n v="69.59"/>
    <n v="1534.23"/>
    <n v="0"/>
    <n v="4388.9500000000007"/>
    <n v="4388.9499999992549"/>
  </r>
  <r>
    <x v="0"/>
    <x v="1"/>
    <x v="7"/>
    <m/>
    <x v="0"/>
    <n v="520101030004"/>
    <s v="Mant. Vehiculos Ventas                                                "/>
    <n v="0"/>
    <n v="0"/>
    <n v="0"/>
    <n v="0"/>
    <n v="0"/>
    <n v="41.84"/>
    <n v="2450"/>
    <n v="0"/>
    <n v="0"/>
    <n v="84.62"/>
    <n v="0"/>
    <n v="0"/>
    <n v="2576.46"/>
    <n v="2576.4599999999627"/>
  </r>
  <r>
    <x v="0"/>
    <x v="1"/>
    <x v="7"/>
    <m/>
    <x v="0"/>
    <n v="520101030005"/>
    <s v="Combustibles Ventas                                                   "/>
    <n v="662.48"/>
    <n v="863.7"/>
    <n v="905.06"/>
    <n v="1377.5"/>
    <n v="1227.56"/>
    <n v="1301.45"/>
    <n v="1057.72"/>
    <n v="1156.8599999999999"/>
    <n v="1097.93"/>
    <n v="1055.05"/>
    <n v="1073.95"/>
    <n v="1060.47"/>
    <n v="12839.73"/>
    <n v="12839.730000000913"/>
  </r>
  <r>
    <x v="0"/>
    <x v="1"/>
    <x v="7"/>
    <m/>
    <x v="0"/>
    <n v="520101030006"/>
    <s v="Gastos de Exportación                                                 "/>
    <n v="14522.48"/>
    <n v="15411.48"/>
    <n v="4306.6400000000003"/>
    <n v="20235.73"/>
    <n v="16445.23"/>
    <n v="16728.62"/>
    <n v="10076.31"/>
    <n v="480.72"/>
    <n v="12481.97"/>
    <n v="1857.97"/>
    <n v="5454.28"/>
    <n v="5772.97"/>
    <n v="123774.39999999999"/>
    <n v="123774.40000000084"/>
  </r>
  <r>
    <x v="0"/>
    <x v="1"/>
    <x v="7"/>
    <m/>
    <x v="0"/>
    <n v="520101030007"/>
    <s v="Atención a clientes                                                   "/>
    <n v="431.26"/>
    <n v="916.25"/>
    <n v="1132.3399999999999"/>
    <n v="371.35"/>
    <n v="419.24"/>
    <n v="642.05999999999995"/>
    <n v="914.39"/>
    <n v="1833.52"/>
    <n v="1133.5"/>
    <n v="13196.54"/>
    <n v="4115.22"/>
    <n v="4167.7700000000004"/>
    <n v="29273.440000000002"/>
    <n v="29273.44000000041"/>
  </r>
  <r>
    <x v="0"/>
    <x v="1"/>
    <x v="7"/>
    <m/>
    <x v="0"/>
    <n v="520101030008"/>
    <s v="Gastos Viaticos                                                       "/>
    <n v="346.44"/>
    <n v="1216.3800000000001"/>
    <n v="3438.38"/>
    <n v="263.45"/>
    <n v="477.03"/>
    <n v="923.71"/>
    <n v="1035.47"/>
    <n v="1040.44"/>
    <n v="1307.48"/>
    <n v="2305.0100000000002"/>
    <n v="1377.08"/>
    <n v="2009.81"/>
    <n v="15740.68"/>
    <n v="15740.679999999702"/>
  </r>
  <r>
    <x v="0"/>
    <x v="1"/>
    <x v="7"/>
    <m/>
    <x v="0"/>
    <n v="520101030009"/>
    <s v="Telefonía celular ventas                                              "/>
    <n v="625.55999999999995"/>
    <n v="562.59"/>
    <n v="891.94"/>
    <n v="629.74"/>
    <n v="652"/>
    <n v="872.06"/>
    <n v="485.65"/>
    <n v="316.29000000000002"/>
    <n v="0"/>
    <n v="-37.64"/>
    <n v="0"/>
    <n v="0"/>
    <n v="4998.1899999999987"/>
    <n v="4998.1899999999441"/>
  </r>
  <r>
    <x v="0"/>
    <x v="1"/>
    <x v="7"/>
    <m/>
    <x v="0"/>
    <n v="520101030011"/>
    <s v="Suministros de oficina y comput ventas y diseño                       "/>
    <n v="0"/>
    <n v="82.15"/>
    <n v="1036"/>
    <n v="1841"/>
    <n v="0"/>
    <n v="0"/>
    <n v="0"/>
    <n v="0"/>
    <n v="59.69"/>
    <n v="1"/>
    <n v="245.32"/>
    <n v="266.27999999999997"/>
    <n v="3531.4400000000005"/>
    <n v="3531.4399999994785"/>
  </r>
  <r>
    <x v="0"/>
    <x v="1"/>
    <x v="7"/>
    <m/>
    <x v="0"/>
    <n v="520101030012"/>
    <s v="Movilizacion Ventas                                                   "/>
    <n v="26"/>
    <n v="67"/>
    <n v="0"/>
    <n v="230.52"/>
    <n v="0"/>
    <n v="15.75"/>
    <n v="32"/>
    <n v="5"/>
    <n v="0"/>
    <n v="76.31"/>
    <n v="0"/>
    <n v="0"/>
    <n v="452.58"/>
    <n v="452.58000000007451"/>
  </r>
  <r>
    <x v="0"/>
    <x v="2"/>
    <x v="8"/>
    <m/>
    <x v="0"/>
    <n v="520201010001"/>
    <s v="Sueldos                                                               "/>
    <n v="16856"/>
    <n v="11908.6"/>
    <n v="17065.330000000002"/>
    <n v="16762"/>
    <n v="19262"/>
    <n v="13576.6"/>
    <n v="13979.87"/>
    <n v="13449.33"/>
    <n v="12813"/>
    <n v="14409.33"/>
    <n v="13929.33"/>
    <n v="13826"/>
    <n v="177837.38999999996"/>
    <n v="177837.3900000006"/>
  </r>
  <r>
    <x v="0"/>
    <x v="2"/>
    <x v="8"/>
    <m/>
    <x v="0"/>
    <n v="520201010002"/>
    <s v="Sobretiempos                                                          "/>
    <n v="186.94"/>
    <n v="168.04"/>
    <n v="68.849999999999994"/>
    <n v="61.97"/>
    <n v="86.32"/>
    <n v="130.96"/>
    <n v="113.23"/>
    <n v="185.23"/>
    <n v="56.23"/>
    <n v="244.09"/>
    <n v="202.86"/>
    <n v="164.83"/>
    <n v="1669.5500000000002"/>
    <n v="1669.5499999998137"/>
  </r>
  <r>
    <x v="0"/>
    <x v="2"/>
    <x v="8"/>
    <m/>
    <x v="0"/>
    <n v="520201010003"/>
    <s v="Aporte Patronal 12.15%                                                "/>
    <n v="2070.73"/>
    <n v="1467.32"/>
    <n v="2081.81"/>
    <n v="2044.12"/>
    <n v="2350.85"/>
    <n v="1665.47"/>
    <n v="1712.33"/>
    <n v="1656.65"/>
    <n v="1563.65"/>
    <n v="1780.41"/>
    <n v="1717.09"/>
    <n v="1699.89"/>
    <n v="21810.32"/>
    <n v="21810.320000000298"/>
  </r>
  <r>
    <x v="0"/>
    <x v="2"/>
    <x v="8"/>
    <m/>
    <x v="0"/>
    <n v="520201010004"/>
    <s v="Fondo de Reserva                                                      "/>
    <n v="1017.95"/>
    <n v="704"/>
    <n v="1175.5999999999999"/>
    <n v="1004.45"/>
    <n v="1003.89"/>
    <n v="676.03"/>
    <n v="669.11"/>
    <n v="671.19"/>
    <n v="675.22"/>
    <n v="734.15"/>
    <n v="736.04"/>
    <n v="732.87"/>
    <n v="9800.5000000000018"/>
    <n v="9800.5000000004657"/>
  </r>
  <r>
    <x v="0"/>
    <x v="2"/>
    <x v="8"/>
    <m/>
    <x v="0"/>
    <n v="520201010005"/>
    <s v="Decimo Tercer Sueldo                                                  "/>
    <n v="1420.24"/>
    <n v="1006.38"/>
    <n v="1427.85"/>
    <n v="1401.99"/>
    <n v="1633.72"/>
    <n v="1142.3"/>
    <n v="1174.43"/>
    <n v="1136.2"/>
    <n v="1072.42"/>
    <n v="1221.1099999999999"/>
    <n v="1177.69"/>
    <n v="1165.8900000000001"/>
    <n v="14980.220000000001"/>
    <n v="14980.220000000671"/>
  </r>
  <r>
    <x v="0"/>
    <x v="2"/>
    <x v="8"/>
    <m/>
    <x v="0"/>
    <n v="520201010006"/>
    <s v="Decimo Cuarto Sueldo                                                  "/>
    <n v="640.5"/>
    <n v="579.5"/>
    <n v="623.22"/>
    <n v="591.70000000000005"/>
    <n v="640.5"/>
    <n v="572.38"/>
    <n v="575.42999999999995"/>
    <n v="535.78"/>
    <n v="503.25"/>
    <n v="575.44000000000005"/>
    <n v="570.36"/>
    <n v="549"/>
    <n v="6957.06"/>
    <n v="6957.0600000000559"/>
  </r>
  <r>
    <x v="0"/>
    <x v="2"/>
    <x v="8"/>
    <m/>
    <x v="0"/>
    <n v="520201010007"/>
    <s v="Vacaciones                                                            "/>
    <n v="0"/>
    <n v="170"/>
    <n v="262.5"/>
    <n v="0"/>
    <n v="0"/>
    <n v="0"/>
    <n v="0"/>
    <n v="0"/>
    <n v="0"/>
    <n v="0"/>
    <n v="0"/>
    <n v="16783.84"/>
    <n v="17216.34"/>
    <n v="17216.339999999851"/>
  </r>
  <r>
    <x v="0"/>
    <x v="2"/>
    <x v="8"/>
    <m/>
    <x v="0"/>
    <n v="520201010008"/>
    <s v="Desahucio Administración                                              "/>
    <n v="125.9"/>
    <n v="125.9"/>
    <n v="4550.8999999999996"/>
    <n v="125.9"/>
    <n v="125.9"/>
    <n v="125.9"/>
    <n v="308.89999999999998"/>
    <n v="125.9"/>
    <n v="94.28"/>
    <n v="94.28"/>
    <n v="94.28"/>
    <n v="-1490.44"/>
    <n v="4407.5999999999967"/>
    <n v="4407.5999999986961"/>
  </r>
  <r>
    <x v="0"/>
    <x v="2"/>
    <x v="8"/>
    <m/>
    <x v="0"/>
    <n v="520201010010"/>
    <s v="Bonificaciones Voluntarias Administración                             "/>
    <n v="0"/>
    <n v="0"/>
    <n v="19800"/>
    <n v="0"/>
    <n v="0"/>
    <n v="0"/>
    <n v="0"/>
    <n v="0"/>
    <n v="0"/>
    <n v="0"/>
    <n v="0"/>
    <n v="0"/>
    <n v="19800"/>
    <n v="19800"/>
  </r>
  <r>
    <x v="0"/>
    <x v="2"/>
    <x v="8"/>
    <m/>
    <x v="0"/>
    <n v="520201010011"/>
    <s v="Jubilación Patronal Administración                                    "/>
    <n v="280.92"/>
    <n v="280.92"/>
    <n v="280.92"/>
    <n v="280.92"/>
    <n v="280.92"/>
    <n v="280.92"/>
    <n v="280.92"/>
    <n v="280.92"/>
    <n v="428.8"/>
    <n v="428.8"/>
    <n v="428.8"/>
    <n v="-2904.02"/>
    <n v="629.74000000000069"/>
    <n v="629.73999999882653"/>
  </r>
  <r>
    <x v="0"/>
    <x v="2"/>
    <x v="6"/>
    <m/>
    <x v="0"/>
    <n v="520201020002"/>
    <s v="Alimentacion Administración                                           "/>
    <n v="789.74"/>
    <n v="1349.16"/>
    <n v="634.24"/>
    <n v="1203.82"/>
    <n v="1176.79"/>
    <n v="514.5"/>
    <n v="1005.6"/>
    <n v="705.52"/>
    <n v="1065.7"/>
    <n v="641.1"/>
    <n v="636.54"/>
    <n v="1004.29"/>
    <n v="10727.000000000004"/>
    <n v="10727.000000000931"/>
  </r>
  <r>
    <x v="0"/>
    <x v="2"/>
    <x v="6"/>
    <m/>
    <x v="0"/>
    <n v="520201020003"/>
    <s v="Movilizacion/Transp de Personal Administración                        "/>
    <n v="60"/>
    <n v="60"/>
    <n v="60"/>
    <n v="83"/>
    <n v="60"/>
    <n v="60"/>
    <n v="60"/>
    <n v="60"/>
    <n v="60"/>
    <n v="60"/>
    <n v="18"/>
    <n v="60"/>
    <n v="701"/>
    <n v="701"/>
  </r>
  <r>
    <x v="0"/>
    <x v="2"/>
    <x v="6"/>
    <m/>
    <x v="0"/>
    <n v="520201020004"/>
    <s v="Gastos Médicos ventas y administración                                "/>
    <n v="7.2"/>
    <n v="-5.0999999999999996"/>
    <n v="59.11"/>
    <n v="0"/>
    <n v="266.92"/>
    <n v="0"/>
    <n v="0"/>
    <n v="0"/>
    <n v="0"/>
    <n v="0"/>
    <n v="611.4"/>
    <n v="0"/>
    <n v="939.53"/>
    <n v="939.52999999979511"/>
  </r>
  <r>
    <x v="0"/>
    <x v="2"/>
    <x v="6"/>
    <m/>
    <x v="0"/>
    <n v="520201020005"/>
    <s v="Uniformes personal ventas y administrativo                            "/>
    <n v="0"/>
    <n v="0"/>
    <n v="0"/>
    <n v="0"/>
    <n v="0"/>
    <n v="0"/>
    <n v="171.84"/>
    <n v="2880"/>
    <n v="0"/>
    <n v="918"/>
    <n v="6811.95"/>
    <n v="-266.5"/>
    <n v="10515.29"/>
    <n v="10515.290000000037"/>
  </r>
  <r>
    <x v="0"/>
    <x v="2"/>
    <x v="6"/>
    <m/>
    <x v="0"/>
    <n v="520201020006"/>
    <s v="Capacitación y Seminarios Administración                              "/>
    <n v="575"/>
    <n v="400"/>
    <n v="0"/>
    <n v="6750"/>
    <n v="115"/>
    <n v="850"/>
    <n v="225"/>
    <n v="110"/>
    <n v="1300"/>
    <n v="0"/>
    <n v="2612"/>
    <n v="6400"/>
    <n v="19337"/>
    <n v="19337"/>
  </r>
  <r>
    <x v="0"/>
    <x v="2"/>
    <x v="6"/>
    <m/>
    <x v="0"/>
    <n v="520201020007"/>
    <s v="Agasajo al Personal Administración                                    "/>
    <n v="40"/>
    <n v="0"/>
    <n v="25"/>
    <n v="59"/>
    <n v="20"/>
    <n v="0"/>
    <n v="30"/>
    <n v="871.55"/>
    <n v="51.02"/>
    <n v="23.4"/>
    <n v="450.35"/>
    <n v="2660.86"/>
    <n v="4231.18"/>
    <n v="4231.179999999702"/>
  </r>
  <r>
    <x v="0"/>
    <x v="2"/>
    <x v="6"/>
    <m/>
    <x v="0"/>
    <n v="520201020008"/>
    <s v="Otros gastos de personal Administración                               "/>
    <n v="0"/>
    <n v="0"/>
    <n v="0"/>
    <n v="95"/>
    <n v="0"/>
    <n v="0"/>
    <n v="0"/>
    <n v="0"/>
    <n v="0"/>
    <n v="0"/>
    <n v="0"/>
    <n v="0"/>
    <n v="95"/>
    <n v="95"/>
  </r>
  <r>
    <x v="0"/>
    <x v="2"/>
    <x v="9"/>
    <m/>
    <x v="0"/>
    <n v="520202010001"/>
    <s v="Honorarios Profesionales                                              "/>
    <n v="15280.8"/>
    <n v="11398.23"/>
    <n v="8500"/>
    <n v="11416"/>
    <n v="10486"/>
    <n v="10910.44"/>
    <n v="9083.39"/>
    <n v="11226.21"/>
    <n v="9126"/>
    <n v="11350"/>
    <n v="11681.08"/>
    <n v="37982"/>
    <n v="158440.15000000002"/>
    <n v="158440.14999999991"/>
  </r>
  <r>
    <x v="0"/>
    <x v="2"/>
    <x v="9"/>
    <m/>
    <x v="0"/>
    <n v="520202010002"/>
    <s v="Servicios de Contabilidad - Asesorias                                 "/>
    <n v="0"/>
    <n v="0"/>
    <n v="0"/>
    <n v="0"/>
    <n v="0"/>
    <n v="0"/>
    <n v="0"/>
    <n v="0"/>
    <n v="2066.33"/>
    <n v="0"/>
    <n v="0"/>
    <n v="0"/>
    <n v="2066.33"/>
    <n v="2066.3300000000745"/>
  </r>
  <r>
    <x v="0"/>
    <x v="2"/>
    <x v="9"/>
    <m/>
    <x v="0"/>
    <n v="520202010005"/>
    <s v="Auditorías                                                            "/>
    <n v="0"/>
    <n v="0"/>
    <n v="0"/>
    <n v="0"/>
    <n v="2095"/>
    <n v="892"/>
    <n v="85"/>
    <n v="0"/>
    <n v="0"/>
    <n v="0"/>
    <n v="0"/>
    <n v="0"/>
    <n v="3072"/>
    <n v="3072"/>
  </r>
  <r>
    <x v="0"/>
    <x v="2"/>
    <x v="10"/>
    <m/>
    <x v="0"/>
    <n v="520203010001"/>
    <s v="Mantenimiento de Edificios y oficinas Administración                  "/>
    <n v="2826.43"/>
    <n v="1313.6"/>
    <n v="2914.54"/>
    <n v="8198.8799999999992"/>
    <n v="1809.15"/>
    <n v="8055.22"/>
    <n v="1361.37"/>
    <n v="3103.4"/>
    <n v="1323.62"/>
    <n v="1004.38"/>
    <n v="55667.02"/>
    <n v="66225.850000000006"/>
    <n v="153803.46000000002"/>
    <n v="153803.46000000043"/>
  </r>
  <r>
    <x v="0"/>
    <x v="2"/>
    <x v="10"/>
    <m/>
    <x v="0"/>
    <n v="520203010002"/>
    <s v="Mantenimiento Instalaciones                                           "/>
    <n v="65"/>
    <n v="58.5"/>
    <n v="0"/>
    <n v="79"/>
    <n v="1536.86"/>
    <n v="85"/>
    <n v="26.5"/>
    <n v="11665.23"/>
    <n v="826.17"/>
    <n v="526.97"/>
    <n v="791.3"/>
    <n v="314.98"/>
    <n v="15975.509999999998"/>
    <n v="15975.509999999776"/>
  </r>
  <r>
    <x v="0"/>
    <x v="2"/>
    <x v="10"/>
    <m/>
    <x v="0"/>
    <n v="520203010003"/>
    <s v="Mant. Vehiculos Administracion                                        "/>
    <n v="485.51"/>
    <n v="3448.14"/>
    <n v="760.68"/>
    <n v="7597.37"/>
    <n v="438.27"/>
    <n v="520.72"/>
    <n v="1485.84"/>
    <n v="4650.16"/>
    <n v="1399.67"/>
    <n v="1388.42"/>
    <n v="1078.95"/>
    <n v="95.48"/>
    <n v="23349.21"/>
    <n v="23349.210000000428"/>
  </r>
  <r>
    <x v="0"/>
    <x v="2"/>
    <x v="10"/>
    <m/>
    <x v="0"/>
    <n v="520203010004"/>
    <s v="Mantenimiento Muebles y Equipos Administración                        "/>
    <n v="2095"/>
    <n v="2280.1799999999998"/>
    <n v="997"/>
    <n v="2288"/>
    <n v="2298"/>
    <n v="1285"/>
    <n v="7122.34"/>
    <n v="4415.5600000000004"/>
    <n v="3419.45"/>
    <n v="195"/>
    <n v="670"/>
    <n v="670.82"/>
    <n v="27736.350000000002"/>
    <n v="27736.350000000093"/>
  </r>
  <r>
    <x v="0"/>
    <x v="2"/>
    <x v="10"/>
    <m/>
    <x v="0"/>
    <n v="520203010005"/>
    <s v="Combustibles Administración                                           "/>
    <n v="805.34"/>
    <n v="307.08"/>
    <n v="913.45"/>
    <n v="389.22"/>
    <n v="1020.62"/>
    <n v="281.66000000000003"/>
    <n v="777.57"/>
    <n v="553.35"/>
    <n v="670.57"/>
    <n v="857.65"/>
    <n v="758.79"/>
    <n v="721.05"/>
    <n v="8056.3499999999995"/>
    <n v="8056.3500000000931"/>
  </r>
  <r>
    <x v="0"/>
    <x v="2"/>
    <x v="10"/>
    <m/>
    <x v="0"/>
    <n v="520203010007"/>
    <s v="Matricula e impuestos  vehicular  Adm                                 "/>
    <n v="0"/>
    <n v="0"/>
    <n v="0"/>
    <n v="0"/>
    <n v="1800.75"/>
    <n v="430.66"/>
    <n v="0"/>
    <n v="7.5"/>
    <n v="46.57"/>
    <n v="30"/>
    <n v="533.82000000000005"/>
    <n v="80.33"/>
    <n v="2929.63"/>
    <n v="2929.6299999998882"/>
  </r>
  <r>
    <x v="0"/>
    <x v="2"/>
    <x v="11"/>
    <m/>
    <x v="0"/>
    <n v="520204010001"/>
    <s v="Seguro Responsabilidad Civil                                          "/>
    <n v="19.54"/>
    <n v="19.54"/>
    <n v="19.54"/>
    <n v="15.96"/>
    <n v="0"/>
    <n v="0"/>
    <n v="0"/>
    <n v="0"/>
    <n v="0"/>
    <n v="10.85"/>
    <n v="17.14"/>
    <n v="17.14"/>
    <n v="119.71"/>
    <n v="119.71000000042841"/>
  </r>
  <r>
    <x v="0"/>
    <x v="2"/>
    <x v="11"/>
    <m/>
    <x v="0"/>
    <n v="520204010002"/>
    <s v="Seguro de Vehiculos                                                   "/>
    <n v="491.07"/>
    <n v="491.07"/>
    <n v="491.07"/>
    <n v="491.07"/>
    <n v="491.07"/>
    <n v="491.07"/>
    <n v="1176.8"/>
    <n v="126.73"/>
    <n v="0"/>
    <n v="465.08"/>
    <n v="326.81"/>
    <n v="447.94"/>
    <n v="5489.78"/>
    <n v="5489.7799999988638"/>
  </r>
  <r>
    <x v="0"/>
    <x v="2"/>
    <x v="11"/>
    <m/>
    <x v="0"/>
    <n v="520204010003"/>
    <s v="Seguro de Contra Incendios                                            "/>
    <n v="135.55000000000001"/>
    <n v="135.55000000000001"/>
    <n v="135.55000000000001"/>
    <n v="55.33"/>
    <n v="0"/>
    <n v="0"/>
    <n v="0"/>
    <n v="0"/>
    <n v="0"/>
    <n v="306.26"/>
    <n v="120.89"/>
    <n v="120.89"/>
    <n v="1010.02"/>
    <n v="1010.019999999553"/>
  </r>
  <r>
    <x v="0"/>
    <x v="2"/>
    <x v="11"/>
    <m/>
    <x v="0"/>
    <n v="520204010004"/>
    <s v="Seguro Contra Asalto y Robos                                          "/>
    <n v="19.54"/>
    <n v="19.54"/>
    <n v="19.54"/>
    <n v="0"/>
    <n v="0"/>
    <n v="0"/>
    <n v="0"/>
    <n v="0"/>
    <n v="0"/>
    <n v="10.64"/>
    <n v="16.8"/>
    <n v="16.8"/>
    <n v="102.85999999999999"/>
    <n v="102.85999999986961"/>
  </r>
  <r>
    <x v="0"/>
    <x v="2"/>
    <x v="11"/>
    <m/>
    <x v="0"/>
    <n v="520204010007"/>
    <s v="Otros seguros                                                         "/>
    <n v="0"/>
    <n v="325.77"/>
    <n v="3095.85"/>
    <n v="0"/>
    <n v="115"/>
    <n v="17.77"/>
    <n v="0"/>
    <n v="0"/>
    <n v="0"/>
    <n v="190.48"/>
    <n v="0"/>
    <n v="0"/>
    <n v="3744.87"/>
    <n v="3744.8700000001118"/>
  </r>
  <r>
    <x v="0"/>
    <x v="2"/>
    <x v="12"/>
    <m/>
    <x v="0"/>
    <n v="520205010001"/>
    <s v="Gastos de Viaje Administración                                        "/>
    <n v="282.79000000000002"/>
    <n v="114.15"/>
    <n v="3974"/>
    <n v="3688.33"/>
    <n v="1852.31"/>
    <n v="72.8"/>
    <n v="0"/>
    <n v="910"/>
    <n v="396.48"/>
    <n v="1954.82"/>
    <n v="2613"/>
    <n v="0"/>
    <n v="15858.679999999998"/>
    <n v="15858.679999999702"/>
  </r>
  <r>
    <x v="0"/>
    <x v="2"/>
    <x v="12"/>
    <m/>
    <x v="0"/>
    <n v="520205010002"/>
    <s v="Gastos de Gestión                                                     "/>
    <n v="0"/>
    <n v="0"/>
    <n v="0"/>
    <n v="0"/>
    <n v="0"/>
    <n v="0"/>
    <n v="0"/>
    <n v="0"/>
    <n v="0"/>
    <n v="0"/>
    <n v="0"/>
    <n v="8495.84"/>
    <n v="8495.84"/>
    <n v="8495.839999999851"/>
  </r>
  <r>
    <x v="0"/>
    <x v="2"/>
    <x v="12"/>
    <m/>
    <x v="0"/>
    <n v="520205010003"/>
    <s v="Telefonía Celular                                                     "/>
    <n v="13.6"/>
    <n v="6"/>
    <n v="15"/>
    <n v="14.09"/>
    <n v="3"/>
    <n v="11"/>
    <n v="0"/>
    <n v="833.61"/>
    <n v="1105.06"/>
    <n v="903.04"/>
    <n v="2075.4899999999998"/>
    <n v="1015.7"/>
    <n v="5995.5899999999992"/>
    <n v="5995.5900000003166"/>
  </r>
  <r>
    <x v="0"/>
    <x v="2"/>
    <x v="12"/>
    <m/>
    <x v="0"/>
    <n v="520205010004"/>
    <s v="Correo y Courrier                                                     "/>
    <n v="275.11"/>
    <n v="556.37"/>
    <n v="217.11"/>
    <n v="981.56"/>
    <n v="327.43"/>
    <n v="293.57"/>
    <n v="314.23"/>
    <n v="747.36"/>
    <n v="489.42"/>
    <n v="86.78"/>
    <n v="16.98"/>
    <n v="217.42"/>
    <n v="4523.3399999999992"/>
    <n v="4523.3400000007823"/>
  </r>
  <r>
    <x v="0"/>
    <x v="2"/>
    <x v="12"/>
    <m/>
    <x v="0"/>
    <n v="520205010005"/>
    <s v="Suministros de Oficina y Computación                                  "/>
    <n v="1141.42"/>
    <n v="1588.67"/>
    <n v="1048.97"/>
    <n v="938.75"/>
    <n v="2573.31"/>
    <n v="1797.05"/>
    <n v="2397.52"/>
    <n v="551.64"/>
    <n v="1802.52"/>
    <n v="751.46"/>
    <n v="456.8"/>
    <n v="1355.48"/>
    <n v="16403.59"/>
    <n v="16403.589999997988"/>
  </r>
  <r>
    <x v="0"/>
    <x v="2"/>
    <x v="12"/>
    <m/>
    <x v="0"/>
    <n v="520205010006"/>
    <s v="Energía Eléctrica Administración                                      "/>
    <n v="1175.51"/>
    <n v="1536.7"/>
    <n v="1488.61"/>
    <n v="1553.37"/>
    <n v="1614.56"/>
    <n v="1718.88"/>
    <n v="1498.49"/>
    <n v="5485.14"/>
    <n v="0"/>
    <n v="3350.85"/>
    <n v="1507.23"/>
    <n v="1426.67"/>
    <n v="22356.010000000002"/>
    <n v="22356.009999999776"/>
  </r>
  <r>
    <x v="0"/>
    <x v="2"/>
    <x v="12"/>
    <m/>
    <x v="0"/>
    <n v="520205010007"/>
    <s v="Agua Administración                                                   "/>
    <n v="70.16"/>
    <n v="76.349999999999994"/>
    <n v="2.96"/>
    <n v="1.05"/>
    <n v="237.27"/>
    <n v="1.81"/>
    <n v="107.15"/>
    <n v="0"/>
    <n v="2.09"/>
    <n v="28.05"/>
    <n v="34.44"/>
    <n v="34.18"/>
    <n v="595.50999999999988"/>
    <n v="595.50999999884516"/>
  </r>
  <r>
    <x v="0"/>
    <x v="2"/>
    <x v="12"/>
    <m/>
    <x v="0"/>
    <n v="520205010008"/>
    <s v="Telefonía Convencional                                                "/>
    <n v="351.94"/>
    <n v="402.06"/>
    <n v="357.99"/>
    <n v="370.29"/>
    <n v="396.31"/>
    <n v="494.82"/>
    <n v="477.5"/>
    <n v="486.27"/>
    <n v="460.12"/>
    <n v="390.48"/>
    <n v="408.03"/>
    <n v="390.43"/>
    <n v="4986.24"/>
    <n v="4986.2400000002235"/>
  </r>
  <r>
    <x v="0"/>
    <x v="2"/>
    <x v="12"/>
    <m/>
    <x v="0"/>
    <n v="520205010009"/>
    <s v="Internet                                                              "/>
    <n v="520"/>
    <n v="520"/>
    <n v="520"/>
    <n v="961.76"/>
    <n v="911.65"/>
    <n v="740"/>
    <n v="740"/>
    <n v="740"/>
    <n v="905"/>
    <n v="744.5"/>
    <n v="740"/>
    <n v="740"/>
    <n v="8782.91"/>
    <n v="8782.910000000149"/>
  </r>
  <r>
    <x v="0"/>
    <x v="2"/>
    <x v="12"/>
    <m/>
    <x v="0"/>
    <n v="520205010010"/>
    <s v="Utiles de Limpieza/Cafeteria                                          "/>
    <n v="379.21"/>
    <n v="422.54"/>
    <n v="365.41"/>
    <n v="463.84"/>
    <n v="516.82000000000005"/>
    <n v="376.47"/>
    <n v="572.08000000000004"/>
    <n v="519.33000000000004"/>
    <n v="257.29000000000002"/>
    <n v="405.25"/>
    <n v="571.89"/>
    <n v="222.11"/>
    <n v="5072.24"/>
    <n v="5072.2400000002235"/>
  </r>
  <r>
    <x v="0"/>
    <x v="2"/>
    <x v="12"/>
    <m/>
    <x v="0"/>
    <n v="520205010011"/>
    <s v="Gastos Menores de activos Administración                              "/>
    <n v="0"/>
    <n v="0"/>
    <n v="0"/>
    <n v="0"/>
    <n v="106.49"/>
    <n v="649.63"/>
    <n v="0"/>
    <n v="350"/>
    <n v="0"/>
    <n v="0"/>
    <n v="403.44"/>
    <n v="0"/>
    <n v="1509.56"/>
    <n v="1509.5600000005215"/>
  </r>
  <r>
    <x v="0"/>
    <x v="2"/>
    <x v="12"/>
    <m/>
    <x v="0"/>
    <n v="520205010012"/>
    <s v="Donaciones                                                            "/>
    <n v="0"/>
    <n v="200"/>
    <n v="0"/>
    <n v="2441.62"/>
    <n v="214.28"/>
    <n v="0"/>
    <n v="0"/>
    <n v="100"/>
    <n v="300"/>
    <n v="100"/>
    <n v="150"/>
    <n v="620"/>
    <n v="4125.8999999999996"/>
    <n v="4125.9000000003725"/>
  </r>
  <r>
    <x v="0"/>
    <x v="2"/>
    <x v="12"/>
    <m/>
    <x v="0"/>
    <n v="520205010013"/>
    <s v="Cuotas y Suscripciones                                                "/>
    <n v="200"/>
    <n v="50"/>
    <n v="746"/>
    <n v="552"/>
    <n v="427"/>
    <n v="392"/>
    <n v="392"/>
    <n v="392"/>
    <n v="518"/>
    <n v="472"/>
    <n v="583.55999999999995"/>
    <n v="442"/>
    <n v="5166.5599999999995"/>
    <n v="5166.5599999995902"/>
  </r>
  <r>
    <x v="0"/>
    <x v="2"/>
    <x v="12"/>
    <m/>
    <x v="0"/>
    <n v="520205010014"/>
    <s v="IVA no aplicado (gasto)                                               "/>
    <n v="6659.45"/>
    <n v="8697.81"/>
    <n v="7225.53"/>
    <n v="9557.11"/>
    <n v="7846.68"/>
    <n v="7382.49"/>
    <n v="14084.42"/>
    <n v="12593.99"/>
    <n v="9617.25"/>
    <n v="6992.42"/>
    <n v="13721.1"/>
    <n v="19678.599999999999"/>
    <n v="124056.85"/>
    <n v="124056.84999999963"/>
  </r>
  <r>
    <x v="0"/>
    <x v="2"/>
    <x v="12"/>
    <m/>
    <x v="0"/>
    <n v="520205010015"/>
    <s v="Suministros, materiales y repuestos Administración                    "/>
    <n v="1961.46"/>
    <n v="1178.32"/>
    <n v="194.78"/>
    <n v="187.89"/>
    <n v="25.2"/>
    <n v="757.47"/>
    <n v="1064.45"/>
    <n v="1578.22"/>
    <n v="36.49"/>
    <n v="754.97"/>
    <n v="446.4"/>
    <n v="730.74"/>
    <n v="8916.39"/>
    <n v="8916.390000000596"/>
  </r>
  <r>
    <x v="0"/>
    <x v="2"/>
    <x v="12"/>
    <m/>
    <x v="0"/>
    <n v="520205010016"/>
    <s v="Arriendo                                                              "/>
    <n v="0"/>
    <n v="10000"/>
    <n v="10000"/>
    <n v="10000"/>
    <n v="10000"/>
    <n v="10000"/>
    <n v="10000"/>
    <n v="10000"/>
    <n v="10000"/>
    <n v="10000"/>
    <n v="10000"/>
    <n v="10000"/>
    <n v="110000"/>
    <n v="110000"/>
  </r>
  <r>
    <x v="0"/>
    <x v="2"/>
    <x v="12"/>
    <m/>
    <x v="0"/>
    <n v="520205010018"/>
    <s v="Multas e Intereses                                                    "/>
    <n v="0"/>
    <n v="146"/>
    <n v="183"/>
    <n v="8.9700000000000006"/>
    <n v="69.92"/>
    <n v="20.13"/>
    <n v="582.02"/>
    <n v="124.82"/>
    <n v="23.65"/>
    <n v="0"/>
    <n v="42.93"/>
    <n v="0.46"/>
    <n v="1201.9000000000001"/>
    <n v="1201.8999999994412"/>
  </r>
  <r>
    <x v="0"/>
    <x v="2"/>
    <x v="12"/>
    <m/>
    <x v="0"/>
    <n v="520205010019"/>
    <s v="Otros costos de importación y producción                              "/>
    <n v="0"/>
    <n v="0"/>
    <n v="180"/>
    <n v="280"/>
    <n v="-6"/>
    <n v="0"/>
    <n v="0"/>
    <n v="-580"/>
    <n v="124.45"/>
    <n v="0"/>
    <n v="1.55"/>
    <n v="0"/>
    <n v="2.886579864025407E-15"/>
    <n v="0"/>
  </r>
  <r>
    <x v="0"/>
    <x v="2"/>
    <x v="12"/>
    <m/>
    <x v="0"/>
    <n v="520205010020"/>
    <s v="Ajustes de centavos                                                   "/>
    <n v="1.79"/>
    <n v="-0.91"/>
    <n v="-0.06"/>
    <n v="3.69"/>
    <n v="-40.82"/>
    <n v="-1.64"/>
    <n v="-0.24"/>
    <n v="-0.04"/>
    <n v="-0.96"/>
    <n v="-1.66"/>
    <n v="-1.25"/>
    <n v="43.03"/>
    <n v="0.92999999999999972"/>
    <n v="0.93000000063329935"/>
  </r>
  <r>
    <x v="0"/>
    <x v="2"/>
    <x v="12"/>
    <m/>
    <x v="0"/>
    <n v="520205010021"/>
    <s v="Gastos Legales                                                        "/>
    <n v="0.88"/>
    <n v="0.88"/>
    <n v="6381.18"/>
    <n v="27.56"/>
    <n v="0"/>
    <n v="247.16"/>
    <n v="10360.92"/>
    <n v="1045.8"/>
    <n v="3598.3"/>
    <n v="248.24"/>
    <n v="33"/>
    <n v="6486.78"/>
    <n v="28430.7"/>
    <n v="28430.699999999255"/>
  </r>
  <r>
    <x v="0"/>
    <x v="2"/>
    <x v="12"/>
    <m/>
    <x v="0"/>
    <n v="520205010022"/>
    <s v="Seguridad                                                             "/>
    <n v="2750"/>
    <n v="2750"/>
    <n v="2750"/>
    <n v="2750"/>
    <n v="2750"/>
    <n v="2750"/>
    <n v="2750"/>
    <n v="2800"/>
    <n v="2750"/>
    <n v="2750"/>
    <n v="2750"/>
    <n v="2750"/>
    <n v="33050"/>
    <n v="33050"/>
  </r>
  <r>
    <x v="0"/>
    <x v="2"/>
    <x v="12"/>
    <m/>
    <x v="0"/>
    <n v="520205010023"/>
    <s v="Gastos no Deducibles                                                  "/>
    <n v="780.84"/>
    <n v="299"/>
    <n v="163.25"/>
    <n v="498.7"/>
    <n v="331.5"/>
    <n v="288.74"/>
    <n v="5"/>
    <n v="235.25"/>
    <n v="374.81"/>
    <n v="406.53"/>
    <n v="1552.42"/>
    <n v="13386.33"/>
    <n v="18322.37"/>
    <n v="18322.370000000112"/>
  </r>
  <r>
    <x v="0"/>
    <x v="2"/>
    <x v="12"/>
    <m/>
    <x v="0"/>
    <n v="520205010024"/>
    <s v="Gastos de licencias -software y mant ERP                              "/>
    <n v="900"/>
    <n v="972.43"/>
    <n v="900"/>
    <n v="900"/>
    <n v="1049.49"/>
    <n v="1310.52"/>
    <n v="-856.35"/>
    <n v="355.26"/>
    <n v="1736.34"/>
    <n v="355.26"/>
    <n v="355.26"/>
    <n v="2352.1"/>
    <n v="10330.310000000001"/>
    <n v="10330.309999998659"/>
  </r>
  <r>
    <x v="0"/>
    <x v="2"/>
    <x v="12"/>
    <m/>
    <x v="0"/>
    <n v="520205010025"/>
    <s v="Gastos departamento Colón                                             "/>
    <n v="1217.54"/>
    <n v="901.78"/>
    <n v="774.35"/>
    <n v="957.41"/>
    <n v="910.84"/>
    <n v="1971.07"/>
    <n v="736.54"/>
    <n v="0"/>
    <n v="0"/>
    <n v="0"/>
    <n v="0"/>
    <n v="0"/>
    <n v="7469.5299999999988"/>
    <n v="7469.5300000002608"/>
  </r>
  <r>
    <x v="0"/>
    <x v="2"/>
    <x v="12"/>
    <m/>
    <x v="0"/>
    <n v="520205010027"/>
    <s v="Promocion y Publicidad Administracion                                 "/>
    <n v="0"/>
    <n v="176"/>
    <n v="178"/>
    <n v="0"/>
    <n v="300"/>
    <n v="0"/>
    <n v="0"/>
    <n v="0"/>
    <n v="1899.3"/>
    <n v="250"/>
    <n v="0"/>
    <n v="0"/>
    <n v="2803.3"/>
    <n v="2803.2999999998137"/>
  </r>
  <r>
    <x v="0"/>
    <x v="2"/>
    <x v="12"/>
    <m/>
    <x v="0"/>
    <n v="520205010028"/>
    <s v="Provision Ctas incobrables                                            "/>
    <n v="0"/>
    <n v="0"/>
    <n v="0"/>
    <n v="0"/>
    <n v="0"/>
    <n v="0"/>
    <n v="0"/>
    <n v="0"/>
    <n v="0"/>
    <n v="0"/>
    <n v="0"/>
    <n v="16423.41"/>
    <n v="16423.41"/>
    <n v="16423.410000000149"/>
  </r>
  <r>
    <x v="0"/>
    <x v="2"/>
    <x v="12"/>
    <m/>
    <x v="0"/>
    <n v="520205010029"/>
    <s v="Gastos de viaticos administración                                     "/>
    <n v="84.64"/>
    <n v="101.29"/>
    <n v="0"/>
    <n v="297.83999999999997"/>
    <n v="2582"/>
    <n v="2043.85"/>
    <n v="0"/>
    <n v="0"/>
    <n v="0"/>
    <n v="0"/>
    <n v="0"/>
    <n v="0"/>
    <n v="5109.62"/>
    <n v="5109.6199999991804"/>
  </r>
  <r>
    <x v="0"/>
    <x v="2"/>
    <x v="12"/>
    <m/>
    <x v="0"/>
    <n v="520205010030"/>
    <s v="Gasto Movilizacion Administración                                     "/>
    <n v="44.15"/>
    <n v="110.85"/>
    <n v="411"/>
    <n v="428.25"/>
    <n v="168"/>
    <n v="173.62"/>
    <n v="36"/>
    <n v="69.2"/>
    <n v="143.51"/>
    <n v="52"/>
    <n v="40.9"/>
    <n v="57"/>
    <n v="1734.48"/>
    <n v="1734.480000000447"/>
  </r>
  <r>
    <x v="0"/>
    <x v="2"/>
    <x v="12"/>
    <m/>
    <x v="0"/>
    <n v="520205010031"/>
    <s v="Retenciones Asumidas                                                  "/>
    <n v="0"/>
    <n v="0"/>
    <n v="0"/>
    <n v="0"/>
    <n v="0"/>
    <n v="0"/>
    <n v="0"/>
    <n v="0"/>
    <n v="0"/>
    <n v="1.49"/>
    <n v="0"/>
    <n v="0"/>
    <n v="1.49"/>
    <n v="1.4900000002235174"/>
  </r>
  <r>
    <x v="0"/>
    <x v="2"/>
    <x v="12"/>
    <m/>
    <x v="0"/>
    <n v="520205010032"/>
    <s v="Alquiler maquinarias y otros adm                                      "/>
    <n v="0"/>
    <n v="0"/>
    <n v="0"/>
    <n v="180"/>
    <n v="0"/>
    <n v="0"/>
    <n v="0"/>
    <n v="0"/>
    <n v="0"/>
    <n v="0"/>
    <n v="0"/>
    <n v="0"/>
    <n v="180"/>
    <n v="180"/>
  </r>
  <r>
    <x v="0"/>
    <x v="2"/>
    <x v="12"/>
    <m/>
    <x v="0"/>
    <n v="520205010033"/>
    <s v="Contribucion solidaria sobre utilidades                               "/>
    <n v="0"/>
    <n v="0"/>
    <n v="0"/>
    <n v="0"/>
    <n v="0"/>
    <n v="9097.61"/>
    <n v="9097.61"/>
    <n v="9097.61"/>
    <n v="0"/>
    <n v="0"/>
    <n v="0"/>
    <n v="0"/>
    <n v="27292.83"/>
    <n v="27292.830000001006"/>
  </r>
  <r>
    <x v="0"/>
    <x v="2"/>
    <x v="12"/>
    <m/>
    <x v="0"/>
    <n v="520205010034"/>
    <s v="Seguro buen uso de anticipo                                           "/>
    <n v="0"/>
    <n v="0"/>
    <n v="0"/>
    <n v="0"/>
    <n v="0"/>
    <n v="0"/>
    <n v="0"/>
    <n v="0"/>
    <n v="0"/>
    <n v="0"/>
    <n v="141.41"/>
    <n v="0"/>
    <n v="141.41"/>
    <n v="141.41000000014901"/>
  </r>
  <r>
    <x v="0"/>
    <x v="2"/>
    <x v="12"/>
    <m/>
    <x v="0"/>
    <n v="520205010035"/>
    <s v="Sistema de circuito cerrado                                           "/>
    <n v="0"/>
    <n v="0"/>
    <n v="0"/>
    <n v="0"/>
    <n v="0"/>
    <n v="0"/>
    <n v="0"/>
    <n v="0"/>
    <n v="91.67"/>
    <n v="91.67"/>
    <n v="91.67"/>
    <n v="91.67"/>
    <n v="366.68"/>
    <n v="366.67999999970198"/>
  </r>
  <r>
    <x v="0"/>
    <x v="2"/>
    <x v="12"/>
    <m/>
    <x v="0"/>
    <n v="520205010036"/>
    <s v="Otros pagos bienes y servicios administración                         "/>
    <n v="0"/>
    <n v="0"/>
    <n v="0"/>
    <n v="0"/>
    <n v="0"/>
    <n v="0"/>
    <n v="0"/>
    <n v="0"/>
    <n v="0"/>
    <n v="0"/>
    <n v="2100"/>
    <n v="0"/>
    <n v="2100"/>
    <n v="2100"/>
  </r>
  <r>
    <x v="0"/>
    <x v="2"/>
    <x v="13"/>
    <m/>
    <x v="0"/>
    <n v="520206010001"/>
    <s v="Impuestos  municipales                                                "/>
    <n v="0"/>
    <n v="0"/>
    <n v="0"/>
    <n v="1829.4"/>
    <n v="4.05"/>
    <n v="0"/>
    <n v="37926.06"/>
    <n v="0"/>
    <n v="0"/>
    <n v="1829.4"/>
    <n v="0"/>
    <n v="0"/>
    <n v="41588.909999999996"/>
    <n v="41588.910000000149"/>
  </r>
  <r>
    <x v="0"/>
    <x v="2"/>
    <x v="13"/>
    <m/>
    <x v="0"/>
    <n v="520206010002"/>
    <s v="Impuesto Cuerpo de Bomberos                                           "/>
    <n v="0"/>
    <n v="0"/>
    <n v="0"/>
    <n v="0"/>
    <n v="379"/>
    <n v="0"/>
    <n v="0"/>
    <n v="0"/>
    <n v="0"/>
    <n v="0"/>
    <n v="0"/>
    <n v="0"/>
    <n v="379"/>
    <n v="379"/>
  </r>
  <r>
    <x v="0"/>
    <x v="2"/>
    <x v="13"/>
    <m/>
    <x v="0"/>
    <n v="520206010003"/>
    <s v="Impuesto 2x1.000 Universidad                                          "/>
    <n v="0"/>
    <n v="0"/>
    <n v="0"/>
    <n v="815.13"/>
    <n v="1640"/>
    <n v="0"/>
    <n v="0"/>
    <n v="0"/>
    <n v="0"/>
    <n v="0"/>
    <n v="0"/>
    <n v="0"/>
    <n v="2455.13"/>
    <n v="2455.1299999998882"/>
  </r>
  <r>
    <x v="0"/>
    <x v="2"/>
    <x v="13"/>
    <m/>
    <x v="0"/>
    <n v="520206010004"/>
    <s v="Contribuciones  Super de Compania                                     "/>
    <n v="0"/>
    <n v="0"/>
    <n v="0"/>
    <n v="0"/>
    <n v="0"/>
    <n v="0"/>
    <n v="0"/>
    <n v="0"/>
    <n v="9487.26"/>
    <n v="0"/>
    <n v="0"/>
    <n v="0"/>
    <n v="9487.26"/>
    <n v="9487.2599999997765"/>
  </r>
  <r>
    <x v="0"/>
    <x v="2"/>
    <x v="13"/>
    <m/>
    <x v="0"/>
    <n v="520206010005"/>
    <s v="Contribucion Junta Beneficencia Gye                                   "/>
    <n v="0"/>
    <n v="0"/>
    <n v="0"/>
    <n v="0"/>
    <n v="0"/>
    <n v="0"/>
    <n v="0"/>
    <n v="0"/>
    <n v="0"/>
    <n v="20.11"/>
    <n v="0"/>
    <n v="0"/>
    <n v="20.11"/>
    <n v="20.110000000335276"/>
  </r>
  <r>
    <x v="0"/>
    <x v="2"/>
    <x v="13"/>
    <m/>
    <x v="0"/>
    <n v="520206010006"/>
    <s v="Impuesto salida de divisa                                             "/>
    <n v="0"/>
    <n v="0"/>
    <n v="0"/>
    <n v="12.32"/>
    <n v="0"/>
    <n v="1190.08"/>
    <n v="0"/>
    <n v="0"/>
    <n v="0"/>
    <n v="0"/>
    <n v="61.11"/>
    <n v="5.52"/>
    <n v="1269.0299999999997"/>
    <n v="1269.0300000002608"/>
  </r>
  <r>
    <x v="0"/>
    <x v="2"/>
    <x v="13"/>
    <m/>
    <x v="0"/>
    <n v="520206010007"/>
    <s v="Otros Impuestos                                                       "/>
    <n v="0"/>
    <n v="0"/>
    <n v="0"/>
    <n v="200"/>
    <n v="0"/>
    <n v="0"/>
    <n v="0"/>
    <n v="0"/>
    <n v="0"/>
    <n v="0"/>
    <n v="0"/>
    <n v="0.39"/>
    <n v="200.39"/>
    <n v="200.38999999966472"/>
  </r>
  <r>
    <x v="0"/>
    <x v="2"/>
    <x v="14"/>
    <m/>
    <x v="0"/>
    <n v="520207010001"/>
    <s v="Gastos de Depreciación de Edificios                                   "/>
    <n v="549.11"/>
    <n v="1490.49"/>
    <n v="1490.49"/>
    <n v="1490.49"/>
    <n v="1490.49"/>
    <n v="1490.49"/>
    <n v="0"/>
    <n v="0"/>
    <n v="0"/>
    <n v="0"/>
    <n v="0"/>
    <n v="198.73"/>
    <n v="8200.2899999999991"/>
    <n v="8200.2900000018999"/>
  </r>
  <r>
    <x v="0"/>
    <x v="2"/>
    <x v="14"/>
    <m/>
    <x v="0"/>
    <n v="520207010003"/>
    <s v="Gastos de Depreciaciones de Muebles y Enseres                         "/>
    <n v="-1109.1400000000001"/>
    <n v="461.07"/>
    <n v="465.01"/>
    <n v="463.21"/>
    <n v="463.21"/>
    <n v="463.74"/>
    <n v="468.52"/>
    <n v="468.52"/>
    <n v="472.03"/>
    <n v="478.09"/>
    <n v="483.13"/>
    <n v="624.33000000000004"/>
    <n v="4201.72"/>
    <n v="4201.7199999997392"/>
  </r>
  <r>
    <x v="0"/>
    <x v="2"/>
    <x v="14"/>
    <m/>
    <x v="0"/>
    <n v="520207010004"/>
    <s v="Gastos de Depreciación de Equipos de computacion                      "/>
    <n v="-125.08"/>
    <n v="165.67"/>
    <n v="177.22"/>
    <n v="180.64"/>
    <n v="175.18"/>
    <n v="178.95"/>
    <n v="183.79"/>
    <n v="195.83"/>
    <n v="216.26"/>
    <n v="223.12"/>
    <n v="225.43"/>
    <n v="104.05"/>
    <n v="1901.06"/>
    <n v="1901.0599999986589"/>
  </r>
  <r>
    <x v="0"/>
    <x v="2"/>
    <x v="14"/>
    <m/>
    <x v="0"/>
    <n v="520207010005"/>
    <s v="Gastos de Depreciación de Vehiculos                                   "/>
    <n v="1318.26"/>
    <n v="1318.26"/>
    <n v="1318.26"/>
    <n v="1318.26"/>
    <n v="1318.26"/>
    <n v="1318.26"/>
    <n v="1318.26"/>
    <n v="1318.26"/>
    <n v="1318.26"/>
    <n v="1318.26"/>
    <n v="1318.26"/>
    <n v="1318.26"/>
    <n v="15819.12"/>
    <n v="15819.119999997318"/>
  </r>
  <r>
    <x v="0"/>
    <x v="2"/>
    <x v="14"/>
    <m/>
    <x v="0"/>
    <n v="520207010006"/>
    <s v="Gastos de Depreciación de Otras propiedades, plantas y Equipos        "/>
    <n v="0"/>
    <n v="0"/>
    <n v="0"/>
    <n v="0"/>
    <n v="0"/>
    <n v="0"/>
    <n v="92.79"/>
    <n v="92.79"/>
    <n v="92.79"/>
    <n v="92.79"/>
    <n v="92.79"/>
    <n v="-463.95"/>
    <n v="0"/>
    <n v="0"/>
  </r>
  <r>
    <x v="0"/>
    <x v="3"/>
    <x v="15"/>
    <m/>
    <x v="0"/>
    <n v="520301010001"/>
    <s v="Intereses Bancarios                                                   "/>
    <n v="11632.2"/>
    <n v="8073.1"/>
    <n v="8310.89"/>
    <n v="7557.23"/>
    <n v="7656.12"/>
    <n v="6426.13"/>
    <n v="3432.07"/>
    <n v="1650.92"/>
    <n v="0"/>
    <n v="11920.38"/>
    <n v="1792.02"/>
    <n v="3.14"/>
    <n v="68454.2"/>
    <n v="68454.199999999255"/>
  </r>
  <r>
    <x v="0"/>
    <x v="3"/>
    <x v="15"/>
    <m/>
    <x v="0"/>
    <n v="520301010002"/>
    <s v="Intereses otros Proveedores                                           "/>
    <n v="684.04"/>
    <n v="0"/>
    <n v="0"/>
    <n v="0"/>
    <n v="0"/>
    <n v="0"/>
    <n v="258.74"/>
    <n v="0"/>
    <n v="0"/>
    <n v="0"/>
    <n v="0"/>
    <n v="0"/>
    <n v="942.78"/>
    <n v="942.78000000026077"/>
  </r>
  <r>
    <x v="0"/>
    <x v="3"/>
    <x v="16"/>
    <m/>
    <x v="0"/>
    <n v="520301020001"/>
    <s v="Gastos Bancarios                                                      "/>
    <n v="444.4"/>
    <n v="1422.21"/>
    <n v="1084.73"/>
    <n v="1442.86"/>
    <n v="1175.51"/>
    <n v="944.31"/>
    <n v="1710.45"/>
    <n v="1678.77"/>
    <n v="1456.29"/>
    <n v="1410.94"/>
    <n v="1340.45"/>
    <n v="1070.97"/>
    <n v="15181.890000000003"/>
    <n v="15181.890000000596"/>
  </r>
  <r>
    <x v="0"/>
    <x v="3"/>
    <x v="16"/>
    <m/>
    <x v="0"/>
    <n v="520301020006"/>
    <s v="Otras Comisiones                                                      "/>
    <n v="0.52"/>
    <n v="15.64"/>
    <n v="2.46"/>
    <n v="1.86"/>
    <n v="10.72"/>
    <n v="11.71"/>
    <n v="2.96"/>
    <n v="53.38"/>
    <n v="1.56"/>
    <n v="58.37"/>
    <n v="23.23"/>
    <n v="13.99"/>
    <n v="196.4"/>
    <n v="196.39999999944121"/>
  </r>
  <r>
    <x v="0"/>
    <x v="4"/>
    <x v="17"/>
    <m/>
    <x v="0"/>
    <n v="540101030009"/>
    <s v="Otros ingresos/egresos                                                "/>
    <n v="-2.85"/>
    <n v="0.04"/>
    <n v="0.13"/>
    <n v="0.97"/>
    <n v="7.0000000000000007E-2"/>
    <n v="1.64"/>
    <n v="0.26"/>
    <n v="0.5"/>
    <n v="0.12"/>
    <n v="0.1"/>
    <n v="206.09"/>
    <n v="-207.07"/>
    <n v="0"/>
    <n v="0"/>
  </r>
  <r>
    <x v="0"/>
    <x v="4"/>
    <x v="17"/>
    <m/>
    <x v="0"/>
    <n v="540101030010"/>
    <s v="Intereses ganados en bancos                                           "/>
    <n v="-19.18"/>
    <n v="-13.31"/>
    <n v="-16.760000000000002"/>
    <n v="-14.15"/>
    <n v="-42.41"/>
    <n v="-456.43"/>
    <n v="-68.31"/>
    <n v="-38.33"/>
    <n v="-27.82"/>
    <n v="-28.82"/>
    <n v="-30.4"/>
    <n v="-442.83"/>
    <n v="-1198.75"/>
    <n v="-1198.7500000009313"/>
  </r>
  <r>
    <x v="0"/>
    <x v="4"/>
    <x v="17"/>
    <m/>
    <x v="0"/>
    <n v="540101030011"/>
    <s v="Otros ingresos                                                        "/>
    <n v="0"/>
    <n v="0"/>
    <n v="0"/>
    <n v="-4"/>
    <n v="39.04"/>
    <n v="-10.14"/>
    <n v="0"/>
    <n v="-277.54000000000002"/>
    <n v="0"/>
    <n v="0.02"/>
    <n v="0"/>
    <n v="-0.88"/>
    <n v="-253.5"/>
    <n v="-253.5"/>
  </r>
  <r>
    <x v="0"/>
    <x v="4"/>
    <x v="17"/>
    <m/>
    <x v="0"/>
    <n v="540101030013"/>
    <s v="Ingresos por Reembolso                                                "/>
    <n v="0"/>
    <n v="-18.14"/>
    <n v="0"/>
    <n v="-549"/>
    <n v="0"/>
    <n v="0"/>
    <n v="0"/>
    <n v="0"/>
    <n v="0"/>
    <n v="0"/>
    <n v="0"/>
    <n v="0"/>
    <n v="-567.14"/>
    <n v="-567.13999999966472"/>
  </r>
  <r>
    <x v="0"/>
    <x v="4"/>
    <x v="17"/>
    <m/>
    <x v="0"/>
    <n v="540101030014"/>
    <s v="Utilidad por venta de activo fijo                                     "/>
    <n v="0"/>
    <n v="0"/>
    <n v="0"/>
    <n v="0"/>
    <n v="0"/>
    <n v="0"/>
    <n v="-65482.37"/>
    <n v="0"/>
    <n v="0"/>
    <n v="0"/>
    <n v="0"/>
    <n v="0"/>
    <n v="-65482.37"/>
    <n v="-65482.370000000112"/>
  </r>
  <r>
    <x v="0"/>
    <x v="4"/>
    <x v="18"/>
    <m/>
    <x v="0"/>
    <n v="540101040010"/>
    <s v="Costo por venta de activo fijo                                        "/>
    <n v="0"/>
    <n v="0"/>
    <n v="0"/>
    <n v="0"/>
    <n v="0"/>
    <n v="0"/>
    <n v="349517.63"/>
    <n v="0"/>
    <n v="0"/>
    <n v="-349517.63"/>
    <n v="0"/>
    <n v="0"/>
    <n v="0"/>
    <n v="0"/>
  </r>
  <r>
    <x v="0"/>
    <x v="4"/>
    <x v="18"/>
    <m/>
    <x v="0"/>
    <n v="540101040011"/>
    <s v="Otros cargos x multas                                                 "/>
    <n v="1235.6300000000001"/>
    <n v="1201.81"/>
    <n v="943.3"/>
    <n v="-627.98"/>
    <n v="-1576.97"/>
    <n v="-1175.79"/>
    <n v="2810.98"/>
    <n v="1106.93"/>
    <n v="-2000.01"/>
    <n v="150.99"/>
    <n v="1853.33"/>
    <n v="-3922.22"/>
    <n v="0"/>
    <n v="0"/>
  </r>
  <r>
    <x v="0"/>
    <x v="4"/>
    <x v="18"/>
    <m/>
    <x v="0"/>
    <n v="540101040012"/>
    <s v="Egresos por reembolso                                                 "/>
    <n v="0"/>
    <n v="18.14"/>
    <n v="0"/>
    <n v="549"/>
    <n v="0"/>
    <n v="0"/>
    <n v="0"/>
    <n v="0"/>
    <n v="0"/>
    <n v="0"/>
    <n v="0"/>
    <n v="0"/>
    <n v="567.14"/>
    <n v="567.13999999966472"/>
  </r>
  <r>
    <x v="0"/>
    <x v="4"/>
    <x v="18"/>
    <m/>
    <x v="0"/>
    <n v="540101040013"/>
    <s v="Dada de baja de invetarios                                            "/>
    <n v="0"/>
    <n v="0"/>
    <n v="0"/>
    <n v="0"/>
    <n v="0"/>
    <n v="0"/>
    <n v="0"/>
    <n v="0"/>
    <n v="0"/>
    <n v="6209.59"/>
    <n v="0"/>
    <n v="6532.5"/>
    <n v="12742.09"/>
    <n v="12742.089999999851"/>
  </r>
  <r>
    <x v="1"/>
    <x v="0"/>
    <x v="0"/>
    <m/>
    <x v="0"/>
    <n v="510201010001"/>
    <s v="Sueldos                                                               "/>
    <n v="32560.21"/>
    <n v="32771.629999999997"/>
    <n v="33804.449999999997"/>
    <n v="32355"/>
    <n v="32470.83"/>
    <n v="35260"/>
    <n v="38029.660000000003"/>
    <n v="37463.33"/>
    <n v="37281.96"/>
    <n v="36278.75"/>
    <n v="36078.75"/>
    <n v="36519.379999999997"/>
    <n v="420873.95"/>
    <n v="420873.95000000019"/>
  </r>
  <r>
    <x v="1"/>
    <x v="0"/>
    <x v="0"/>
    <m/>
    <x v="0"/>
    <n v="510201010002"/>
    <s v="Sobretiempo                                                           "/>
    <n v="9469.68"/>
    <n v="6625.6"/>
    <n v="10404.75"/>
    <n v="11106.49"/>
    <n v="13602.34"/>
    <n v="15588.54"/>
    <n v="17761.38"/>
    <n v="9034.9599999999991"/>
    <n v="10718.35"/>
    <n v="17160.5"/>
    <n v="19847.68"/>
    <n v="12143.95"/>
    <n v="153464.22"/>
    <n v="153464.21999999881"/>
  </r>
  <r>
    <x v="1"/>
    <x v="0"/>
    <x v="0"/>
    <m/>
    <x v="0"/>
    <n v="510201010003"/>
    <s v="Aporte Patronal 12.15%                                                "/>
    <n v="5152.03"/>
    <n v="4828.6400000000003"/>
    <n v="5507.59"/>
    <n v="5240.5600000000004"/>
    <n v="5642.33"/>
    <n v="6226"/>
    <n v="6827.02"/>
    <n v="5697.79"/>
    <n v="5889.15"/>
    <n v="6545.25"/>
    <n v="6846.45"/>
    <n v="5959.79"/>
    <n v="70362.599999999991"/>
    <n v="70362.599999999627"/>
  </r>
  <r>
    <x v="1"/>
    <x v="0"/>
    <x v="0"/>
    <m/>
    <x v="0"/>
    <n v="510201010005"/>
    <s v="Fondo de Reserva                                                      "/>
    <n v="2044.87"/>
    <n v="2049.94"/>
    <n v="2230.79"/>
    <n v="2274.23"/>
    <n v="2855.83"/>
    <n v="3406.56"/>
    <n v="3313.23"/>
    <n v="2826.02"/>
    <n v="3214.03"/>
    <n v="3631.98"/>
    <n v="3813.37"/>
    <n v="3265.65"/>
    <n v="34926.5"/>
    <n v="34926.500000001863"/>
  </r>
  <r>
    <x v="1"/>
    <x v="0"/>
    <x v="0"/>
    <m/>
    <x v="0"/>
    <n v="510201010006"/>
    <s v="Decimo Tercer Sueldo                                                  "/>
    <n v="3490.55"/>
    <n v="3283.25"/>
    <n v="3684.19"/>
    <n v="3621.87"/>
    <n v="3835.27"/>
    <n v="4237.46"/>
    <n v="4649.3900000000003"/>
    <n v="3891.16"/>
    <n v="4000.13"/>
    <n v="4453.32"/>
    <n v="4660.68"/>
    <n v="4055.38"/>
    <n v="47862.649999999994"/>
    <n v="47862.649999999441"/>
  </r>
  <r>
    <x v="1"/>
    <x v="0"/>
    <x v="0"/>
    <m/>
    <x v="0"/>
    <n v="510201010007"/>
    <s v="Decimo Cuarto Sueldo                                                  "/>
    <n v="2595.84"/>
    <n v="2613.54"/>
    <n v="3592.81"/>
    <n v="2512.5"/>
    <n v="2529.17"/>
    <n v="2764.63"/>
    <n v="2957.29"/>
    <n v="2929.18"/>
    <n v="2910.42"/>
    <n v="2841.67"/>
    <n v="2781.25"/>
    <n v="2796.87"/>
    <n v="33825.170000000006"/>
    <n v="33825.169999998994"/>
  </r>
  <r>
    <x v="1"/>
    <x v="0"/>
    <x v="0"/>
    <m/>
    <x v="0"/>
    <n v="510201010008"/>
    <s v="Vacaciones                                                            "/>
    <n v="387.81"/>
    <n v="0"/>
    <n v="0"/>
    <n v="0"/>
    <n v="0"/>
    <n v="0"/>
    <n v="0"/>
    <n v="0"/>
    <n v="0"/>
    <n v="0"/>
    <n v="0"/>
    <n v="0"/>
    <n v="387.81"/>
    <n v="387.80999999959022"/>
  </r>
  <r>
    <x v="1"/>
    <x v="0"/>
    <x v="0"/>
    <m/>
    <x v="0"/>
    <n v="510201010009"/>
    <s v="Desahucio Planta Directos                                             "/>
    <n v="2453.66"/>
    <n v="1016"/>
    <n v="281.25"/>
    <n v="0"/>
    <n v="922.29"/>
    <n v="0"/>
    <n v="524.36"/>
    <n v="0"/>
    <n v="0"/>
    <n v="1165.6500000000001"/>
    <n v="0"/>
    <n v="302.45999999999998"/>
    <n v="6665.6699999999992"/>
    <n v="6665.6700000008568"/>
  </r>
  <r>
    <x v="1"/>
    <x v="0"/>
    <x v="0"/>
    <m/>
    <x v="0"/>
    <n v="510201010010"/>
    <s v="Indemnización Planta Directos                                         "/>
    <n v="4344.8"/>
    <n v="0"/>
    <n v="0"/>
    <n v="0"/>
    <n v="0"/>
    <n v="0"/>
    <n v="0"/>
    <n v="0"/>
    <n v="0"/>
    <n v="0"/>
    <n v="0"/>
    <n v="0"/>
    <n v="4344.8"/>
    <n v="4344.7999999998137"/>
  </r>
  <r>
    <x v="1"/>
    <x v="0"/>
    <x v="0"/>
    <m/>
    <x v="0"/>
    <n v="510201010011"/>
    <s v="Jubilación Patronal Planta Directos                                   "/>
    <n v="0"/>
    <n v="0"/>
    <n v="0"/>
    <n v="0"/>
    <n v="0"/>
    <n v="0"/>
    <n v="0"/>
    <n v="0"/>
    <n v="0"/>
    <n v="0"/>
    <n v="0"/>
    <n v="1571.59"/>
    <n v="1571.59"/>
    <n v="1571.589999999851"/>
  </r>
  <r>
    <x v="1"/>
    <x v="0"/>
    <x v="1"/>
    <m/>
    <x v="0"/>
    <n v="510201030001"/>
    <s v="Costo de Depreciación Maquinarias y Equipos                           "/>
    <n v="29705.07"/>
    <n v="29705.07"/>
    <n v="29705.07"/>
    <n v="29705.07"/>
    <n v="31293.14"/>
    <n v="32212.55"/>
    <n v="32212.55"/>
    <n v="32212.55"/>
    <n v="32212.55"/>
    <n v="32212.55"/>
    <n v="32212.55"/>
    <n v="32212.23"/>
    <n v="375600.9499999999"/>
    <n v="375600.95000000019"/>
  </r>
  <r>
    <x v="1"/>
    <x v="0"/>
    <x v="2"/>
    <m/>
    <x v="0"/>
    <n v="510201050001"/>
    <s v="Mantenimiento de Maq y Equipos Directos                               "/>
    <n v="9278.18"/>
    <n v="6547.96"/>
    <n v="5102.66"/>
    <n v="5664.05"/>
    <n v="8676.7000000000007"/>
    <n v="3802.75"/>
    <n v="2544.15"/>
    <n v="1033.33"/>
    <n v="3115.8"/>
    <n v="9906.69"/>
    <n v="7526.41"/>
    <n v="17481.560000000001"/>
    <n v="80680.240000000005"/>
    <n v="80680.240000000224"/>
  </r>
  <r>
    <x v="1"/>
    <x v="0"/>
    <x v="2"/>
    <m/>
    <x v="0"/>
    <n v="510201050002"/>
    <s v="Suministros, Materiales y Repuestos Directos                          "/>
    <n v="15601.85"/>
    <n v="15667.78"/>
    <n v="42926.93"/>
    <n v="42092.02"/>
    <n v="21222.19"/>
    <n v="25555.01"/>
    <n v="28101.119999999999"/>
    <n v="28309.34"/>
    <n v="22101.52"/>
    <n v="41870.959999999999"/>
    <n v="24232.58"/>
    <n v="67465.78"/>
    <n v="375147.07999999996"/>
    <n v="375147.07999999914"/>
  </r>
  <r>
    <x v="1"/>
    <x v="0"/>
    <x v="2"/>
    <m/>
    <x v="0"/>
    <n v="510201050003"/>
    <s v="Troqueles                                                             "/>
    <n v="4693.79"/>
    <n v="6755.32"/>
    <n v="6257.8"/>
    <n v="7314.39"/>
    <n v="9785.81"/>
    <n v="9306.5499999999993"/>
    <n v="6956.79"/>
    <n v="5215.6899999999996"/>
    <n v="5069.1499999999996"/>
    <n v="7271.29"/>
    <n v="9160.85"/>
    <n v="6447.96"/>
    <n v="84235.390000000014"/>
    <n v="84235.389999999665"/>
  </r>
  <r>
    <x v="1"/>
    <x v="0"/>
    <x v="2"/>
    <m/>
    <x v="0"/>
    <n v="510201050004"/>
    <s v="Servicio de Manufactura Directos                                      "/>
    <n v="12786.74"/>
    <n v="8540.33"/>
    <n v="19903.91"/>
    <n v="17728.52"/>
    <n v="19443.39"/>
    <n v="18181.2"/>
    <n v="23665.46"/>
    <n v="5960.01"/>
    <n v="11332.33"/>
    <n v="8842"/>
    <n v="17404.240000000002"/>
    <n v="11917.08"/>
    <n v="175705.20999999996"/>
    <n v="175705.20999999996"/>
  </r>
  <r>
    <x v="1"/>
    <x v="0"/>
    <x v="2"/>
    <m/>
    <x v="0"/>
    <n v="510201050005"/>
    <s v="Servicio de conversion                                                "/>
    <n v="0"/>
    <n v="0"/>
    <n v="0"/>
    <n v="0"/>
    <n v="0"/>
    <n v="0"/>
    <n v="187.68"/>
    <n v="0"/>
    <n v="0"/>
    <n v="0"/>
    <n v="0"/>
    <n v="0"/>
    <n v="187.68"/>
    <n v="187.67999999970198"/>
  </r>
  <r>
    <x v="1"/>
    <x v="0"/>
    <x v="0"/>
    <m/>
    <x v="0"/>
    <n v="510202010001"/>
    <s v="Sueldos                                                               "/>
    <n v="21934.73"/>
    <n v="21064.799999999999"/>
    <n v="19982.669999999998"/>
    <n v="19357"/>
    <n v="20017.330000000002"/>
    <n v="18810.669999999998"/>
    <n v="15860.67"/>
    <n v="16309"/>
    <n v="17004"/>
    <n v="19305.669999999998"/>
    <n v="19449"/>
    <n v="19716.5"/>
    <n v="228812.03999999998"/>
    <n v="228812.04000000004"/>
  </r>
  <r>
    <x v="1"/>
    <x v="0"/>
    <x v="0"/>
    <m/>
    <x v="0"/>
    <n v="510202010002"/>
    <s v="Sobretiempo                                                           "/>
    <n v="3397.26"/>
    <n v="2065.88"/>
    <n v="3495.98"/>
    <n v="3129.55"/>
    <n v="3180.55"/>
    <n v="3466.67"/>
    <n v="3150.96"/>
    <n v="2501.5500000000002"/>
    <n v="3742.63"/>
    <n v="4623.83"/>
    <n v="5586.71"/>
    <n v="3750.05"/>
    <n v="42091.62"/>
    <n v="42091.61999999918"/>
  </r>
  <r>
    <x v="1"/>
    <x v="0"/>
    <x v="0"/>
    <m/>
    <x v="0"/>
    <n v="510202010003"/>
    <s v="Aporte Patronal 12.15%                                                "/>
    <n v="3032.45"/>
    <n v="2768.63"/>
    <n v="2803.44"/>
    <n v="2685.05"/>
    <n v="2774.04"/>
    <n v="2480.1999999999998"/>
    <n v="2261.67"/>
    <n v="2416.87"/>
    <n v="4055.22"/>
    <n v="2855.22"/>
    <n v="2988.85"/>
    <n v="2800.78"/>
    <n v="33922.420000000006"/>
    <n v="33922.419999999925"/>
  </r>
  <r>
    <x v="1"/>
    <x v="0"/>
    <x v="0"/>
    <m/>
    <x v="0"/>
    <n v="510202010005"/>
    <s v="Fondo de Reserva                                                      "/>
    <n v="1571.02"/>
    <n v="1524.23"/>
    <n v="1588.94"/>
    <n v="1578.37"/>
    <n v="1574.23"/>
    <n v="1280.43"/>
    <n v="1280.52"/>
    <n v="1059.96"/>
    <n v="2196.41"/>
    <n v="1192.3599999999999"/>
    <n v="1213.78"/>
    <n v="1127.9100000000001"/>
    <n v="17188.160000000003"/>
    <n v="17188.16000000108"/>
  </r>
  <r>
    <x v="1"/>
    <x v="0"/>
    <x v="0"/>
    <m/>
    <x v="0"/>
    <n v="510202010006"/>
    <s v="Decimo Tercer Sueldo                                                  "/>
    <n v="2110.98"/>
    <n v="1927.56"/>
    <n v="1956.55"/>
    <n v="1873.9"/>
    <n v="1933.18"/>
    <n v="1856.42"/>
    <n v="1584.3"/>
    <n v="1567.55"/>
    <n v="2811.61"/>
    <n v="1994.15"/>
    <n v="2086.21"/>
    <n v="1955.35"/>
    <n v="23657.759999999998"/>
    <n v="23657.759999999776"/>
  </r>
  <r>
    <x v="1"/>
    <x v="0"/>
    <x v="0"/>
    <m/>
    <x v="0"/>
    <n v="510202010007"/>
    <s v="Decimo Cuarto Sueldo                                                  "/>
    <n v="953.13"/>
    <n v="925"/>
    <n v="900"/>
    <n v="868.75"/>
    <n v="842.71"/>
    <n v="901.05"/>
    <n v="837.5"/>
    <n v="878.13"/>
    <n v="837.5"/>
    <n v="1018.75"/>
    <n v="1018.75"/>
    <n v="2333"/>
    <n v="12314.27"/>
    <n v="12314.269999999553"/>
  </r>
  <r>
    <x v="1"/>
    <x v="0"/>
    <x v="0"/>
    <m/>
    <x v="0"/>
    <n v="510202010008"/>
    <s v="Vacaciones                                                            "/>
    <n v="541.66999999999996"/>
    <n v="0"/>
    <n v="0"/>
    <n v="0"/>
    <n v="0"/>
    <n v="0"/>
    <n v="0"/>
    <n v="0"/>
    <n v="0"/>
    <n v="0"/>
    <n v="0"/>
    <n v="1340.22"/>
    <n v="1881.8899999999999"/>
    <n v="1881.8899999996647"/>
  </r>
  <r>
    <x v="1"/>
    <x v="0"/>
    <x v="0"/>
    <m/>
    <x v="0"/>
    <n v="510202010009"/>
    <s v="Desahucio Planta Indirectos                                           "/>
    <n v="2000"/>
    <n v="0"/>
    <n v="0"/>
    <n v="0"/>
    <n v="0"/>
    <n v="0"/>
    <n v="10795.65"/>
    <n v="0"/>
    <n v="0"/>
    <n v="0"/>
    <n v="500"/>
    <n v="-10625.36"/>
    <n v="2670.2899999999991"/>
    <n v="2670.2900000000373"/>
  </r>
  <r>
    <x v="1"/>
    <x v="0"/>
    <x v="0"/>
    <m/>
    <x v="0"/>
    <n v="510202010010"/>
    <s v="Indemnización Planta Indirectos                                       "/>
    <n v="3162.15"/>
    <n v="0"/>
    <n v="0"/>
    <n v="0"/>
    <n v="0"/>
    <n v="0"/>
    <n v="0"/>
    <n v="0"/>
    <n v="0"/>
    <n v="0"/>
    <n v="2400"/>
    <n v="0"/>
    <n v="5562.15"/>
    <n v="5562.1500000003725"/>
  </r>
  <r>
    <x v="1"/>
    <x v="0"/>
    <x v="0"/>
    <m/>
    <x v="0"/>
    <n v="510202010011"/>
    <s v="Jubilación Patronal Planta Indirectos                                 "/>
    <n v="0"/>
    <n v="0"/>
    <n v="0"/>
    <n v="0"/>
    <n v="0"/>
    <n v="0"/>
    <n v="0"/>
    <n v="0"/>
    <n v="0"/>
    <n v="0"/>
    <n v="0"/>
    <n v="576.04999999999995"/>
    <n v="576.04999999999995"/>
    <n v="576.04999999981374"/>
  </r>
  <r>
    <x v="1"/>
    <x v="0"/>
    <x v="0"/>
    <m/>
    <x v="0"/>
    <n v="510202010012"/>
    <s v="Bonificaciones Voluntarias Planta Indirectos                          "/>
    <n v="0"/>
    <n v="0"/>
    <n v="0"/>
    <n v="0"/>
    <n v="0"/>
    <n v="0"/>
    <n v="0"/>
    <n v="0"/>
    <n v="12992.45"/>
    <n v="0"/>
    <n v="0"/>
    <n v="0"/>
    <n v="12992.45"/>
    <n v="12992.450000000186"/>
  </r>
  <r>
    <x v="1"/>
    <x v="0"/>
    <x v="3"/>
    <m/>
    <x v="0"/>
    <n v="510202020001"/>
    <s v="Agasajo al Personal Planta                                            "/>
    <n v="154.11000000000001"/>
    <n v="0"/>
    <n v="0"/>
    <n v="0"/>
    <n v="0"/>
    <n v="0"/>
    <n v="0"/>
    <n v="3076.22"/>
    <n v="0"/>
    <n v="0"/>
    <n v="0"/>
    <n v="2301"/>
    <n v="5531.33"/>
    <n v="5531.3300000000745"/>
  </r>
  <r>
    <x v="1"/>
    <x v="0"/>
    <x v="3"/>
    <m/>
    <x v="0"/>
    <n v="510202020003"/>
    <s v="Alimentación Planta                                                   "/>
    <n v="3796.2"/>
    <n v="3999.68"/>
    <n v="4342.08"/>
    <n v="4978.21"/>
    <n v="5411.38"/>
    <n v="5943.5"/>
    <n v="5513"/>
    <n v="4041"/>
    <n v="3999.38"/>
    <n v="4815.3500000000004"/>
    <n v="5274.09"/>
    <n v="4114.58"/>
    <n v="56228.45"/>
    <n v="56228.449999999255"/>
  </r>
  <r>
    <x v="1"/>
    <x v="0"/>
    <x v="3"/>
    <m/>
    <x v="0"/>
    <n v="510202020004"/>
    <s v="Movilización planta                                                   "/>
    <n v="0"/>
    <n v="80"/>
    <n v="40"/>
    <n v="40"/>
    <n v="40"/>
    <n v="40"/>
    <n v="40"/>
    <n v="40"/>
    <n v="40"/>
    <n v="20"/>
    <n v="0"/>
    <n v="0"/>
    <n v="380"/>
    <n v="380"/>
  </r>
  <r>
    <x v="1"/>
    <x v="0"/>
    <x v="3"/>
    <m/>
    <x v="0"/>
    <n v="510202020005"/>
    <s v="Gastos Médicos Planta                                                 "/>
    <n v="82.7"/>
    <n v="117.66"/>
    <n v="0"/>
    <n v="68.61"/>
    <n v="0"/>
    <n v="116.79"/>
    <n v="74.349999999999994"/>
    <n v="45.24"/>
    <n v="0"/>
    <n v="49.96"/>
    <n v="164.8"/>
    <n v="0"/>
    <n v="720.11000000000013"/>
    <n v="720.11000000033528"/>
  </r>
  <r>
    <x v="1"/>
    <x v="0"/>
    <x v="3"/>
    <m/>
    <x v="0"/>
    <n v="510202020006"/>
    <s v="Uniformes personal planta                                             "/>
    <n v="0"/>
    <n v="0"/>
    <n v="0"/>
    <n v="0"/>
    <n v="0"/>
    <n v="0"/>
    <n v="0"/>
    <n v="0"/>
    <n v="1835"/>
    <n v="0"/>
    <n v="0"/>
    <n v="0"/>
    <n v="1835"/>
    <n v="1835"/>
  </r>
  <r>
    <x v="1"/>
    <x v="0"/>
    <x v="3"/>
    <m/>
    <x v="0"/>
    <n v="510202020007"/>
    <s v="Capacitación y Seminarios Planta                                      "/>
    <n v="1239.1400000000001"/>
    <n v="0"/>
    <n v="0"/>
    <n v="140"/>
    <n v="144.46"/>
    <n v="0"/>
    <n v="0"/>
    <n v="0"/>
    <n v="-45"/>
    <n v="0"/>
    <n v="0"/>
    <n v="0"/>
    <n v="1478.6000000000001"/>
    <n v="1478.5999999996275"/>
  </r>
  <r>
    <x v="1"/>
    <x v="0"/>
    <x v="3"/>
    <m/>
    <x v="0"/>
    <n v="510202020008"/>
    <s v="Otros gastos del personal Planta                                      "/>
    <n v="0"/>
    <n v="21"/>
    <n v="112.58"/>
    <n v="0"/>
    <n v="35"/>
    <n v="0"/>
    <n v="35"/>
    <n v="42.49"/>
    <n v="1530.34"/>
    <n v="0"/>
    <n v="44.55"/>
    <n v="2271.86"/>
    <n v="4092.8199999999997"/>
    <n v="4092.820000000298"/>
  </r>
  <r>
    <x v="1"/>
    <x v="0"/>
    <x v="3"/>
    <m/>
    <x v="0"/>
    <n v="510202020009"/>
    <s v="Utiles de limpieza, cafeteria y varios planta                         "/>
    <n v="91.8"/>
    <n v="49.76"/>
    <n v="358.19"/>
    <n v="419.9"/>
    <n v="374.11"/>
    <n v="146.49"/>
    <n v="244.97"/>
    <n v="416.29"/>
    <n v="295.95"/>
    <n v="349.1"/>
    <n v="470.25"/>
    <n v="194.84"/>
    <n v="3411.65"/>
    <n v="3411.6500000003725"/>
  </r>
  <r>
    <x v="1"/>
    <x v="0"/>
    <x v="1"/>
    <m/>
    <x v="0"/>
    <n v="510202030002"/>
    <s v="Costo de Deprecion Maquinarias y Equipos                              "/>
    <n v="2525.0500000000002"/>
    <n v="2525.0500000000002"/>
    <n v="2525.0500000000002"/>
    <n v="2525.0500000000002"/>
    <n v="2525.0500000000002"/>
    <n v="2525.0500000000002"/>
    <n v="2525.0500000000002"/>
    <n v="2525.0500000000002"/>
    <n v="2525.0500000000002"/>
    <n v="2525.0500000000002"/>
    <n v="2525.0500000000002"/>
    <n v="2612.42"/>
    <n v="30387.969999999994"/>
    <n v="30387.969999997877"/>
  </r>
  <r>
    <x v="1"/>
    <x v="0"/>
    <x v="1"/>
    <m/>
    <x v="0"/>
    <n v="510202030003"/>
    <s v="Costo de Depreciación Muebles y Enseres                               "/>
    <n v="133.12"/>
    <n v="133.12"/>
    <n v="133.12"/>
    <n v="139.12"/>
    <n v="150.30000000000001"/>
    <n v="154.27000000000001"/>
    <n v="162.06"/>
    <n v="166.8"/>
    <n v="166.8"/>
    <n v="166.8"/>
    <n v="166.8"/>
    <n v="166.8"/>
    <n v="1839.1099999999997"/>
    <n v="1839.1099999984726"/>
  </r>
  <r>
    <x v="1"/>
    <x v="0"/>
    <x v="1"/>
    <m/>
    <x v="0"/>
    <n v="510202030004"/>
    <s v="Costo de Depreciación Equipos de Computación                          "/>
    <n v="10.65"/>
    <n v="18.100000000000001"/>
    <n v="21.3"/>
    <n v="21.3"/>
    <n v="24.22"/>
    <n v="77.650000000000006"/>
    <n v="95.71"/>
    <n v="96.4"/>
    <n v="96.4"/>
    <n v="96.4"/>
    <n v="96.4"/>
    <n v="96.4"/>
    <n v="750.93"/>
    <n v="750.93000000156462"/>
  </r>
  <r>
    <x v="1"/>
    <x v="0"/>
    <x v="1"/>
    <m/>
    <x v="0"/>
    <n v="510202030005"/>
    <s v="Costo de Depreciación de Vehículos                                    "/>
    <n v="1010.45"/>
    <n v="1010.45"/>
    <n v="1010.45"/>
    <n v="1010.45"/>
    <n v="1010.45"/>
    <n v="1010.45"/>
    <n v="1010.45"/>
    <n v="1209.74"/>
    <n v="1384.12"/>
    <n v="1384.12"/>
    <n v="1384.12"/>
    <n v="1384.12"/>
    <n v="13819.369999999995"/>
    <n v="13819.370000001974"/>
  </r>
  <r>
    <x v="1"/>
    <x v="0"/>
    <x v="1"/>
    <m/>
    <x v="0"/>
    <n v="510202030008"/>
    <s v="Costo de Depreciación Equipos de seguridad                            "/>
    <n v="0"/>
    <n v="0"/>
    <n v="24.86"/>
    <n v="24.86"/>
    <n v="24.86"/>
    <n v="24.86"/>
    <n v="-99.44"/>
    <n v="24.86"/>
    <n v="26.69"/>
    <n v="26.98"/>
    <n v="26.98"/>
    <n v="-97.32"/>
    <n v="8.1900000000000119"/>
    <n v="8.1900000022724271"/>
  </r>
  <r>
    <x v="1"/>
    <x v="0"/>
    <x v="4"/>
    <m/>
    <x v="0"/>
    <n v="510202050001"/>
    <s v="Mantenimiento de Maq y Equipos Indirectos                             "/>
    <n v="2694.18"/>
    <n v="1085.07"/>
    <n v="1250.92"/>
    <n v="1524.5"/>
    <n v="1028.95"/>
    <n v="3598.25"/>
    <n v="1075"/>
    <n v="1675"/>
    <n v="9431.83"/>
    <n v="1360"/>
    <n v="1740"/>
    <n v="9550.65"/>
    <n v="36014.35"/>
    <n v="36014.350000000559"/>
  </r>
  <r>
    <x v="1"/>
    <x v="0"/>
    <x v="4"/>
    <m/>
    <x v="0"/>
    <n v="510202050002"/>
    <s v="Mantenimiento de Edificio Planta                                      "/>
    <n v="250"/>
    <n v="0"/>
    <n v="277.57"/>
    <n v="0"/>
    <n v="0"/>
    <n v="0"/>
    <n v="0"/>
    <n v="70"/>
    <n v="0"/>
    <n v="0"/>
    <n v="879.52"/>
    <n v="432.12"/>
    <n v="1909.21"/>
    <n v="1909.2099999999627"/>
  </r>
  <r>
    <x v="1"/>
    <x v="0"/>
    <x v="4"/>
    <m/>
    <x v="0"/>
    <n v="510202050003"/>
    <s v="Mantenimiento de Muebles y Equipo Planta                              "/>
    <n v="35"/>
    <n v="0"/>
    <n v="0"/>
    <n v="0"/>
    <n v="20"/>
    <n v="86.5"/>
    <n v="160"/>
    <n v="55.43"/>
    <n v="320.35000000000002"/>
    <n v="49.45"/>
    <n v="139"/>
    <n v="0"/>
    <n v="865.73"/>
    <n v="865.72999999951571"/>
  </r>
  <r>
    <x v="1"/>
    <x v="0"/>
    <x v="4"/>
    <m/>
    <x v="0"/>
    <n v="510202050004"/>
    <s v="Combustibles Bodega                                                   "/>
    <n v="1128.51"/>
    <n v="889.4"/>
    <n v="1267.83"/>
    <n v="1579.14"/>
    <n v="1184.95"/>
    <n v="1288.7"/>
    <n v="1117.08"/>
    <n v="1031.27"/>
    <n v="898.05"/>
    <n v="1411"/>
    <n v="924.56"/>
    <n v="1180.26"/>
    <n v="13900.75"/>
    <n v="13900.749999999069"/>
  </r>
  <r>
    <x v="1"/>
    <x v="0"/>
    <x v="4"/>
    <m/>
    <x v="0"/>
    <n v="510202050005"/>
    <s v="Artículos de Seguridad                                                "/>
    <n v="80"/>
    <n v="0"/>
    <n v="55"/>
    <n v="0"/>
    <n v="233"/>
    <n v="0"/>
    <n v="0"/>
    <n v="356"/>
    <n v="0"/>
    <n v="8.93"/>
    <n v="0"/>
    <n v="95.71"/>
    <n v="828.64"/>
    <n v="828.63999999966472"/>
  </r>
  <r>
    <x v="1"/>
    <x v="0"/>
    <x v="4"/>
    <m/>
    <x v="0"/>
    <n v="510202050006"/>
    <s v="Agua Planta                                                           "/>
    <n v="233.76"/>
    <n v="135.86000000000001"/>
    <n v="156.54"/>
    <n v="189.68"/>
    <n v="246.83"/>
    <n v="153.5"/>
    <n v="269.04000000000002"/>
    <n v="191.66"/>
    <n v="119.9"/>
    <n v="152.56"/>
    <n v="148.05000000000001"/>
    <n v="168.37"/>
    <n v="2165.75"/>
    <n v="2165.75"/>
  </r>
  <r>
    <x v="1"/>
    <x v="0"/>
    <x v="4"/>
    <m/>
    <x v="0"/>
    <n v="510202050007"/>
    <s v="Energía Eléctrica Planta                                              "/>
    <n v="6666.66"/>
    <n v="5890.98"/>
    <n v="6552.06"/>
    <n v="7248.42"/>
    <n v="7425.59"/>
    <n v="7357.98"/>
    <n v="7243.33"/>
    <n v="5189.49"/>
    <n v="6311.15"/>
    <n v="7179.11"/>
    <n v="6384.6"/>
    <n v="5998.68"/>
    <n v="79448.050000000017"/>
    <n v="79448.050000000745"/>
  </r>
  <r>
    <x v="1"/>
    <x v="0"/>
    <x v="4"/>
    <m/>
    <x v="0"/>
    <n v="510202050009"/>
    <s v="Gastos Menores de activos Planta                                      "/>
    <n v="0"/>
    <n v="0"/>
    <n v="327.35000000000002"/>
    <n v="0"/>
    <n v="1983.33"/>
    <n v="40.99"/>
    <n v="62"/>
    <n v="0"/>
    <n v="0"/>
    <n v="1400"/>
    <n v="280"/>
    <n v="0"/>
    <n v="4093.6699999999996"/>
    <n v="4093.6699999999255"/>
  </r>
  <r>
    <x v="1"/>
    <x v="0"/>
    <x v="4"/>
    <m/>
    <x v="0"/>
    <n v="510202050010"/>
    <s v="Fletes                                                                "/>
    <n v="6026.42"/>
    <n v="6440.03"/>
    <n v="5292.92"/>
    <n v="10157.049999999999"/>
    <n v="5717.9"/>
    <n v="8833.1200000000008"/>
    <n v="7842.57"/>
    <n v="4059.42"/>
    <n v="7615.77"/>
    <n v="12489.58"/>
    <n v="7820.1"/>
    <n v="7310.21"/>
    <n v="89605.090000000011"/>
    <n v="89605.089999999851"/>
  </r>
  <r>
    <x v="1"/>
    <x v="0"/>
    <x v="4"/>
    <m/>
    <x v="0"/>
    <n v="510202050011"/>
    <s v="Otros Costo de Producción                                             "/>
    <n v="50"/>
    <n v="0"/>
    <n v="0"/>
    <n v="0"/>
    <n v="0"/>
    <n v="0"/>
    <n v="0"/>
    <n v="0"/>
    <n v="0"/>
    <n v="0"/>
    <n v="0"/>
    <n v="74.819999999999993"/>
    <n v="124.82"/>
    <n v="124.82000000029802"/>
  </r>
  <r>
    <x v="1"/>
    <x v="0"/>
    <x v="4"/>
    <m/>
    <x v="0"/>
    <n v="510202050013"/>
    <s v="Servicio de Manufactura Indirectos                                    "/>
    <n v="6843.11"/>
    <n v="7753.06"/>
    <n v="7220.41"/>
    <n v="7366.22"/>
    <n v="7400.96"/>
    <n v="7506.26"/>
    <n v="8337.2099999999991"/>
    <n v="7628.61"/>
    <n v="5343.26"/>
    <n v="9230.81"/>
    <n v="2199.52"/>
    <n v="23998.32"/>
    <n v="100827.75"/>
    <n v="100827.74999999907"/>
  </r>
  <r>
    <x v="1"/>
    <x v="0"/>
    <x v="4"/>
    <m/>
    <x v="0"/>
    <n v="510202050014"/>
    <s v="Gastos de control de calidad                                          "/>
    <n v="300"/>
    <n v="0"/>
    <n v="0"/>
    <n v="0"/>
    <n v="0"/>
    <n v="192"/>
    <n v="0"/>
    <n v="143"/>
    <n v="0"/>
    <n v="0"/>
    <n v="35"/>
    <n v="186"/>
    <n v="856"/>
    <n v="856"/>
  </r>
  <r>
    <x v="1"/>
    <x v="0"/>
    <x v="4"/>
    <m/>
    <x v="0"/>
    <n v="510202050015"/>
    <s v="Mant.  Vehiculos Bodega                                               "/>
    <n v="1701.35"/>
    <n v="3267.49"/>
    <n v="5076.74"/>
    <n v="2421.84"/>
    <n v="2964.52"/>
    <n v="7164.13"/>
    <n v="2978.74"/>
    <n v="2729.73"/>
    <n v="3287.39"/>
    <n v="3360.03"/>
    <n v="6913"/>
    <n v="8528.23"/>
    <n v="50393.19"/>
    <n v="50393.19000000041"/>
  </r>
  <r>
    <x v="1"/>
    <x v="0"/>
    <x v="4"/>
    <m/>
    <x v="0"/>
    <n v="510202050016"/>
    <s v="Suministros, Materiales y Repuestos Indirectos                        "/>
    <n v="6091.13"/>
    <n v="3585.98"/>
    <n v="7677.39"/>
    <n v="6085"/>
    <n v="8220.1299999999992"/>
    <n v="7242.35"/>
    <n v="5662.73"/>
    <n v="3844.35"/>
    <n v="4957.8900000000003"/>
    <n v="5194.45"/>
    <n v="5164.96"/>
    <n v="22157.59"/>
    <n v="85883.949999999983"/>
    <n v="85883.949999999255"/>
  </r>
  <r>
    <x v="1"/>
    <x v="0"/>
    <x v="4"/>
    <m/>
    <x v="0"/>
    <n v="510202050017"/>
    <s v="Servicio de Afilada de Cuchillas                                      "/>
    <n v="1214.4000000000001"/>
    <n v="842.58"/>
    <n v="713.48"/>
    <n v="1237.2"/>
    <n v="723.74"/>
    <n v="915.03"/>
    <n v="418.12"/>
    <n v="591.16"/>
    <n v="702.08"/>
    <n v="991.16"/>
    <n v="1025.46"/>
    <n v="509.38"/>
    <n v="9883.7899999999991"/>
    <n v="9883.7900000018999"/>
  </r>
  <r>
    <x v="1"/>
    <x v="0"/>
    <x v="4"/>
    <m/>
    <x v="0"/>
    <n v="510202050020"/>
    <s v="Seguro contra incendios                                               "/>
    <n v="362.68"/>
    <n v="362.68"/>
    <n v="362.68"/>
    <n v="362.68"/>
    <n v="362.67"/>
    <n v="362.68"/>
    <n v="362.68"/>
    <n v="362.68"/>
    <n v="362.68"/>
    <n v="423.12"/>
    <n v="362.68"/>
    <n v="362.68"/>
    <n v="4412.5899999999992"/>
    <n v="4412.589999997057"/>
  </r>
  <r>
    <x v="1"/>
    <x v="0"/>
    <x v="4"/>
    <m/>
    <x v="0"/>
    <n v="510202050022"/>
    <s v="Seguro de Vehiculos                                                   "/>
    <n v="242.33"/>
    <n v="242.33"/>
    <n v="742.33"/>
    <n v="242.33"/>
    <n v="242.33"/>
    <n v="242.33"/>
    <n v="242.33"/>
    <n v="269.24"/>
    <n v="269.24"/>
    <n v="287.38"/>
    <n v="232.45"/>
    <n v="232.45"/>
    <n v="3487.0699999999997"/>
    <n v="3487.0700000012293"/>
  </r>
  <r>
    <x v="1"/>
    <x v="0"/>
    <x v="4"/>
    <m/>
    <x v="0"/>
    <n v="510202050023"/>
    <s v="Seguro SENAE                                                          "/>
    <n v="1200.57"/>
    <n v="1200.57"/>
    <n v="1152.8599999999999"/>
    <n v="1089.75"/>
    <n v="1089.75"/>
    <n v="1089.75"/>
    <n v="1089.75"/>
    <n v="2763.89"/>
    <n v="1089.75"/>
    <n v="1271.3699999999999"/>
    <n v="1091.3"/>
    <n v="1089.75"/>
    <n v="15219.059999999998"/>
    <n v="15219.060000000522"/>
  </r>
  <r>
    <x v="1"/>
    <x v="0"/>
    <x v="4"/>
    <m/>
    <x v="0"/>
    <n v="510202050024"/>
    <s v="Gastos viaticos planta                                                "/>
    <n v="0"/>
    <n v="10.5"/>
    <n v="0"/>
    <n v="0"/>
    <n v="80.67"/>
    <n v="0"/>
    <n v="0"/>
    <n v="0"/>
    <n v="0"/>
    <n v="0"/>
    <n v="0"/>
    <n v="0"/>
    <n v="91.17"/>
    <n v="91.169999999925494"/>
  </r>
  <r>
    <x v="1"/>
    <x v="0"/>
    <x v="4"/>
    <m/>
    <x v="0"/>
    <n v="510202050026"/>
    <s v="Sistema de seguridad Planta-Produccion                                "/>
    <n v="0"/>
    <n v="115"/>
    <n v="0"/>
    <n v="0"/>
    <n v="0"/>
    <n v="0"/>
    <n v="0"/>
    <n v="0"/>
    <n v="0"/>
    <n v="0"/>
    <n v="0"/>
    <n v="0"/>
    <n v="115"/>
    <n v="115"/>
  </r>
  <r>
    <x v="1"/>
    <x v="0"/>
    <x v="4"/>
    <m/>
    <x v="0"/>
    <n v="510202050027"/>
    <s v="Suministros de seguridad industrial (EPP Y OTROS )                    "/>
    <n v="63"/>
    <n v="0"/>
    <n v="45"/>
    <n v="168.41"/>
    <n v="0"/>
    <n v="66.55"/>
    <n v="1040.24"/>
    <n v="70.709999999999994"/>
    <n v="48"/>
    <n v="34.92"/>
    <n v="27.6"/>
    <n v="0"/>
    <n v="1564.43"/>
    <n v="1564.429999999702"/>
  </r>
  <r>
    <x v="1"/>
    <x v="0"/>
    <x v="4"/>
    <m/>
    <x v="0"/>
    <n v="510202050028"/>
    <s v="Gastos movilizacion planta                                            "/>
    <n v="253.25"/>
    <n v="140"/>
    <n v="442.2"/>
    <n v="1521.45"/>
    <n v="600.9"/>
    <n v="433.75"/>
    <n v="486.15"/>
    <n v="434.25"/>
    <n v="367.5"/>
    <n v="678.05"/>
    <n v="477.6"/>
    <n v="538.15"/>
    <n v="6373.2500000000009"/>
    <n v="6373.2500000009313"/>
  </r>
  <r>
    <x v="1"/>
    <x v="0"/>
    <x v="4"/>
    <m/>
    <x v="0"/>
    <n v="510202050029"/>
    <s v="Honorarios profesionales planta                                       "/>
    <n v="0"/>
    <n v="0"/>
    <n v="0"/>
    <n v="0"/>
    <n v="0"/>
    <n v="0"/>
    <n v="2777.78"/>
    <n v="2777.78"/>
    <n v="3500"/>
    <n v="3500"/>
    <n v="3500"/>
    <n v="3500"/>
    <n v="19555.560000000001"/>
    <n v="19555.560000000522"/>
  </r>
  <r>
    <x v="1"/>
    <x v="0"/>
    <x v="4"/>
    <m/>
    <x v="0"/>
    <n v="510202050030"/>
    <s v="Mantenimiento de instalaciones planta                                 "/>
    <n v="2220.4299999999998"/>
    <n v="9466.7199999999993"/>
    <n v="7736.2"/>
    <n v="3154.59"/>
    <n v="2406.94"/>
    <n v="12161.31"/>
    <n v="390.54"/>
    <n v="1208.79"/>
    <n v="978.87"/>
    <n v="2227.5100000000002"/>
    <n v="540.42999999999995"/>
    <n v="1487.92"/>
    <n v="43980.25"/>
    <n v="43980.249999999069"/>
  </r>
  <r>
    <x v="1"/>
    <x v="0"/>
    <x v="4"/>
    <m/>
    <x v="0"/>
    <n v="510202050032"/>
    <s v="Alquiler maquinarias y otros                                          "/>
    <n v="0"/>
    <n v="0"/>
    <n v="0"/>
    <n v="1125"/>
    <n v="1485"/>
    <n v="80"/>
    <n v="0"/>
    <n v="0"/>
    <n v="0"/>
    <n v="0"/>
    <n v="0"/>
    <n v="150"/>
    <n v="2840"/>
    <n v="2840"/>
  </r>
  <r>
    <x v="1"/>
    <x v="0"/>
    <x v="4"/>
    <m/>
    <x v="0"/>
    <n v="510202050033"/>
    <s v="Destrucción desechos - medio ambiente                                 "/>
    <n v="0"/>
    <n v="264.23"/>
    <n v="0"/>
    <n v="0"/>
    <n v="0"/>
    <n v="239"/>
    <n v="0"/>
    <n v="0"/>
    <n v="404.75"/>
    <n v="0"/>
    <n v="758.3"/>
    <n v="0"/>
    <n v="1666.28"/>
    <n v="1666.2800000002608"/>
  </r>
  <r>
    <x v="1"/>
    <x v="0"/>
    <x v="4"/>
    <m/>
    <x v="0"/>
    <n v="510202050034"/>
    <s v="Iva costo                                                             "/>
    <n v="2312.38"/>
    <n v="2847.11"/>
    <n v="2737.5"/>
    <n v="6453.15"/>
    <n v="8184.35"/>
    <n v="7014.71"/>
    <n v="59147.46"/>
    <n v="1238.52"/>
    <n v="2124.34"/>
    <n v="1202.03"/>
    <n v="1598.31"/>
    <n v="917.48"/>
    <n v="95777.34"/>
    <n v="95777.339999999851"/>
  </r>
  <r>
    <x v="1"/>
    <x v="0"/>
    <x v="4"/>
    <m/>
    <x v="0"/>
    <n v="510202050035"/>
    <s v="Matrícula e impuestos Vehicular bodega                                "/>
    <n v="0"/>
    <n v="0"/>
    <n v="0"/>
    <n v="0"/>
    <n v="0"/>
    <n v="0"/>
    <n v="0"/>
    <n v="440.11"/>
    <n v="0"/>
    <n v="332.35"/>
    <n v="176.89"/>
    <n v="18.53"/>
    <n v="967.88"/>
    <n v="967.87999999988824"/>
  </r>
  <r>
    <x v="1"/>
    <x v="0"/>
    <x v="4"/>
    <m/>
    <x v="0"/>
    <n v="510202050036"/>
    <s v="Otros pagos bienes y servicios planta                                 "/>
    <n v="712.5"/>
    <n v="250"/>
    <n v="70.42"/>
    <n v="873.45"/>
    <n v="321.05"/>
    <n v="356.7"/>
    <n v="929.23"/>
    <n v="296.01"/>
    <n v="335.77"/>
    <n v="287.42"/>
    <n v="250"/>
    <n v="403.31"/>
    <n v="5085.8599999999997"/>
    <n v="5085.859999999404"/>
  </r>
  <r>
    <x v="1"/>
    <x v="0"/>
    <x v="4"/>
    <m/>
    <x v="0"/>
    <n v="510202050037"/>
    <s v="Tasa de recolección de basura                                         "/>
    <n v="855.6"/>
    <n v="5305.21"/>
    <n v="883.62"/>
    <n v="983.59"/>
    <n v="0"/>
    <n v="2203.16"/>
    <n v="1105.08"/>
    <n v="1087.69"/>
    <n v="777.92"/>
    <n v="946.44"/>
    <n v="1078.06"/>
    <n v="958.09"/>
    <n v="16184.460000000001"/>
    <n v="16184.459999999963"/>
  </r>
  <r>
    <x v="1"/>
    <x v="0"/>
    <x v="4"/>
    <m/>
    <x v="0"/>
    <n v="510202050038"/>
    <s v="Muestras recibidas                                                    "/>
    <n v="22.32"/>
    <n v="22"/>
    <n v="0"/>
    <n v="0"/>
    <n v="0"/>
    <n v="72"/>
    <n v="0"/>
    <n v="0"/>
    <n v="0"/>
    <n v="0"/>
    <n v="0"/>
    <n v="0"/>
    <n v="116.32"/>
    <n v="116.32000000029802"/>
  </r>
  <r>
    <x v="1"/>
    <x v="0"/>
    <x v="4"/>
    <m/>
    <x v="0"/>
    <n v="510202050039"/>
    <s v="Accesorios y herramientas                                             "/>
    <n v="0"/>
    <n v="0"/>
    <n v="1250"/>
    <n v="0"/>
    <n v="646.96"/>
    <n v="875.02"/>
    <n v="0"/>
    <n v="0"/>
    <n v="0"/>
    <n v="0"/>
    <n v="712.42"/>
    <n v="0"/>
    <n v="3484.4"/>
    <n v="3484.3999999994412"/>
  </r>
  <r>
    <x v="1"/>
    <x v="0"/>
    <x v="4"/>
    <m/>
    <x v="0"/>
    <n v="510202050040"/>
    <s v="Gastos de licencias - software y mant  ERP                            "/>
    <n v="0"/>
    <n v="0"/>
    <n v="0"/>
    <n v="0"/>
    <n v="0"/>
    <n v="0"/>
    <n v="328.77"/>
    <n v="328.77"/>
    <n v="328.77"/>
    <n v="328.77"/>
    <n v="328.77"/>
    <n v="328.77"/>
    <n v="1972.62"/>
    <n v="1972.6199999973178"/>
  </r>
  <r>
    <x v="1"/>
    <x v="0"/>
    <x v="4"/>
    <m/>
    <x v="0"/>
    <n v="510202050041"/>
    <s v="Servicios de fumigación y control de plagas                           "/>
    <n v="0"/>
    <n v="474"/>
    <n v="474"/>
    <n v="0"/>
    <n v="400"/>
    <n v="300"/>
    <n v="300"/>
    <n v="304.62"/>
    <n v="300"/>
    <n v="300"/>
    <n v="300"/>
    <n v="300"/>
    <n v="3452.62"/>
    <n v="3452.6200000001118"/>
  </r>
  <r>
    <x v="1"/>
    <x v="0"/>
    <x v="4"/>
    <m/>
    <x v="0"/>
    <n v="510202050042"/>
    <s v="Mant equipos de computo                                               "/>
    <n v="0"/>
    <n v="0"/>
    <n v="0"/>
    <n v="0"/>
    <n v="0"/>
    <n v="0"/>
    <n v="0"/>
    <n v="0"/>
    <n v="0"/>
    <n v="0"/>
    <n v="0"/>
    <n v="3600"/>
    <n v="3600"/>
    <n v="3600"/>
  </r>
  <r>
    <x v="1"/>
    <x v="0"/>
    <x v="4"/>
    <m/>
    <x v="0"/>
    <n v="510202050043"/>
    <s v="suministros y otros  (autoconsumo)                                    "/>
    <n v="0"/>
    <n v="0"/>
    <n v="0"/>
    <n v="63.1"/>
    <n v="891.19"/>
    <n v="264.81"/>
    <n v="0"/>
    <n v="157.62"/>
    <n v="64.73"/>
    <n v="400.78"/>
    <n v="108.25"/>
    <n v="0"/>
    <n v="1950.4800000000002"/>
    <n v="1950.480000000447"/>
  </r>
  <r>
    <x v="1"/>
    <x v="0"/>
    <x v="4"/>
    <m/>
    <x v="0"/>
    <n v="510202050044"/>
    <s v="Suministros deoficina y computación planta                            "/>
    <n v="0"/>
    <n v="0"/>
    <n v="0"/>
    <n v="0"/>
    <n v="0"/>
    <n v="0"/>
    <n v="166"/>
    <n v="128.88"/>
    <n v="175.5"/>
    <n v="162.75"/>
    <n v="167.12"/>
    <n v="0"/>
    <n v="800.25"/>
    <n v="800.25"/>
  </r>
  <r>
    <x v="1"/>
    <x v="0"/>
    <x v="4"/>
    <m/>
    <x v="0"/>
    <n v="510202050045"/>
    <s v="ARRIENDO BODEGAS                                                      "/>
    <n v="0"/>
    <n v="0"/>
    <n v="0"/>
    <n v="0"/>
    <n v="0"/>
    <n v="0"/>
    <n v="0"/>
    <n v="0"/>
    <n v="0"/>
    <n v="1600"/>
    <n v="1600"/>
    <n v="1600"/>
    <n v="4800"/>
    <n v="4800"/>
  </r>
  <r>
    <x v="1"/>
    <x v="0"/>
    <x v="4"/>
    <m/>
    <x v="0"/>
    <n v="510202050046"/>
    <s v="Seguro ambiental                                                      "/>
    <n v="0"/>
    <n v="0"/>
    <n v="0"/>
    <n v="0"/>
    <n v="0"/>
    <n v="0"/>
    <n v="0"/>
    <n v="0"/>
    <n v="89.28"/>
    <n v="0"/>
    <n v="0"/>
    <n v="0"/>
    <n v="89.28"/>
    <n v="89.28000000026077"/>
  </r>
  <r>
    <x v="1"/>
    <x v="1"/>
    <x v="5"/>
    <m/>
    <x v="0"/>
    <n v="520101010001"/>
    <s v="Sueldos                                                               "/>
    <n v="13415.27"/>
    <n v="14125"/>
    <n v="13958.33"/>
    <n v="14110"/>
    <n v="15216.66"/>
    <n v="15273.33"/>
    <n v="15366.67"/>
    <n v="15900"/>
    <n v="15900"/>
    <n v="15936.66"/>
    <n v="16060"/>
    <n v="12700"/>
    <n v="177961.92"/>
    <n v="177961.91999999993"/>
  </r>
  <r>
    <x v="1"/>
    <x v="1"/>
    <x v="5"/>
    <m/>
    <x v="0"/>
    <n v="520101010002"/>
    <s v="Sobretiempos                                                          "/>
    <n v="688.26"/>
    <n v="547.97"/>
    <n v="937.9"/>
    <n v="1078.02"/>
    <n v="1405.21"/>
    <n v="1241.21"/>
    <n v="1421.2"/>
    <n v="1185.1099999999999"/>
    <n v="1219.3699999999999"/>
    <n v="1413.37"/>
    <n v="1595.68"/>
    <n v="1123.1500000000001"/>
    <n v="13856.449999999999"/>
    <n v="13856.450000000186"/>
  </r>
  <r>
    <x v="1"/>
    <x v="1"/>
    <x v="5"/>
    <m/>
    <x v="0"/>
    <n v="520101010003"/>
    <s v="Comisiones                                                            "/>
    <n v="7802.31"/>
    <n v="7427.13"/>
    <n v="10048.67"/>
    <n v="8072.39"/>
    <n v="8416.09"/>
    <n v="6210.69"/>
    <n v="10776.55"/>
    <n v="8811.6299999999992"/>
    <n v="2127.85"/>
    <n v="8127.15"/>
    <n v="10175.58"/>
    <n v="9454.3700000000008"/>
    <n v="97450.41"/>
    <n v="97450.409999999218"/>
  </r>
  <r>
    <x v="1"/>
    <x v="1"/>
    <x v="5"/>
    <m/>
    <x v="0"/>
    <n v="520101010004"/>
    <s v="Aporte Patronal 12.15%                                                "/>
    <n v="2661.51"/>
    <n v="2685.14"/>
    <n v="3334.59"/>
    <n v="2826.17"/>
    <n v="3042.11"/>
    <n v="2742.98"/>
    <n v="3348.64"/>
    <n v="3164.39"/>
    <n v="3917.13"/>
    <n v="3095.48"/>
    <n v="3381.5"/>
    <n v="2828.19"/>
    <n v="37027.83"/>
    <n v="37027.830000000075"/>
  </r>
  <r>
    <x v="1"/>
    <x v="1"/>
    <x v="5"/>
    <m/>
    <x v="0"/>
    <n v="520101010005"/>
    <s v="Fondo de Reserva                                                      "/>
    <n v="1410.74"/>
    <n v="1491.51"/>
    <n v="1900"/>
    <n v="1642.91"/>
    <n v="1573.47"/>
    <n v="1332.3"/>
    <n v="1631.03"/>
    <n v="1499"/>
    <n v="2210.59"/>
    <n v="1475.71"/>
    <n v="1468.62"/>
    <n v="1119.69"/>
    <n v="18755.57"/>
    <n v="18755.570000000298"/>
  </r>
  <r>
    <x v="1"/>
    <x v="1"/>
    <x v="5"/>
    <m/>
    <x v="0"/>
    <n v="520101010006"/>
    <s v="Decimo Tercer Sueldo                                                  "/>
    <n v="1825.49"/>
    <n v="1841.68"/>
    <n v="2287.08"/>
    <n v="1938.4"/>
    <n v="2086.5"/>
    <n v="1888.24"/>
    <n v="2297.06"/>
    <n v="2163.5"/>
    <n v="2686.66"/>
    <n v="2123.11"/>
    <n v="2319.3200000000002"/>
    <n v="1939.82"/>
    <n v="25396.86"/>
    <n v="25396.860000001267"/>
  </r>
  <r>
    <x v="1"/>
    <x v="1"/>
    <x v="5"/>
    <m/>
    <x v="0"/>
    <n v="520101010007"/>
    <s v="Decimo Cuarto Sueldo                                                  "/>
    <n v="465.62"/>
    <n v="468.75"/>
    <n v="458.33"/>
    <n v="459.37"/>
    <n v="522.91999999999996"/>
    <n v="517.71"/>
    <n v="531.25"/>
    <n v="568.75"/>
    <n v="562.5"/>
    <n v="562.49"/>
    <n v="556.25"/>
    <n v="531.25"/>
    <n v="6205.1900000000005"/>
    <n v="6205.1900000004098"/>
  </r>
  <r>
    <x v="1"/>
    <x v="1"/>
    <x v="5"/>
    <m/>
    <x v="0"/>
    <n v="520101010008"/>
    <s v="Vacaciones                                                            "/>
    <n v="0"/>
    <n v="0"/>
    <n v="0"/>
    <n v="0"/>
    <n v="0"/>
    <n v="0"/>
    <n v="0"/>
    <n v="0"/>
    <n v="0"/>
    <n v="0"/>
    <n v="0"/>
    <n v="3477.64"/>
    <n v="3477.64"/>
    <n v="3477.6399999996647"/>
  </r>
  <r>
    <x v="1"/>
    <x v="1"/>
    <x v="5"/>
    <m/>
    <x v="0"/>
    <n v="520101010009"/>
    <s v="Desahucio Ventas                                                      "/>
    <n v="249.45"/>
    <n v="0"/>
    <n v="1357.22"/>
    <n v="0"/>
    <n v="0"/>
    <n v="0"/>
    <n v="0"/>
    <n v="0"/>
    <n v="0"/>
    <n v="271.81"/>
    <n v="2080"/>
    <n v="3618.95"/>
    <n v="7577.43"/>
    <n v="7577.429999999702"/>
  </r>
  <r>
    <x v="1"/>
    <x v="1"/>
    <x v="5"/>
    <m/>
    <x v="0"/>
    <n v="520101010011"/>
    <s v="Bonificaciones Voluntarias Ventas                                     "/>
    <n v="0"/>
    <n v="0"/>
    <n v="2500"/>
    <n v="0"/>
    <n v="0"/>
    <n v="0"/>
    <n v="0"/>
    <n v="0"/>
    <n v="12992.51"/>
    <n v="0"/>
    <n v="0"/>
    <n v="0"/>
    <n v="15492.51"/>
    <n v="15492.509999999776"/>
  </r>
  <r>
    <x v="1"/>
    <x v="1"/>
    <x v="5"/>
    <m/>
    <x v="0"/>
    <n v="520101010012"/>
    <s v="Jubilación Patronal Ventas                                            "/>
    <n v="0"/>
    <n v="0"/>
    <n v="0"/>
    <n v="0"/>
    <n v="0"/>
    <n v="0"/>
    <n v="0"/>
    <n v="0"/>
    <n v="0"/>
    <n v="0"/>
    <n v="0"/>
    <n v="10765.23"/>
    <n v="10765.23"/>
    <n v="10765.230000000447"/>
  </r>
  <r>
    <x v="1"/>
    <x v="1"/>
    <x v="6"/>
    <m/>
    <x v="0"/>
    <n v="520101020002"/>
    <s v="Alimentacion Ventas                                                   "/>
    <n v="94.89"/>
    <n v="242.1"/>
    <n v="848.05"/>
    <n v="390.55"/>
    <n v="315.66000000000003"/>
    <n v="1847.35"/>
    <n v="245.45"/>
    <n v="87.76"/>
    <n v="542.5"/>
    <n v="1085.69"/>
    <n v="563.37"/>
    <n v="23.7"/>
    <n v="6287.07"/>
    <n v="6287.0699999993667"/>
  </r>
  <r>
    <x v="1"/>
    <x v="1"/>
    <x v="6"/>
    <m/>
    <x v="0"/>
    <n v="520101020006"/>
    <s v="Capacitación y Seminarios Ventas                                      "/>
    <n v="0"/>
    <n v="0"/>
    <n v="600"/>
    <n v="0"/>
    <n v="765"/>
    <n v="0"/>
    <n v="0"/>
    <n v="0"/>
    <n v="0"/>
    <n v="0"/>
    <n v="234"/>
    <n v="213.6"/>
    <n v="1812.6"/>
    <n v="1812.5999999996275"/>
  </r>
  <r>
    <x v="1"/>
    <x v="1"/>
    <x v="6"/>
    <m/>
    <x v="0"/>
    <n v="520101020007"/>
    <s v="Agasajo al Personal Ventas                                            "/>
    <n v="0"/>
    <n v="0"/>
    <n v="0"/>
    <n v="0"/>
    <n v="75.25"/>
    <n v="0"/>
    <n v="0"/>
    <n v="0"/>
    <n v="0"/>
    <n v="0"/>
    <n v="0"/>
    <n v="133.38"/>
    <n v="208.63"/>
    <n v="208.62999999988824"/>
  </r>
  <r>
    <x v="1"/>
    <x v="1"/>
    <x v="6"/>
    <m/>
    <x v="0"/>
    <n v="520101020008"/>
    <s v="Otros gastos de personal Ventas                                       "/>
    <n v="0"/>
    <n v="116.14"/>
    <n v="0"/>
    <n v="0"/>
    <n v="0"/>
    <n v="10"/>
    <n v="0"/>
    <n v="0"/>
    <n v="146.56"/>
    <n v="0"/>
    <n v="0"/>
    <n v="0"/>
    <n v="272.7"/>
    <n v="272.69999999925494"/>
  </r>
  <r>
    <x v="1"/>
    <x v="1"/>
    <x v="7"/>
    <m/>
    <x v="0"/>
    <n v="520101030001"/>
    <s v="Comisiones a Terceros                                                 "/>
    <n v="0"/>
    <n v="608.65"/>
    <n v="0"/>
    <n v="0"/>
    <n v="0"/>
    <n v="0"/>
    <n v="0"/>
    <n v="0"/>
    <n v="0"/>
    <n v="0"/>
    <n v="0"/>
    <n v="0"/>
    <n v="608.65"/>
    <n v="608.65000000037253"/>
  </r>
  <r>
    <x v="1"/>
    <x v="1"/>
    <x v="7"/>
    <m/>
    <x v="0"/>
    <n v="520101030002"/>
    <s v="Promoción y Publicidad                                                "/>
    <n v="118.29"/>
    <n v="3600"/>
    <n v="0"/>
    <n v="0"/>
    <n v="0"/>
    <n v="180"/>
    <n v="0"/>
    <n v="900"/>
    <n v="6431.74"/>
    <n v="989.14"/>
    <n v="0"/>
    <n v="0"/>
    <n v="12219.169999999998"/>
    <n v="12219.169999999925"/>
  </r>
  <r>
    <x v="1"/>
    <x v="1"/>
    <x v="7"/>
    <m/>
    <x v="0"/>
    <n v="520101030003"/>
    <s v="Gastos de Viaje Ventas                                                "/>
    <n v="1034.94"/>
    <n v="2419"/>
    <n v="0"/>
    <n v="1812"/>
    <n v="0"/>
    <n v="0"/>
    <n v="242.4"/>
    <n v="409"/>
    <n v="0"/>
    <n v="154"/>
    <n v="1235"/>
    <n v="669"/>
    <n v="7975.34"/>
    <n v="7975.3400000007823"/>
  </r>
  <r>
    <x v="1"/>
    <x v="1"/>
    <x v="7"/>
    <m/>
    <x v="0"/>
    <n v="520101030004"/>
    <s v="Mant. Vehiculos Ventas                                                "/>
    <n v="0"/>
    <n v="1064.92"/>
    <n v="90.5"/>
    <n v="0"/>
    <n v="802"/>
    <n v="717.64"/>
    <n v="554.37"/>
    <n v="1288.96"/>
    <n v="100.8"/>
    <n v="719.98"/>
    <n v="0"/>
    <n v="152.33000000000001"/>
    <n v="5491.5"/>
    <n v="5491.5"/>
  </r>
  <r>
    <x v="1"/>
    <x v="1"/>
    <x v="7"/>
    <m/>
    <x v="0"/>
    <n v="520101030005"/>
    <s v="Combustibles Ventas                                                   "/>
    <n v="930.4"/>
    <n v="1130.06"/>
    <n v="1215.33"/>
    <n v="1068.52"/>
    <n v="1181.93"/>
    <n v="1618.51"/>
    <n v="1575.41"/>
    <n v="1664.71"/>
    <n v="1787.31"/>
    <n v="1552.31"/>
    <n v="1583.62"/>
    <n v="1155.02"/>
    <n v="16463.129999999997"/>
    <n v="16463.129999998026"/>
  </r>
  <r>
    <x v="1"/>
    <x v="1"/>
    <x v="7"/>
    <m/>
    <x v="0"/>
    <n v="520101030006"/>
    <s v="Gastos de Exportación                                                 "/>
    <n v="3875.95"/>
    <n v="4509.8"/>
    <n v="15107.75"/>
    <n v="3059.8"/>
    <n v="1100"/>
    <n v="7671.79"/>
    <n v="3704.95"/>
    <n v="10664.34"/>
    <n v="2950"/>
    <n v="7312.24"/>
    <n v="10539.94"/>
    <n v="2760"/>
    <n v="73256.559999999983"/>
    <n v="73256.560000000522"/>
  </r>
  <r>
    <x v="1"/>
    <x v="1"/>
    <x v="7"/>
    <m/>
    <x v="0"/>
    <n v="520101030007"/>
    <s v="Atención a clientes                                                   "/>
    <n v="1094.58"/>
    <n v="578.29999999999995"/>
    <n v="192.43"/>
    <n v="30.07"/>
    <n v="408.57"/>
    <n v="451.23"/>
    <n v="274.89999999999998"/>
    <n v="1154.46"/>
    <n v="196.69"/>
    <n v="15193.86"/>
    <n v="773.65"/>
    <n v="9600.64"/>
    <n v="29949.38"/>
    <n v="29949.380000002682"/>
  </r>
  <r>
    <x v="1"/>
    <x v="1"/>
    <x v="7"/>
    <m/>
    <x v="0"/>
    <n v="520101030008"/>
    <s v="Gastos Viaticos                                                       "/>
    <n v="1039.47"/>
    <n v="2244.6"/>
    <n v="1486.56"/>
    <n v="1393.81"/>
    <n v="870.46"/>
    <n v="2115.46"/>
    <n v="1059.3800000000001"/>
    <n v="1871.22"/>
    <n v="2190.8200000000002"/>
    <n v="1575.98"/>
    <n v="1304.57"/>
    <n v="474.93"/>
    <n v="17627.259999999998"/>
    <n v="17627.260000005364"/>
  </r>
  <r>
    <x v="1"/>
    <x v="1"/>
    <x v="7"/>
    <m/>
    <x v="0"/>
    <n v="520101030010"/>
    <s v="Suministros, materiales y repuestos Ventas                            "/>
    <n v="0"/>
    <n v="0"/>
    <n v="27.97"/>
    <n v="0"/>
    <n v="46.3"/>
    <n v="12.26"/>
    <n v="0"/>
    <n v="0"/>
    <n v="0"/>
    <n v="0"/>
    <n v="0"/>
    <n v="82"/>
    <n v="168.53"/>
    <n v="168.53000000119209"/>
  </r>
  <r>
    <x v="1"/>
    <x v="1"/>
    <x v="7"/>
    <m/>
    <x v="0"/>
    <n v="520101030011"/>
    <s v="Suministros de oficina y comput ventas y diseño                       "/>
    <n v="1456.2"/>
    <n v="27.07"/>
    <n v="311.99"/>
    <n v="750.5"/>
    <n v="1464.39"/>
    <n v="1883.25"/>
    <n v="680"/>
    <n v="75"/>
    <n v="1593"/>
    <n v="698.69"/>
    <n v="25"/>
    <n v="900"/>
    <n v="9865.090000000002"/>
    <n v="9865.089999999851"/>
  </r>
  <r>
    <x v="1"/>
    <x v="1"/>
    <x v="7"/>
    <m/>
    <x v="0"/>
    <n v="520101030012"/>
    <s v="Movilizacion Ventas                                                   "/>
    <n v="10"/>
    <n v="0"/>
    <n v="2.5"/>
    <n v="0"/>
    <n v="0"/>
    <n v="0"/>
    <n v="0"/>
    <n v="0"/>
    <n v="9"/>
    <n v="47.13"/>
    <n v="6"/>
    <n v="0"/>
    <n v="74.63"/>
    <n v="74.630000000819564"/>
  </r>
  <r>
    <x v="1"/>
    <x v="1"/>
    <x v="7"/>
    <m/>
    <x v="0"/>
    <n v="520101030013"/>
    <s v="Obsequios y muestras a clientes (autoconsumo)                         "/>
    <n v="0"/>
    <n v="8652.06"/>
    <n v="0"/>
    <n v="7308.21"/>
    <n v="220.15"/>
    <n v="44.34"/>
    <n v="710.19"/>
    <n v="179.19"/>
    <n v="843.49"/>
    <n v="0"/>
    <n v="253.94"/>
    <n v="12176.19"/>
    <n v="30387.760000000002"/>
    <n v="30387.759999999776"/>
  </r>
  <r>
    <x v="1"/>
    <x v="1"/>
    <x v="7"/>
    <m/>
    <x v="0"/>
    <n v="520101030014"/>
    <s v="Gastos de depreciación de equipos de computación                      "/>
    <n v="0"/>
    <n v="0"/>
    <n v="0"/>
    <n v="110.62"/>
    <n v="122.54"/>
    <n v="132.77000000000001"/>
    <n v="133.12"/>
    <n v="133.12"/>
    <n v="133.12"/>
    <n v="133.12"/>
    <n v="133.12"/>
    <n v="149.19999999999999"/>
    <n v="1180.7300000000002"/>
    <n v="1180.7299999929965"/>
  </r>
  <r>
    <x v="1"/>
    <x v="1"/>
    <x v="7"/>
    <m/>
    <x v="0"/>
    <n v="520101030015"/>
    <s v="Seguros vehículos ventas                                              "/>
    <n v="0"/>
    <n v="0"/>
    <n v="0"/>
    <n v="0"/>
    <n v="0"/>
    <n v="0"/>
    <n v="0"/>
    <n v="0"/>
    <n v="0"/>
    <n v="37.700000000000003"/>
    <n v="59.52"/>
    <n v="65.92"/>
    <n v="163.13999999999999"/>
    <n v="163.1399999987334"/>
  </r>
  <r>
    <x v="1"/>
    <x v="2"/>
    <x v="8"/>
    <m/>
    <x v="0"/>
    <n v="520201010001"/>
    <s v="Sueldos                                                               "/>
    <n v="13982.24"/>
    <n v="14403.91"/>
    <n v="13657.24"/>
    <n v="14977.24"/>
    <n v="15057.24"/>
    <n v="15182.24"/>
    <n v="15182.24"/>
    <n v="15207.24"/>
    <n v="17207.240000000002"/>
    <n v="17207.240000000002"/>
    <n v="17207.240000000002"/>
    <n v="14943.9"/>
    <n v="184215.21"/>
    <n v="184215.21000000276"/>
  </r>
  <r>
    <x v="1"/>
    <x v="2"/>
    <x v="8"/>
    <m/>
    <x v="0"/>
    <n v="520201010002"/>
    <s v="Sobretiempos                                                          "/>
    <n v="71.010000000000005"/>
    <n v="535.54999999999995"/>
    <n v="443"/>
    <n v="347.47"/>
    <n v="685.31"/>
    <n v="473.34"/>
    <n v="479.01"/>
    <n v="851.79"/>
    <n v="335.34"/>
    <n v="311.04000000000002"/>
    <n v="585.39"/>
    <n v="258.48"/>
    <n v="5376.7300000000014"/>
    <n v="5376.730000000447"/>
  </r>
  <r>
    <x v="1"/>
    <x v="2"/>
    <x v="8"/>
    <m/>
    <x v="0"/>
    <n v="520201010003"/>
    <s v="Aporte Patronal 12.15%                                                "/>
    <n v="1707.54"/>
    <n v="1815.21"/>
    <n v="1725.39"/>
    <n v="2007.81"/>
    <n v="1912.79"/>
    <n v="1902.22"/>
    <n v="1902.88"/>
    <n v="1951.23"/>
    <n v="2131.46"/>
    <n v="2128.5300000000002"/>
    <n v="2161.8200000000002"/>
    <n v="1847.11"/>
    <n v="23193.989999999998"/>
    <n v="23193.990000002086"/>
  </r>
  <r>
    <x v="1"/>
    <x v="2"/>
    <x v="8"/>
    <m/>
    <x v="0"/>
    <n v="520201010004"/>
    <s v="Fondo de Reserva                                                      "/>
    <n v="735.66"/>
    <n v="809.78"/>
    <n v="802.08"/>
    <n v="1019.11"/>
    <n v="1122.25"/>
    <n v="1113.98"/>
    <n v="1112.1099999999999"/>
    <n v="1148.6400000000001"/>
    <n v="1116.02"/>
    <n v="1134.83"/>
    <n v="1157.67"/>
    <n v="916.54"/>
    <n v="12188.670000000002"/>
    <n v="12188.669999998063"/>
  </r>
  <r>
    <x v="1"/>
    <x v="2"/>
    <x v="8"/>
    <m/>
    <x v="0"/>
    <n v="520201010005"/>
    <s v="Decimo Tercer Sueldo                                                  "/>
    <n v="1171.0999999999999"/>
    <n v="1244.97"/>
    <n v="1183.3499999999999"/>
    <n v="1377.07"/>
    <n v="1311.9"/>
    <n v="1304.6199999999999"/>
    <n v="1305.0999999999999"/>
    <n v="1338.25"/>
    <n v="1461.88"/>
    <n v="1459.86"/>
    <n v="1482.73"/>
    <n v="1266.8699999999999"/>
    <n v="15907.699999999997"/>
    <n v="15907.699999999255"/>
  </r>
  <r>
    <x v="1"/>
    <x v="2"/>
    <x v="8"/>
    <m/>
    <x v="0"/>
    <n v="520201010006"/>
    <s v="Decimo Cuarto Sueldo                                                  "/>
    <n v="562.5"/>
    <n v="589.58000000000004"/>
    <n v="562.5"/>
    <n v="591.66999999999996"/>
    <n v="593.75"/>
    <n v="593.75"/>
    <n v="593.75"/>
    <n v="593.75"/>
    <n v="625"/>
    <n v="625"/>
    <n v="625"/>
    <n v="615.62"/>
    <n v="7171.87"/>
    <n v="7171.8699999991804"/>
  </r>
  <r>
    <x v="1"/>
    <x v="2"/>
    <x v="8"/>
    <m/>
    <x v="0"/>
    <n v="520201010007"/>
    <s v="Vacaciones                                                            "/>
    <n v="0"/>
    <n v="-25.08"/>
    <n v="0"/>
    <n v="0"/>
    <n v="0"/>
    <n v="0"/>
    <n v="0"/>
    <n v="0"/>
    <n v="0"/>
    <n v="0"/>
    <n v="0"/>
    <n v="678.88"/>
    <n v="653.79999999999995"/>
    <n v="653.80000000074506"/>
  </r>
  <r>
    <x v="1"/>
    <x v="2"/>
    <x v="8"/>
    <m/>
    <x v="0"/>
    <n v="520201010008"/>
    <s v="Desahucio Administración                                              "/>
    <n v="0"/>
    <n v="0"/>
    <n v="0"/>
    <n v="0"/>
    <n v="0"/>
    <n v="0"/>
    <n v="0"/>
    <n v="0"/>
    <n v="0"/>
    <n v="0"/>
    <n v="0"/>
    <n v="1375.61"/>
    <n v="1375.61"/>
    <n v="1375.609999999404"/>
  </r>
  <r>
    <x v="1"/>
    <x v="2"/>
    <x v="8"/>
    <m/>
    <x v="0"/>
    <n v="520201010009"/>
    <s v="Indemnización Administración                                          "/>
    <n v="0"/>
    <n v="2100"/>
    <n v="0"/>
    <n v="0"/>
    <n v="0"/>
    <n v="0"/>
    <n v="0"/>
    <n v="0"/>
    <n v="0"/>
    <n v="0"/>
    <n v="0"/>
    <n v="0"/>
    <n v="2100"/>
    <n v="2100"/>
  </r>
  <r>
    <x v="1"/>
    <x v="2"/>
    <x v="8"/>
    <m/>
    <x v="0"/>
    <n v="520201010010"/>
    <s v="Bonificaciones Voluntarias Administración                             "/>
    <n v="0"/>
    <n v="0"/>
    <n v="0"/>
    <n v="1200"/>
    <n v="0"/>
    <n v="0"/>
    <n v="0"/>
    <n v="0"/>
    <n v="0"/>
    <n v="0"/>
    <n v="0"/>
    <n v="0"/>
    <n v="1200"/>
    <n v="1200"/>
  </r>
  <r>
    <x v="1"/>
    <x v="2"/>
    <x v="8"/>
    <m/>
    <x v="0"/>
    <n v="520201010011"/>
    <s v="Jubilación Patronal Administración                                    "/>
    <n v="0"/>
    <n v="0"/>
    <n v="0"/>
    <n v="0"/>
    <n v="0"/>
    <n v="0"/>
    <n v="0"/>
    <n v="0"/>
    <n v="0"/>
    <n v="0"/>
    <n v="0"/>
    <n v="4061.39"/>
    <n v="4061.39"/>
    <n v="4061.390000000596"/>
  </r>
  <r>
    <x v="1"/>
    <x v="2"/>
    <x v="8"/>
    <m/>
    <x v="0"/>
    <n v="520201010013"/>
    <s v="Salario Digno                                                         "/>
    <n v="0"/>
    <n v="0"/>
    <n v="0"/>
    <n v="0"/>
    <n v="0"/>
    <n v="0"/>
    <n v="0"/>
    <n v="0"/>
    <n v="0"/>
    <n v="0"/>
    <n v="0"/>
    <n v="35.65"/>
    <n v="35.65"/>
    <n v="35.650000000372529"/>
  </r>
  <r>
    <x v="1"/>
    <x v="2"/>
    <x v="6"/>
    <m/>
    <x v="0"/>
    <n v="520201020002"/>
    <s v="Alimentacion Administración                                           "/>
    <n v="842.46"/>
    <n v="742.13"/>
    <n v="571.66"/>
    <n v="829.4"/>
    <n v="1184.2"/>
    <n v="2227.35"/>
    <n v="744.68"/>
    <n v="972.93"/>
    <n v="1021.24"/>
    <n v="592.9"/>
    <n v="719.36"/>
    <n v="1016.85"/>
    <n v="11465.160000000002"/>
    <n v="11465.160000000149"/>
  </r>
  <r>
    <x v="1"/>
    <x v="2"/>
    <x v="6"/>
    <m/>
    <x v="0"/>
    <n v="520201020003"/>
    <s v="Movilizacion/Transp de Personal Administración                        "/>
    <n v="0"/>
    <n v="120"/>
    <n v="60"/>
    <n v="160"/>
    <n v="160"/>
    <n v="160"/>
    <n v="160"/>
    <n v="160"/>
    <n v="160"/>
    <n v="160"/>
    <n v="160"/>
    <n v="160"/>
    <n v="1620"/>
    <n v="1620"/>
  </r>
  <r>
    <x v="1"/>
    <x v="2"/>
    <x v="6"/>
    <m/>
    <x v="0"/>
    <n v="520201020004"/>
    <s v="Gastos Médicos ventas y administración                                "/>
    <n v="20.67"/>
    <n v="29.42"/>
    <n v="0"/>
    <n v="17.149999999999999"/>
    <n v="0"/>
    <n v="3.87"/>
    <n v="11"/>
    <n v="11.31"/>
    <n v="0"/>
    <n v="12.49"/>
    <n v="41.2"/>
    <n v="0"/>
    <n v="147.11000000000001"/>
    <n v="147.10999999940395"/>
  </r>
  <r>
    <x v="1"/>
    <x v="2"/>
    <x v="6"/>
    <m/>
    <x v="0"/>
    <n v="520201020005"/>
    <s v="Uniformes personal ventas y administrativo                            "/>
    <n v="0"/>
    <n v="0"/>
    <n v="-266.5"/>
    <n v="266.5"/>
    <n v="0"/>
    <n v="0"/>
    <n v="0"/>
    <n v="0"/>
    <n v="0"/>
    <n v="0"/>
    <n v="0"/>
    <n v="0"/>
    <n v="0"/>
    <n v="0"/>
  </r>
  <r>
    <x v="1"/>
    <x v="2"/>
    <x v="6"/>
    <m/>
    <x v="0"/>
    <n v="520201020006"/>
    <s v="Capacitación y Seminarios Administración                              "/>
    <n v="100"/>
    <n v="700"/>
    <n v="0"/>
    <n v="0"/>
    <n v="1155"/>
    <n v="6700"/>
    <n v="0"/>
    <n v="0"/>
    <n v="0"/>
    <n v="73.209999999999994"/>
    <n v="70"/>
    <n v="0"/>
    <n v="8798.2099999999991"/>
    <n v="8798.2100000008941"/>
  </r>
  <r>
    <x v="1"/>
    <x v="2"/>
    <x v="6"/>
    <m/>
    <x v="0"/>
    <n v="520201020007"/>
    <s v="Agasajo al Personal Administración                                    "/>
    <n v="51.02"/>
    <n v="74.099999999999994"/>
    <n v="0"/>
    <n v="0"/>
    <n v="158.35"/>
    <n v="3.75"/>
    <n v="97.71"/>
    <n v="704.55"/>
    <n v="0"/>
    <n v="0"/>
    <n v="260"/>
    <n v="1726.81"/>
    <n v="3076.29"/>
    <n v="3076.2900000009686"/>
  </r>
  <r>
    <x v="1"/>
    <x v="2"/>
    <x v="6"/>
    <m/>
    <x v="0"/>
    <n v="520201020008"/>
    <s v="Otros gastos de personal Administración                               "/>
    <n v="0"/>
    <n v="0"/>
    <n v="48.75"/>
    <n v="0"/>
    <n v="0"/>
    <n v="0"/>
    <n v="0"/>
    <n v="0"/>
    <n v="259.10000000000002"/>
    <n v="0"/>
    <n v="0"/>
    <n v="54621.25"/>
    <n v="54929.1"/>
    <n v="54929.099999999627"/>
  </r>
  <r>
    <x v="1"/>
    <x v="2"/>
    <x v="9"/>
    <m/>
    <x v="0"/>
    <n v="520202010001"/>
    <s v="Honorarios Profesionales                                              "/>
    <n v="11766"/>
    <n v="10734"/>
    <n v="10975"/>
    <n v="10205"/>
    <n v="18880.560000000001"/>
    <n v="35252.78"/>
    <n v="24695"/>
    <n v="20315.59"/>
    <n v="21375"/>
    <n v="48812.92"/>
    <n v="39738.339999999997"/>
    <n v="78835"/>
    <n v="331585.18999999994"/>
    <n v="331585.18999999948"/>
  </r>
  <r>
    <x v="1"/>
    <x v="2"/>
    <x v="9"/>
    <m/>
    <x v="0"/>
    <n v="520202010005"/>
    <s v="Auditorías                                                            "/>
    <n v="0"/>
    <n v="0"/>
    <n v="2000"/>
    <n v="39.9"/>
    <n v="2056.04"/>
    <n v="0"/>
    <n v="0"/>
    <n v="250"/>
    <n v="0"/>
    <n v="0"/>
    <n v="0"/>
    <n v="0"/>
    <n v="4345.9400000000005"/>
    <n v="4345.9399999994785"/>
  </r>
  <r>
    <x v="1"/>
    <x v="2"/>
    <x v="10"/>
    <m/>
    <x v="0"/>
    <n v="520203010001"/>
    <s v="Mantenimiento de Edificios y oficinas Administración                  "/>
    <n v="3661.39"/>
    <n v="2066.41"/>
    <n v="2368.04"/>
    <n v="9909.7900000000009"/>
    <n v="2573.89"/>
    <n v="47461.599999999999"/>
    <n v="-1002.28"/>
    <n v="20391.21"/>
    <n v="5702.82"/>
    <n v="29169.29"/>
    <n v="272.5"/>
    <n v="4893.33"/>
    <n v="127467.99"/>
    <n v="127467.99000000022"/>
  </r>
  <r>
    <x v="1"/>
    <x v="2"/>
    <x v="10"/>
    <m/>
    <x v="0"/>
    <n v="520203010002"/>
    <s v="Mantenimiento Instalaciones                                           "/>
    <n v="1267.9000000000001"/>
    <n v="4242.21"/>
    <n v="324.42"/>
    <n v="1590"/>
    <n v="320.85000000000002"/>
    <n v="30029.13"/>
    <n v="4094.83"/>
    <n v="12815.93"/>
    <n v="6528.75"/>
    <n v="9120.86"/>
    <n v="70169.05"/>
    <n v="5852.83"/>
    <n v="146356.75999999998"/>
    <n v="146356.76000000164"/>
  </r>
  <r>
    <x v="1"/>
    <x v="2"/>
    <x v="10"/>
    <m/>
    <x v="0"/>
    <n v="520203010003"/>
    <s v="Mant. Vehiculos Administracion                                        "/>
    <n v="408.92"/>
    <n v="729.66"/>
    <n v="237.19"/>
    <n v="1464.53"/>
    <n v="474.23"/>
    <n v="108.72"/>
    <n v="412.89"/>
    <n v="300.52999999999997"/>
    <n v="1588.22"/>
    <n v="88.76"/>
    <n v="787.09"/>
    <n v="578.61"/>
    <n v="7179.35"/>
    <n v="7179.3499999996275"/>
  </r>
  <r>
    <x v="1"/>
    <x v="2"/>
    <x v="10"/>
    <m/>
    <x v="0"/>
    <n v="520203010004"/>
    <s v="Mantenimiento Muebles y Equipos Administración                        "/>
    <n v="333"/>
    <n v="4831.46"/>
    <n v="3800"/>
    <n v="103"/>
    <n v="0"/>
    <n v="105"/>
    <n v="2918"/>
    <n v="2632"/>
    <n v="1984.38"/>
    <n v="585.05999999999995"/>
    <n v="1470"/>
    <n v="175"/>
    <n v="18936.900000000001"/>
    <n v="18936.900000002235"/>
  </r>
  <r>
    <x v="1"/>
    <x v="2"/>
    <x v="10"/>
    <m/>
    <x v="0"/>
    <n v="520203010005"/>
    <s v="Combustibles Administración                                           "/>
    <n v="767.18"/>
    <n v="702.77"/>
    <n v="677.69"/>
    <n v="399.95"/>
    <n v="604.04999999999995"/>
    <n v="672.97"/>
    <n v="791.82"/>
    <n v="841.07"/>
    <n v="506.91"/>
    <n v="1036.05"/>
    <n v="737.85"/>
    <n v="899.44"/>
    <n v="8637.75"/>
    <n v="8637.75"/>
  </r>
  <r>
    <x v="1"/>
    <x v="2"/>
    <x v="10"/>
    <m/>
    <x v="0"/>
    <n v="520203010007"/>
    <s v="Matricula e impuestos  vehicular  Adm                                 "/>
    <n v="0"/>
    <n v="1219.0899999999999"/>
    <n v="0"/>
    <n v="0"/>
    <n v="1866.82"/>
    <n v="130.29"/>
    <n v="-114.75"/>
    <n v="0"/>
    <n v="456.78"/>
    <n v="31.27"/>
    <n v="789.11"/>
    <n v="0"/>
    <n v="4378.6099999999997"/>
    <n v="4378.6099999975413"/>
  </r>
  <r>
    <x v="1"/>
    <x v="2"/>
    <x v="11"/>
    <m/>
    <x v="0"/>
    <n v="520204010001"/>
    <s v="Seguro Responsabilidad Civil                                          "/>
    <n v="17.14"/>
    <n v="17.14"/>
    <n v="17.14"/>
    <n v="17.149999999999999"/>
    <n v="17.149999999999999"/>
    <n v="17.149999999999999"/>
    <n v="17.149999999999999"/>
    <n v="17.149999999999999"/>
    <n v="17.149999999999999"/>
    <n v="18.57"/>
    <n v="15"/>
    <n v="15"/>
    <n v="202.89000000000001"/>
    <n v="202.89000000432134"/>
  </r>
  <r>
    <x v="1"/>
    <x v="2"/>
    <x v="11"/>
    <m/>
    <x v="0"/>
    <n v="520204010002"/>
    <s v="Seguro de Vehiculos                                                   "/>
    <n v="447.94"/>
    <n v="447.94"/>
    <n v="447.94"/>
    <n v="447.94"/>
    <n v="1040.18"/>
    <n v="447.94"/>
    <n v="527.24"/>
    <n v="354.44"/>
    <n v="500.5"/>
    <n v="475.06"/>
    <n v="345.11"/>
    <n v="345.11"/>
    <n v="5827.3399999999992"/>
    <n v="5827.3399999961257"/>
  </r>
  <r>
    <x v="1"/>
    <x v="2"/>
    <x v="11"/>
    <m/>
    <x v="0"/>
    <n v="520204010003"/>
    <s v="Seguro de Contra Incendios                                            "/>
    <n v="120.89"/>
    <n v="120.89"/>
    <n v="120.89"/>
    <n v="120.89"/>
    <n v="120.89"/>
    <n v="120.89"/>
    <n v="120.89"/>
    <n v="120.89"/>
    <n v="120.89"/>
    <n v="141.04"/>
    <n v="120.89"/>
    <n v="120.89"/>
    <n v="1470.8300000000002"/>
    <n v="1470.8300000056624"/>
  </r>
  <r>
    <x v="1"/>
    <x v="2"/>
    <x v="11"/>
    <m/>
    <x v="0"/>
    <n v="520204010004"/>
    <s v="Seguro Contra Asalto y Robos                                          "/>
    <n v="16.8"/>
    <n v="16.8"/>
    <n v="16.8"/>
    <n v="16.8"/>
    <n v="16.8"/>
    <n v="16.8"/>
    <n v="16.8"/>
    <n v="16.8"/>
    <n v="16.8"/>
    <n v="16.57"/>
    <n v="12.01"/>
    <n v="12.01"/>
    <n v="191.79"/>
    <n v="191.79000000655651"/>
  </r>
  <r>
    <x v="1"/>
    <x v="2"/>
    <x v="11"/>
    <m/>
    <x v="0"/>
    <n v="520204010005"/>
    <s v="Seguro SENAE                                                          "/>
    <n v="0"/>
    <n v="0"/>
    <n v="0"/>
    <n v="0"/>
    <n v="0"/>
    <n v="0"/>
    <n v="0"/>
    <n v="0"/>
    <n v="1006.83"/>
    <n v="0"/>
    <n v="0"/>
    <n v="0"/>
    <n v="1006.83"/>
    <n v="1006.8300000000745"/>
  </r>
  <r>
    <x v="1"/>
    <x v="2"/>
    <x v="11"/>
    <m/>
    <x v="0"/>
    <n v="520204010007"/>
    <s v="Otros seguros                                                         "/>
    <n v="0"/>
    <n v="0"/>
    <n v="17.77"/>
    <n v="35.54"/>
    <n v="17.77"/>
    <n v="0"/>
    <n v="0"/>
    <n v="0"/>
    <n v="35.54"/>
    <n v="167.05"/>
    <n v="0"/>
    <n v="0"/>
    <n v="273.67"/>
    <n v="273.66999999806285"/>
  </r>
  <r>
    <x v="1"/>
    <x v="2"/>
    <x v="12"/>
    <m/>
    <x v="0"/>
    <n v="520205010001"/>
    <s v="Gastos de Viaje Administración                                        "/>
    <n v="0"/>
    <n v="1420"/>
    <n v="6666"/>
    <n v="2781"/>
    <n v="308"/>
    <n v="0"/>
    <n v="560"/>
    <n v="493"/>
    <n v="574.82000000000005"/>
    <n v="0"/>
    <n v="2286.8200000000002"/>
    <n v="2736.02"/>
    <n v="17825.66"/>
    <n v="17825.660000000149"/>
  </r>
  <r>
    <x v="1"/>
    <x v="2"/>
    <x v="12"/>
    <m/>
    <x v="0"/>
    <n v="520205010002"/>
    <s v="Gastos de Gestión                                                     "/>
    <n v="666.67"/>
    <n v="0"/>
    <n v="0"/>
    <n v="1140.0899999999999"/>
    <n v="2668.94"/>
    <n v="585.91999999999996"/>
    <n v="227.99"/>
    <n v="206.09"/>
    <n v="0"/>
    <n v="1226.54"/>
    <n v="535.04"/>
    <n v="0"/>
    <n v="7257.28"/>
    <n v="7257.2799999974668"/>
  </r>
  <r>
    <x v="1"/>
    <x v="2"/>
    <x v="12"/>
    <m/>
    <x v="0"/>
    <n v="520205010003"/>
    <s v="Telefonía Celular                                                     "/>
    <n v="1054.8"/>
    <n v="1341.6"/>
    <n v="950.67"/>
    <n v="943.68"/>
    <n v="917.09"/>
    <n v="748.8"/>
    <n v="19.97"/>
    <n v="21"/>
    <n v="18.09"/>
    <n v="15"/>
    <n v="15"/>
    <n v="15"/>
    <n v="6060.7000000000007"/>
    <n v="6060.7000000011176"/>
  </r>
  <r>
    <x v="1"/>
    <x v="2"/>
    <x v="12"/>
    <m/>
    <x v="0"/>
    <n v="520205010004"/>
    <s v="Correo y Courrier                                                     "/>
    <n v="35.979999999999997"/>
    <n v="84.5"/>
    <n v="294.11"/>
    <n v="97.98"/>
    <n v="171.3"/>
    <n v="128.30000000000001"/>
    <n v="175.4"/>
    <n v="272.32"/>
    <n v="573.32000000000005"/>
    <n v="339.69"/>
    <n v="457.08"/>
    <n v="434.66"/>
    <n v="3064.64"/>
    <n v="3064.6400000024587"/>
  </r>
  <r>
    <x v="1"/>
    <x v="2"/>
    <x v="12"/>
    <m/>
    <x v="0"/>
    <n v="520205010005"/>
    <s v="Suministros de Oficina y Computación                                  "/>
    <n v="1299.1199999999999"/>
    <n v="2141.89"/>
    <n v="838.69"/>
    <n v="877.26"/>
    <n v="523.91999999999996"/>
    <n v="1048.71"/>
    <n v="968.2"/>
    <n v="462.5"/>
    <n v="366.82"/>
    <n v="1779.53"/>
    <n v="423.19"/>
    <n v="3365.59"/>
    <n v="14095.420000000002"/>
    <n v="14095.419999998063"/>
  </r>
  <r>
    <x v="1"/>
    <x v="2"/>
    <x v="12"/>
    <m/>
    <x v="0"/>
    <n v="520205010006"/>
    <s v="Energía Eléctrica Administración                                      "/>
    <n v="1666.66"/>
    <n v="1472.75"/>
    <n v="1638.02"/>
    <n v="1812.11"/>
    <n v="1856.4"/>
    <n v="1839.5"/>
    <n v="1810.83"/>
    <n v="1297.3699999999999"/>
    <n v="1577.79"/>
    <n v="1794.78"/>
    <n v="1596.15"/>
    <n v="1499.67"/>
    <n v="19862.03"/>
    <n v="19862.029999997467"/>
  </r>
  <r>
    <x v="1"/>
    <x v="2"/>
    <x v="12"/>
    <m/>
    <x v="0"/>
    <n v="520205010007"/>
    <s v="Agua Administración                                                   "/>
    <n v="58.44"/>
    <n v="33.97"/>
    <n v="39.14"/>
    <n v="47.42"/>
    <n v="61.71"/>
    <n v="38.369999999999997"/>
    <n v="67.260000000000005"/>
    <n v="47.91"/>
    <n v="29.97"/>
    <n v="38.130000000000003"/>
    <n v="37.01"/>
    <n v="42.09"/>
    <n v="541.42000000000007"/>
    <n v="541.42000000178814"/>
  </r>
  <r>
    <x v="1"/>
    <x v="2"/>
    <x v="12"/>
    <m/>
    <x v="0"/>
    <n v="520205010008"/>
    <s v="Telefonía Convencional                                                "/>
    <n v="252.79"/>
    <n v="371.35"/>
    <n v="375.93"/>
    <n v="443.52"/>
    <n v="450.5"/>
    <n v="426.18"/>
    <n v="1402.19"/>
    <n v="1041.76"/>
    <n v="1052.01"/>
    <n v="1126.5899999999999"/>
    <n v="1029.3599999999999"/>
    <n v="1107.24"/>
    <n v="9079.42"/>
    <n v="9079.4199999962002"/>
  </r>
  <r>
    <x v="1"/>
    <x v="2"/>
    <x v="12"/>
    <m/>
    <x v="0"/>
    <n v="520205010009"/>
    <s v="Internet                                                              "/>
    <n v="740"/>
    <n v="740"/>
    <n v="740"/>
    <n v="740"/>
    <n v="740"/>
    <n v="740"/>
    <n v="740"/>
    <n v="740"/>
    <n v="740"/>
    <n v="740"/>
    <n v="740"/>
    <n v="740"/>
    <n v="8880"/>
    <n v="8880"/>
  </r>
  <r>
    <x v="1"/>
    <x v="2"/>
    <x v="12"/>
    <m/>
    <x v="0"/>
    <n v="520205010010"/>
    <s v="Utiles de Limpieza/Cafeteria                                          "/>
    <n v="294.31"/>
    <n v="340.05"/>
    <n v="285.69"/>
    <n v="136.65"/>
    <n v="351.98"/>
    <n v="140.03"/>
    <n v="344.28"/>
    <n v="305.01"/>
    <n v="80.37"/>
    <n v="333.75"/>
    <n v="261.45999999999998"/>
    <n v="53.73"/>
    <n v="2927.31"/>
    <n v="2927.3100000005215"/>
  </r>
  <r>
    <x v="1"/>
    <x v="2"/>
    <x v="12"/>
    <m/>
    <x v="0"/>
    <n v="520205010011"/>
    <s v="Gastos Menores de activos Administración                              "/>
    <n v="229"/>
    <n v="340"/>
    <n v="0"/>
    <n v="345"/>
    <n v="624.49"/>
    <n v="0"/>
    <n v="0"/>
    <n v="0"/>
    <n v="1150.44"/>
    <n v="0"/>
    <n v="113.39"/>
    <n v="1840.91"/>
    <n v="4643.2300000000005"/>
    <n v="4643.230000000447"/>
  </r>
  <r>
    <x v="1"/>
    <x v="2"/>
    <x v="12"/>
    <m/>
    <x v="0"/>
    <n v="520205010012"/>
    <s v="Donaciones                                                            "/>
    <n v="0"/>
    <n v="0"/>
    <n v="0"/>
    <n v="0"/>
    <n v="0"/>
    <n v="50"/>
    <n v="100"/>
    <n v="100"/>
    <n v="0"/>
    <n v="0"/>
    <n v="0"/>
    <n v="0"/>
    <n v="250"/>
    <n v="250"/>
  </r>
  <r>
    <x v="1"/>
    <x v="2"/>
    <x v="12"/>
    <m/>
    <x v="0"/>
    <n v="520205010013"/>
    <s v="Cuotas y Suscripciones                                                "/>
    <n v="662"/>
    <n v="562"/>
    <n v="662"/>
    <n v="562"/>
    <n v="662"/>
    <n v="562"/>
    <n v="662"/>
    <n v="562"/>
    <n v="662"/>
    <n v="562"/>
    <n v="562"/>
    <n v="662"/>
    <n v="7344"/>
    <n v="7344"/>
  </r>
  <r>
    <x v="1"/>
    <x v="2"/>
    <x v="12"/>
    <m/>
    <x v="0"/>
    <n v="520205010014"/>
    <s v="IVA no aplicado (gasto)                                               "/>
    <n v="5604.02"/>
    <n v="7992.3"/>
    <n v="5756.69"/>
    <n v="7178.9"/>
    <n v="8100.63"/>
    <n v="17752.12"/>
    <n v="8976.32"/>
    <n v="12913.04"/>
    <n v="31536.33"/>
    <n v="39874.1"/>
    <n v="21915.99"/>
    <n v="22536.06"/>
    <n v="190136.49999999997"/>
    <n v="190136.5"/>
  </r>
  <r>
    <x v="1"/>
    <x v="2"/>
    <x v="12"/>
    <m/>
    <x v="0"/>
    <n v="520205010015"/>
    <s v="Suministros, materiales y repuestos Administración                    "/>
    <n v="88.67"/>
    <n v="1878.5"/>
    <n v="39.21"/>
    <n v="30.78"/>
    <n v="454.13"/>
    <n v="11.28"/>
    <n v="0"/>
    <n v="0"/>
    <n v="0"/>
    <n v="7.13"/>
    <n v="0"/>
    <n v="10"/>
    <n v="2519.7000000000003"/>
    <n v="2519.7000000011176"/>
  </r>
  <r>
    <x v="1"/>
    <x v="2"/>
    <x v="12"/>
    <m/>
    <x v="0"/>
    <n v="520205010016"/>
    <s v="Arriendo                                                              "/>
    <n v="10000"/>
    <n v="10000"/>
    <n v="10000"/>
    <n v="10000"/>
    <n v="10000"/>
    <n v="10000"/>
    <n v="10563.48"/>
    <n v="10293.48"/>
    <n v="15293.48"/>
    <n v="15293.48"/>
    <n v="55293.48"/>
    <n v="15293.48"/>
    <n v="182030.88"/>
    <n v="182030.88000000268"/>
  </r>
  <r>
    <x v="1"/>
    <x v="2"/>
    <x v="12"/>
    <m/>
    <x v="0"/>
    <n v="520205010018"/>
    <s v="Multas e Intereses                                                    "/>
    <n v="0"/>
    <n v="614.97"/>
    <n v="76.37"/>
    <n v="0"/>
    <n v="112.5"/>
    <n v="0"/>
    <n v="114.75"/>
    <n v="210"/>
    <n v="0"/>
    <n v="2585.41"/>
    <n v="0"/>
    <n v="0"/>
    <n v="3714"/>
    <n v="3714"/>
  </r>
  <r>
    <x v="1"/>
    <x v="2"/>
    <x v="12"/>
    <m/>
    <x v="0"/>
    <n v="520205010020"/>
    <s v="Ajustes de centavos                                                   "/>
    <n v="-1.17"/>
    <n v="-3.07"/>
    <n v="0.15"/>
    <n v="-1.58"/>
    <n v="1.44"/>
    <n v="1.66"/>
    <n v="2.58"/>
    <n v="-0.24"/>
    <n v="0.23"/>
    <n v="-0.09"/>
    <n v="-0.16"/>
    <n v="0.25"/>
    <n v="0"/>
    <n v="0"/>
  </r>
  <r>
    <x v="1"/>
    <x v="2"/>
    <x v="12"/>
    <m/>
    <x v="0"/>
    <n v="520205010021"/>
    <s v="Gastos Legales                                                        "/>
    <n v="692.08"/>
    <n v="443.79"/>
    <n v="0"/>
    <n v="228"/>
    <n v="4325.6499999999996"/>
    <n v="56"/>
    <n v="373.8"/>
    <n v="2368.4"/>
    <n v="576.6"/>
    <n v="1427.65"/>
    <n v="2583.42"/>
    <n v="0"/>
    <n v="13075.39"/>
    <n v="13075.390000000596"/>
  </r>
  <r>
    <x v="1"/>
    <x v="2"/>
    <x v="12"/>
    <m/>
    <x v="0"/>
    <n v="520205010022"/>
    <s v="Seguridad                                                             "/>
    <n v="2750"/>
    <n v="2750"/>
    <n v="2750"/>
    <n v="2750"/>
    <n v="2750"/>
    <n v="2750"/>
    <n v="2750"/>
    <n v="2750"/>
    <n v="2750"/>
    <n v="2750"/>
    <n v="2750"/>
    <n v="2750"/>
    <n v="33000"/>
    <n v="33000"/>
  </r>
  <r>
    <x v="1"/>
    <x v="2"/>
    <x v="12"/>
    <m/>
    <x v="0"/>
    <n v="520205010023"/>
    <s v="Gastos no Deducibles                                                  "/>
    <n v="2695.59"/>
    <n v="2966.66"/>
    <n v="2311.5100000000002"/>
    <n v="-6361.98"/>
    <n v="1921.66"/>
    <n v="1863.91"/>
    <n v="1807.36"/>
    <n v="1846.66"/>
    <n v="599.29"/>
    <n v="877.9"/>
    <n v="446.77"/>
    <n v="4482.55"/>
    <n v="15457.880000000001"/>
    <n v="15457.879999998957"/>
  </r>
  <r>
    <x v="1"/>
    <x v="2"/>
    <x v="12"/>
    <m/>
    <x v="0"/>
    <n v="520205010024"/>
    <s v="Gastos de licencias -software y mant ERP                              "/>
    <n v="355.26"/>
    <n v="355.26"/>
    <n v="355.26"/>
    <n v="355.26"/>
    <n v="3462.75"/>
    <n v="355.26"/>
    <n v="355.26"/>
    <n v="37095.26"/>
    <n v="561.57000000000005"/>
    <n v="431.69"/>
    <n v="1448.69"/>
    <n v="3653.89"/>
    <n v="48785.41"/>
    <n v="48785.409999998286"/>
  </r>
  <r>
    <x v="1"/>
    <x v="2"/>
    <x v="12"/>
    <m/>
    <x v="0"/>
    <n v="520205010026"/>
    <s v="Iva Facrtor de Proporcionalidad                                       "/>
    <n v="2723.72"/>
    <n v="2355.64"/>
    <n v="2231.38"/>
    <n v="6030.21"/>
    <n v="1912.82"/>
    <n v="0"/>
    <n v="4490.6899999999996"/>
    <n v="2854.83"/>
    <n v="3368.46"/>
    <n v="1320.68"/>
    <n v="1935.23"/>
    <n v="3808.46"/>
    <n v="33032.120000000003"/>
    <n v="33032.120000004768"/>
  </r>
  <r>
    <x v="1"/>
    <x v="2"/>
    <x v="12"/>
    <m/>
    <x v="0"/>
    <n v="520205010027"/>
    <s v="Promocion y Publicidad Administracion                                 "/>
    <n v="0"/>
    <n v="0"/>
    <n v="0"/>
    <n v="0"/>
    <n v="0"/>
    <n v="0"/>
    <n v="23690"/>
    <n v="0"/>
    <n v="250"/>
    <n v="0"/>
    <n v="0"/>
    <n v="8760"/>
    <n v="32700"/>
    <n v="32700"/>
  </r>
  <r>
    <x v="1"/>
    <x v="2"/>
    <x v="12"/>
    <m/>
    <x v="0"/>
    <n v="520205010028"/>
    <s v="Provision Ctas incobrables                                            "/>
    <n v="0"/>
    <n v="0"/>
    <n v="0"/>
    <n v="0"/>
    <n v="0"/>
    <n v="0"/>
    <n v="0"/>
    <n v="0"/>
    <n v="0"/>
    <n v="0"/>
    <n v="0"/>
    <n v="7890.34"/>
    <n v="7890.34"/>
    <n v="7890.339999999851"/>
  </r>
  <r>
    <x v="1"/>
    <x v="2"/>
    <x v="12"/>
    <m/>
    <x v="0"/>
    <n v="520205010029"/>
    <s v="Gastos de viaticos administración                                     "/>
    <n v="322.02999999999997"/>
    <n v="0"/>
    <n v="0"/>
    <n v="0"/>
    <n v="0"/>
    <n v="0"/>
    <n v="0"/>
    <n v="0"/>
    <n v="214.64"/>
    <n v="0"/>
    <n v="0"/>
    <n v="0"/>
    <n v="536.66999999999996"/>
    <n v="536.66999999992549"/>
  </r>
  <r>
    <x v="1"/>
    <x v="2"/>
    <x v="12"/>
    <m/>
    <x v="0"/>
    <n v="520205010030"/>
    <s v="Gasto Movilizacion Administración                                     "/>
    <n v="29"/>
    <n v="6"/>
    <n v="86"/>
    <n v="31"/>
    <n v="20"/>
    <n v="21.5"/>
    <n v="36.5"/>
    <n v="12.5"/>
    <n v="76"/>
    <n v="25"/>
    <n v="22.5"/>
    <n v="15.5"/>
    <n v="381.5"/>
    <n v="381.5"/>
  </r>
  <r>
    <x v="1"/>
    <x v="2"/>
    <x v="12"/>
    <m/>
    <x v="0"/>
    <n v="520205010031"/>
    <s v="Retenciones Asumidas                                                  "/>
    <n v="174.94"/>
    <n v="1.34"/>
    <n v="0"/>
    <n v="0.77"/>
    <n v="2.78"/>
    <n v="0"/>
    <n v="0.3"/>
    <n v="0"/>
    <n v="0"/>
    <n v="0"/>
    <n v="0"/>
    <n v="0"/>
    <n v="180.13000000000002"/>
    <n v="180.12999999895692"/>
  </r>
  <r>
    <x v="1"/>
    <x v="2"/>
    <x v="12"/>
    <m/>
    <x v="0"/>
    <n v="520205010035"/>
    <s v="Sistema de circuito cerrado                                           "/>
    <n v="91.67"/>
    <n v="91.67"/>
    <n v="91.67"/>
    <n v="91.67"/>
    <n v="91.67"/>
    <n v="91.67"/>
    <n v="91.67"/>
    <n v="91.63"/>
    <n v="91.67"/>
    <n v="275.01"/>
    <n v="91.67"/>
    <n v="91.67"/>
    <n v="1283.3400000000001"/>
    <n v="1283.339999999851"/>
  </r>
  <r>
    <x v="1"/>
    <x v="2"/>
    <x v="12"/>
    <m/>
    <x v="0"/>
    <n v="520205010036"/>
    <s v="Otros pagos bienes y servicios administración                         "/>
    <n v="0"/>
    <n v="360"/>
    <n v="79.33"/>
    <n v="97.4"/>
    <n v="0"/>
    <n v="517.61"/>
    <n v="445.01"/>
    <n v="1514.82"/>
    <n v="5497.04"/>
    <n v="1350.88"/>
    <n v="2713.44"/>
    <n v="2151.04"/>
    <n v="14726.57"/>
    <n v="14726.569999998435"/>
  </r>
  <r>
    <x v="1"/>
    <x v="2"/>
    <x v="12"/>
    <m/>
    <x v="0"/>
    <n v="520205010037"/>
    <s v="Mant equipos de computo                                               "/>
    <n v="0"/>
    <n v="0"/>
    <n v="0"/>
    <n v="0"/>
    <n v="0"/>
    <n v="80"/>
    <n v="0"/>
    <n v="0"/>
    <n v="0"/>
    <n v="0"/>
    <n v="0"/>
    <n v="280"/>
    <n v="360"/>
    <n v="360"/>
  </r>
  <r>
    <x v="1"/>
    <x v="2"/>
    <x v="12"/>
    <m/>
    <x v="0"/>
    <n v="520205010038"/>
    <s v="Limpieza desalojo y relleno                                           "/>
    <n v="0"/>
    <n v="0"/>
    <n v="0"/>
    <n v="0"/>
    <n v="0"/>
    <n v="0"/>
    <n v="0"/>
    <n v="0"/>
    <n v="126540.1"/>
    <n v="129486.03"/>
    <n v="0"/>
    <n v="7739.02"/>
    <n v="263765.15000000002"/>
    <n v="263765.14999999851"/>
  </r>
  <r>
    <x v="1"/>
    <x v="2"/>
    <x v="12"/>
    <m/>
    <x v="0"/>
    <n v="520205010039"/>
    <s v="Registros y derechos                                                  "/>
    <n v="0"/>
    <n v="0"/>
    <n v="0"/>
    <n v="0"/>
    <n v="0"/>
    <n v="0"/>
    <n v="0"/>
    <n v="0"/>
    <n v="0"/>
    <n v="0"/>
    <n v="4252.3"/>
    <n v="532.67999999999995"/>
    <n v="4784.9800000000005"/>
    <n v="4784.980000000447"/>
  </r>
  <r>
    <x v="1"/>
    <x v="2"/>
    <x v="13"/>
    <m/>
    <x v="0"/>
    <n v="520206010001"/>
    <s v="Impuestos  municipales                                                "/>
    <n v="0"/>
    <n v="0"/>
    <n v="0"/>
    <n v="0"/>
    <n v="32620.45"/>
    <n v="7051.73"/>
    <n v="0"/>
    <n v="836.3"/>
    <n v="0"/>
    <n v="0"/>
    <n v="0"/>
    <n v="0"/>
    <n v="40508.480000000003"/>
    <n v="40508.480000000447"/>
  </r>
  <r>
    <x v="1"/>
    <x v="2"/>
    <x v="13"/>
    <m/>
    <x v="0"/>
    <n v="520206010002"/>
    <s v="Impuesto Cuerpo de Bomberos                                           "/>
    <n v="0"/>
    <n v="0"/>
    <n v="398"/>
    <n v="0"/>
    <n v="0"/>
    <n v="0"/>
    <n v="0"/>
    <n v="0"/>
    <n v="0"/>
    <n v="0"/>
    <n v="0"/>
    <n v="0"/>
    <n v="398"/>
    <n v="398"/>
  </r>
  <r>
    <x v="1"/>
    <x v="2"/>
    <x v="13"/>
    <m/>
    <x v="0"/>
    <n v="520206010003"/>
    <s v="Impuesto 2x1.000 Universidad                                          "/>
    <n v="0"/>
    <n v="3155.13"/>
    <n v="0"/>
    <n v="0"/>
    <n v="0"/>
    <n v="0"/>
    <n v="0"/>
    <n v="0"/>
    <n v="0"/>
    <n v="0"/>
    <n v="0"/>
    <n v="0"/>
    <n v="3155.13"/>
    <n v="3155.1300000008196"/>
  </r>
  <r>
    <x v="1"/>
    <x v="2"/>
    <x v="13"/>
    <m/>
    <x v="0"/>
    <n v="520206010004"/>
    <s v="Contribuciones  Super de Compania                                     "/>
    <n v="0"/>
    <n v="0"/>
    <n v="0"/>
    <n v="0"/>
    <n v="0"/>
    <n v="0"/>
    <n v="0"/>
    <n v="0"/>
    <n v="9586.7099999999991"/>
    <n v="0"/>
    <n v="0"/>
    <n v="0"/>
    <n v="9586.7099999999991"/>
    <n v="9586.7100000008941"/>
  </r>
  <r>
    <x v="1"/>
    <x v="2"/>
    <x v="13"/>
    <m/>
    <x v="0"/>
    <n v="520206010006"/>
    <s v="Impuesto salida de divisa                                             "/>
    <n v="1470.29"/>
    <n v="4964.9399999999996"/>
    <n v="16.34"/>
    <n v="0"/>
    <n v="0"/>
    <n v="-6435.23"/>
    <n v="0"/>
    <n v="25"/>
    <n v="0"/>
    <n v="0"/>
    <n v="284.3"/>
    <n v="0"/>
    <n v="325.64000000000016"/>
    <n v="325.6399999987334"/>
  </r>
  <r>
    <x v="1"/>
    <x v="2"/>
    <x v="13"/>
    <m/>
    <x v="0"/>
    <n v="520206010007"/>
    <s v="Otros Impuestos                                                       "/>
    <n v="0"/>
    <n v="202.64"/>
    <n v="0"/>
    <n v="0"/>
    <n v="0"/>
    <n v="0"/>
    <n v="0"/>
    <n v="0"/>
    <n v="0"/>
    <n v="0"/>
    <n v="0"/>
    <n v="0"/>
    <n v="202.64"/>
    <n v="202.64000000059605"/>
  </r>
  <r>
    <x v="1"/>
    <x v="2"/>
    <x v="14"/>
    <m/>
    <x v="0"/>
    <n v="520207010003"/>
    <s v="Gastos de Depreciaciones de Muebles y Enseres                         "/>
    <n v="485.29"/>
    <n v="485.29"/>
    <n v="484.77"/>
    <n v="445.47"/>
    <n v="453.08"/>
    <n v="453.93"/>
    <n v="454.58"/>
    <n v="506.26"/>
    <n v="454.58"/>
    <n v="453.84"/>
    <n v="437.11"/>
    <n v="410.64"/>
    <n v="5524.84"/>
    <n v="5524.8399999979883"/>
  </r>
  <r>
    <x v="1"/>
    <x v="2"/>
    <x v="14"/>
    <m/>
    <x v="0"/>
    <n v="520207010004"/>
    <s v="Gastos de Depreciación de Equipos de computacion                      "/>
    <n v="282.73"/>
    <n v="360.66"/>
    <n v="473.9"/>
    <n v="550.42999999999995"/>
    <n v="537.51"/>
    <n v="537.51"/>
    <n v="537.51"/>
    <n v="485.83"/>
    <n v="537.51"/>
    <n v="554.73"/>
    <n v="594.38"/>
    <n v="602.59"/>
    <n v="6055.29"/>
    <n v="6055.2900000009686"/>
  </r>
  <r>
    <x v="1"/>
    <x v="2"/>
    <x v="14"/>
    <m/>
    <x v="0"/>
    <n v="520207010005"/>
    <s v="Gastos de Depreciación de Vehiculos                                   "/>
    <n v="1318.26"/>
    <n v="1719.02"/>
    <n v="1732.84"/>
    <n v="1732.84"/>
    <n v="1607.53"/>
    <n v="1607.53"/>
    <n v="2607.5300000000002"/>
    <n v="1607.53"/>
    <n v="1607.53"/>
    <n v="1607.53"/>
    <n v="1607.53"/>
    <n v="1858.15"/>
    <n v="20613.820000000003"/>
    <n v="20613.81999999471"/>
  </r>
  <r>
    <x v="1"/>
    <x v="2"/>
    <x v="14"/>
    <m/>
    <x v="0"/>
    <n v="520207010006"/>
    <s v="Gastos de Depreciación de Otras propiedades, plantas y Equipos        "/>
    <n v="0"/>
    <n v="0"/>
    <n v="92.79"/>
    <n v="92.79"/>
    <n v="92.79"/>
    <n v="92.79"/>
    <n v="-371.16"/>
    <n v="92.79"/>
    <n v="92.79"/>
    <n v="92.79"/>
    <n v="92.79"/>
    <n v="-371.16"/>
    <n v="0"/>
    <n v="0"/>
  </r>
  <r>
    <x v="1"/>
    <x v="2"/>
    <x v="14"/>
    <m/>
    <x v="0"/>
    <n v="520207010007"/>
    <s v="Gastos depreciacion equipos de seguridad                              "/>
    <n v="4.0999999999999996"/>
    <n v="8.7799999999999994"/>
    <n v="8.7799999999999994"/>
    <n v="8.7799999999999994"/>
    <n v="8.7799999999999994"/>
    <n v="8.7799999999999994"/>
    <n v="8.7799999999999994"/>
    <n v="8.7799999999999994"/>
    <n v="8.7799999999999994"/>
    <n v="8.7799999999999994"/>
    <n v="8.7799999999999994"/>
    <n v="8.7799999999999994"/>
    <n v="100.68"/>
    <n v="100.67999998480082"/>
  </r>
  <r>
    <x v="1"/>
    <x v="3"/>
    <x v="15"/>
    <m/>
    <x v="0"/>
    <n v="520301010001"/>
    <s v="Intereses Bancarios                                                   "/>
    <n v="5280.3"/>
    <n v="735.77"/>
    <n v="0"/>
    <n v="0"/>
    <n v="0"/>
    <n v="0"/>
    <n v="11088"/>
    <n v="10655.44"/>
    <n v="10202.42"/>
    <n v="10421.08"/>
    <n v="9976.0400000000009"/>
    <n v="10181.450000000001"/>
    <n v="68540.5"/>
    <n v="68540.499999998137"/>
  </r>
  <r>
    <x v="1"/>
    <x v="3"/>
    <x v="16"/>
    <m/>
    <x v="0"/>
    <n v="520301020001"/>
    <s v="Gastos Bancarios                                                      "/>
    <n v="1524.54"/>
    <n v="1371.69"/>
    <n v="857.17"/>
    <n v="1692.15"/>
    <n v="328.3"/>
    <n v="2396.3000000000002"/>
    <n v="392.8"/>
    <n v="1156.4100000000001"/>
    <n v="79.39"/>
    <n v="4524.58"/>
    <n v="1645.92"/>
    <n v="915.68"/>
    <n v="16884.93"/>
    <n v="16884.930000001565"/>
  </r>
  <r>
    <x v="1"/>
    <x v="3"/>
    <x v="16"/>
    <m/>
    <x v="0"/>
    <n v="520301020006"/>
    <s v="Otras Comisiones                                                      "/>
    <n v="31.97"/>
    <n v="20.63"/>
    <n v="-15.2"/>
    <n v="14.4"/>
    <n v="27.07"/>
    <n v="8105.63"/>
    <n v="46.03"/>
    <n v="17.23"/>
    <n v="2.17"/>
    <n v="1203.79"/>
    <n v="4.8"/>
    <n v="0"/>
    <n v="9458.52"/>
    <n v="9458.5200000032783"/>
  </r>
  <r>
    <x v="1"/>
    <x v="4"/>
    <x v="17"/>
    <m/>
    <x v="0"/>
    <n v="540101030009"/>
    <s v="Otros ingresos/egresos                                                "/>
    <n v="0"/>
    <n v="0"/>
    <n v="0"/>
    <n v="0"/>
    <n v="0"/>
    <n v="0"/>
    <n v="0"/>
    <n v="0"/>
    <n v="0"/>
    <n v="-0.3"/>
    <n v="0"/>
    <n v="0.3"/>
    <n v="0"/>
    <n v="0"/>
  </r>
  <r>
    <x v="1"/>
    <x v="4"/>
    <x v="17"/>
    <m/>
    <x v="0"/>
    <n v="540101030010"/>
    <s v="Intereses ganados en bancos                                           "/>
    <n v="-85.53"/>
    <n v="-66.41"/>
    <n v="-41.3"/>
    <n v="-24.64"/>
    <n v="-17.72"/>
    <n v="-29.64"/>
    <n v="-16.61"/>
    <n v="-15.26"/>
    <n v="-9.86"/>
    <n v="-12.44"/>
    <n v="-15.99"/>
    <n v="-11.1"/>
    <n v="-346.50000000000006"/>
    <n v="-346.5"/>
  </r>
  <r>
    <x v="1"/>
    <x v="4"/>
    <x v="17"/>
    <m/>
    <x v="0"/>
    <n v="540101030011"/>
    <s v="Otros ingresos                                                        "/>
    <n v="0"/>
    <n v="-9.27"/>
    <n v="-561.6"/>
    <n v="-1.61"/>
    <n v="-10.27"/>
    <n v="-0.59"/>
    <n v="-903.23"/>
    <n v="-308.83"/>
    <n v="-720"/>
    <n v="63.3"/>
    <n v="-21.96"/>
    <n v="2334.34"/>
    <n v="-139.7199999999998"/>
    <n v="-139.71999999880791"/>
  </r>
  <r>
    <x v="1"/>
    <x v="4"/>
    <x v="17"/>
    <m/>
    <x v="0"/>
    <n v="540101030013"/>
    <s v="Ingresos por Reembolso                                                "/>
    <n v="-86"/>
    <n v="0"/>
    <n v="0"/>
    <n v="0"/>
    <n v="0"/>
    <n v="0"/>
    <n v="0"/>
    <n v="0"/>
    <n v="0"/>
    <n v="0"/>
    <n v="0"/>
    <n v="0"/>
    <n v="-86"/>
    <n v="-86"/>
  </r>
  <r>
    <x v="1"/>
    <x v="4"/>
    <x v="17"/>
    <m/>
    <x v="0"/>
    <n v="540101030014"/>
    <s v="Utilidad por venta de activo fijo                                     "/>
    <n v="0"/>
    <n v="0"/>
    <n v="0"/>
    <n v="0"/>
    <n v="0"/>
    <n v="0"/>
    <n v="-1139.92"/>
    <n v="0"/>
    <n v="0"/>
    <n v="0"/>
    <n v="0"/>
    <n v="1139.92"/>
    <n v="0"/>
    <n v="0"/>
  </r>
  <r>
    <x v="1"/>
    <x v="4"/>
    <x v="18"/>
    <m/>
    <x v="0"/>
    <n v="540101040009"/>
    <s v="Otros egresos                                                         "/>
    <n v="0.18"/>
    <n v="0.06"/>
    <n v="0.15"/>
    <n v="0.05"/>
    <n v="0.89"/>
    <n v="-1.33"/>
    <n v="0"/>
    <n v="0.04"/>
    <n v="-0.04"/>
    <n v="0.03"/>
    <n v="0.06"/>
    <n v="-0.09"/>
    <n v="0"/>
    <n v="0"/>
  </r>
  <r>
    <x v="1"/>
    <x v="4"/>
    <x v="18"/>
    <m/>
    <x v="0"/>
    <n v="540101040010"/>
    <s v="Costo por venta de activo fijo                                        "/>
    <n v="0"/>
    <n v="0"/>
    <n v="0"/>
    <n v="0"/>
    <n v="14000"/>
    <n v="0"/>
    <n v="-13875.09"/>
    <n v="0"/>
    <n v="0"/>
    <n v="0"/>
    <n v="0"/>
    <n v="-124.91"/>
    <n v="-1.4210854715202004E-13"/>
    <n v="0"/>
  </r>
  <r>
    <x v="1"/>
    <x v="4"/>
    <x v="18"/>
    <m/>
    <x v="0"/>
    <n v="540101040011"/>
    <s v="Otros cargos x multas                                                 "/>
    <n v="845.24"/>
    <n v="-534.54999999999995"/>
    <n v="-235.79"/>
    <n v="-24.9"/>
    <n v="225"/>
    <n v="-20"/>
    <n v="-255"/>
    <n v="0"/>
    <n v="0"/>
    <n v="320.69"/>
    <n v="-123.37"/>
    <n v="-197.32"/>
    <n v="0"/>
    <n v="0"/>
  </r>
  <r>
    <x v="1"/>
    <x v="4"/>
    <x v="18"/>
    <m/>
    <x v="0"/>
    <n v="540101040012"/>
    <s v="Egresos por reembolso                                                 "/>
    <n v="86"/>
    <n v="0"/>
    <n v="0"/>
    <n v="0"/>
    <n v="0"/>
    <n v="0"/>
    <n v="0"/>
    <n v="0"/>
    <n v="0"/>
    <n v="0"/>
    <n v="0"/>
    <n v="0"/>
    <n v="86"/>
    <n v="86.000000001862645"/>
  </r>
  <r>
    <x v="1"/>
    <x v="4"/>
    <x v="18"/>
    <m/>
    <x v="0"/>
    <n v="540101040013"/>
    <s v="Dada de baja de invetarios                                            "/>
    <n v="0"/>
    <n v="0"/>
    <n v="0"/>
    <n v="0"/>
    <n v="0"/>
    <n v="0"/>
    <n v="0"/>
    <n v="0"/>
    <n v="13866.14"/>
    <n v="0"/>
    <n v="140358.44"/>
    <n v="0"/>
    <n v="154224.58000000002"/>
    <n v="154224.58000000007"/>
  </r>
  <r>
    <x v="1"/>
    <x v="4"/>
    <x v="18"/>
    <m/>
    <x v="0"/>
    <n v="540101040014"/>
    <s v="Perdida por venta de activo fijo                                      "/>
    <n v="0"/>
    <n v="0"/>
    <n v="0"/>
    <n v="0"/>
    <n v="0"/>
    <n v="0"/>
    <n v="5071.43"/>
    <n v="0"/>
    <n v="0"/>
    <n v="0"/>
    <n v="0"/>
    <n v="-1015.01"/>
    <n v="4056.42"/>
    <n v="4056.4199999999255"/>
  </r>
  <r>
    <x v="2"/>
    <x v="1"/>
    <x v="19"/>
    <m/>
    <x v="0"/>
    <n v="520101010001"/>
    <s v="Sueldos"/>
    <n v="12700"/>
    <n v="12521.67"/>
    <n v="11700"/>
    <n v="11700"/>
    <n v="11866.67"/>
    <n v="12280"/>
    <n v="12866.67"/>
    <n v="15887.5"/>
    <n v="16375"/>
    <n v="16375"/>
    <n v="16625"/>
    <n v="16375"/>
    <n v="167272.51"/>
    <n v="167272.50999999978"/>
  </r>
  <r>
    <x v="2"/>
    <x v="1"/>
    <x v="19"/>
    <m/>
    <x v="0"/>
    <n v="520101010002"/>
    <s v="Sobretiempos"/>
    <n v="1562.13"/>
    <n v="1301.6500000000001"/>
    <n v="1723.18"/>
    <n v="1770.18"/>
    <n v="1874.47"/>
    <n v="1800.46"/>
    <n v="1868.8"/>
    <n v="1846.9"/>
    <n v="1916.62"/>
    <n v="2215.96"/>
    <n v="2454"/>
    <n v="1264.6500000000001"/>
    <n v="21599"/>
    <n v="21599.000000003725"/>
  </r>
  <r>
    <x v="2"/>
    <x v="1"/>
    <x v="19"/>
    <m/>
    <x v="0"/>
    <n v="520101010003"/>
    <s v="Comisiones"/>
    <n v="6517.8"/>
    <n v="11124.37"/>
    <n v="5902.46"/>
    <n v="8656.7199999999993"/>
    <n v="8080.58"/>
    <n v="10544.2"/>
    <n v="11793.58"/>
    <n v="8939.4699999999993"/>
    <n v="9560.5"/>
    <n v="11526.68"/>
    <n v="11938.57"/>
    <n v="10168.1"/>
    <n v="114753.03000000003"/>
    <n v="114753.03000000119"/>
  </r>
  <r>
    <x v="2"/>
    <x v="1"/>
    <x v="19"/>
    <m/>
    <x v="0"/>
    <n v="520101010004"/>
    <s v="Aporte Patronal 12.15%"/>
    <n v="2524.7399999999998"/>
    <n v="3031.09"/>
    <n v="2348.0500000000002"/>
    <n v="2688.45"/>
    <n v="2651.35"/>
    <n v="2991.86"/>
    <n v="5045.76"/>
    <n v="3400.35"/>
    <n v="3575.41"/>
    <n v="3850.66"/>
    <n v="3960.03"/>
    <n v="3570.03"/>
    <n v="39637.78"/>
    <n v="39637.779999997467"/>
  </r>
  <r>
    <x v="2"/>
    <x v="1"/>
    <x v="19"/>
    <m/>
    <x v="0"/>
    <n v="520101010005"/>
    <s v="Fondo de Reserva"/>
    <n v="1159.3599999999999"/>
    <n v="1483.28"/>
    <n v="1206.29"/>
    <n v="1443.75"/>
    <n v="1550.39"/>
    <n v="1788.48"/>
    <n v="3140.18"/>
    <n v="1631.89"/>
    <n v="1665.68"/>
    <n v="1834.53"/>
    <n v="1968.39"/>
    <n v="1679.86"/>
    <n v="20552.080000000002"/>
    <n v="20552.079999998212"/>
  </r>
  <r>
    <x v="2"/>
    <x v="1"/>
    <x v="19"/>
    <m/>
    <x v="0"/>
    <n v="520101010006"/>
    <s v="Decimo Tercer Sueldo"/>
    <n v="1731.69"/>
    <n v="2078.9899999999998"/>
    <n v="1610.5"/>
    <n v="1843.94"/>
    <n v="1818.49"/>
    <n v="2052.09"/>
    <n v="3460.77"/>
    <n v="2332.2199999999998"/>
    <n v="2452.2800000000002"/>
    <n v="2641.1"/>
    <n v="2716.05"/>
    <n v="2448.5700000000002"/>
    <n v="27186.69"/>
    <n v="27186.689999999478"/>
  </r>
  <r>
    <x v="2"/>
    <x v="1"/>
    <x v="19"/>
    <m/>
    <x v="0"/>
    <n v="520101010007"/>
    <s v="Decimo Cuarto Sueldo"/>
    <n v="546.89"/>
    <n v="535.1"/>
    <n v="482.55"/>
    <n v="482.55"/>
    <n v="493.27"/>
    <n v="517.92999999999995"/>
    <n v="545.82000000000005"/>
    <n v="605.87"/>
    <n v="611.23"/>
    <n v="611.23"/>
    <n v="627.30999999999995"/>
    <n v="611.23"/>
    <n v="6670.9799999999977"/>
    <n v="6670.9800000023097"/>
  </r>
  <r>
    <x v="2"/>
    <x v="1"/>
    <x v="19"/>
    <m/>
    <x v="0"/>
    <n v="520101010008"/>
    <s v="Vacaciones"/>
    <n v="0"/>
    <n v="-45.01"/>
    <n v="0"/>
    <n v="0"/>
    <n v="494.44"/>
    <n v="511.67"/>
    <n v="536.11"/>
    <n v="661.98"/>
    <n v="682.3"/>
    <n v="682.3"/>
    <n v="692.71"/>
    <n v="-4216.5"/>
    <n v="0"/>
    <n v="0"/>
  </r>
  <r>
    <x v="2"/>
    <x v="1"/>
    <x v="19"/>
    <m/>
    <x v="0"/>
    <n v="520101010009"/>
    <s v="Desahucio Ventas"/>
    <n v="398.1"/>
    <n v="398.1"/>
    <n v="398.1"/>
    <n v="398.1"/>
    <n v="398.1"/>
    <n v="398.1"/>
    <n v="398.1"/>
    <n v="398.1"/>
    <n v="398.1"/>
    <n v="398.1"/>
    <n v="398.1"/>
    <n v="398.1"/>
    <n v="4777.2"/>
    <n v="4777.1999999973923"/>
  </r>
  <r>
    <x v="2"/>
    <x v="1"/>
    <x v="19"/>
    <m/>
    <x v="0"/>
    <n v="520101010010"/>
    <s v="Indemnización Ventas"/>
    <n v="0"/>
    <n v="0"/>
    <n v="0"/>
    <n v="0"/>
    <n v="0"/>
    <n v="0"/>
    <n v="0"/>
    <n v="0"/>
    <n v="0"/>
    <n v="0"/>
    <n v="0"/>
    <n v="0"/>
    <n v="0"/>
    <n v="0"/>
  </r>
  <r>
    <x v="2"/>
    <x v="1"/>
    <x v="19"/>
    <m/>
    <x v="0"/>
    <n v="520101010011"/>
    <s v="Bonificaciones Voluntarias Ventas"/>
    <n v="0"/>
    <n v="0"/>
    <n v="0"/>
    <n v="0"/>
    <n v="0"/>
    <n v="0"/>
    <n v="15000"/>
    <n v="1312.5"/>
    <n v="1575"/>
    <n v="1575"/>
    <n v="1575"/>
    <n v="1575"/>
    <n v="22612.5"/>
    <n v="22612.5"/>
  </r>
  <r>
    <x v="2"/>
    <x v="1"/>
    <x v="19"/>
    <m/>
    <x v="0"/>
    <n v="520101010012"/>
    <s v="Jubilación Patronal Ventas"/>
    <n v="1089.8800000000001"/>
    <n v="1089.8800000000001"/>
    <n v="1089.8800000000001"/>
    <n v="1089.8800000000001"/>
    <n v="1089.8800000000001"/>
    <n v="1089.8800000000001"/>
    <n v="1089.8800000000001"/>
    <n v="1089.8800000000001"/>
    <n v="1089.8800000000001"/>
    <n v="1089.8800000000001"/>
    <n v="1089.8800000000001"/>
    <n v="1089.8800000000001"/>
    <n v="13078.560000000005"/>
    <n v="13078.560000009835"/>
  </r>
  <r>
    <x v="2"/>
    <x v="1"/>
    <x v="19"/>
    <m/>
    <x v="0"/>
    <n v="520101010013"/>
    <s v="Salario Digno"/>
    <n v="0"/>
    <n v="0"/>
    <n v="0"/>
    <n v="0"/>
    <n v="0"/>
    <n v="0"/>
    <n v="0"/>
    <n v="0"/>
    <n v="0"/>
    <n v="0"/>
    <n v="0"/>
    <n v="0"/>
    <n v="0"/>
    <n v="0"/>
  </r>
  <r>
    <x v="2"/>
    <x v="1"/>
    <x v="20"/>
    <m/>
    <x v="0"/>
    <n v="520101020002"/>
    <s v="Alimentacion Ventas"/>
    <n v="107.91"/>
    <n v="994.27"/>
    <n v="294.64999999999998"/>
    <n v="91.75"/>
    <n v="934.42"/>
    <n v="888.69"/>
    <n v="412.25"/>
    <n v="750.06"/>
    <n v="505.33"/>
    <n v="957.21"/>
    <n v="1043.79"/>
    <n v="1372.12"/>
    <n v="8352.4500000000007"/>
    <n v="8352.4499999992549"/>
  </r>
  <r>
    <x v="2"/>
    <x v="1"/>
    <x v="20"/>
    <m/>
    <x v="0"/>
    <n v="520101020003"/>
    <s v="Movilizacion/Transp de Personal Ventas"/>
    <n v="0"/>
    <n v="0"/>
    <n v="0"/>
    <n v="0"/>
    <n v="0"/>
    <n v="0"/>
    <n v="0"/>
    <n v="0"/>
    <n v="0"/>
    <n v="0"/>
    <n v="0"/>
    <n v="0"/>
    <n v="0"/>
    <n v="0"/>
  </r>
  <r>
    <x v="2"/>
    <x v="1"/>
    <x v="20"/>
    <m/>
    <x v="0"/>
    <n v="520101020006"/>
    <s v="Capacitación y Seminarios Ventas"/>
    <n v="0"/>
    <n v="0"/>
    <n v="252"/>
    <n v="0"/>
    <n v="750"/>
    <n v="324"/>
    <n v="807.5"/>
    <n v="0"/>
    <n v="50"/>
    <n v="44.64"/>
    <n v="900"/>
    <n v="1260"/>
    <n v="4388.1399999999994"/>
    <n v="4388.140000000596"/>
  </r>
  <r>
    <x v="2"/>
    <x v="1"/>
    <x v="20"/>
    <m/>
    <x v="0"/>
    <n v="520101020007"/>
    <s v="Agasajo al Personal Ventas"/>
    <n v="0"/>
    <n v="0"/>
    <n v="0"/>
    <n v="21.73"/>
    <n v="0"/>
    <n v="0"/>
    <n v="0"/>
    <n v="0"/>
    <n v="0"/>
    <n v="0"/>
    <n v="0"/>
    <n v="767.82"/>
    <n v="789.55000000000007"/>
    <n v="789.55000000074506"/>
  </r>
  <r>
    <x v="2"/>
    <x v="1"/>
    <x v="20"/>
    <m/>
    <x v="0"/>
    <n v="520101020008"/>
    <s v="Otros gastos de personal Ventas"/>
    <n v="0"/>
    <n v="0"/>
    <n v="0"/>
    <n v="0"/>
    <n v="0"/>
    <n v="0"/>
    <n v="0"/>
    <n v="0"/>
    <n v="0"/>
    <n v="0"/>
    <n v="0"/>
    <n v="0"/>
    <n v="0"/>
    <n v="0"/>
  </r>
  <r>
    <x v="2"/>
    <x v="1"/>
    <x v="20"/>
    <m/>
    <x v="0"/>
    <n v="520101020009"/>
    <s v="Multas e Intereses ventas"/>
    <n v="0"/>
    <n v="0"/>
    <n v="0"/>
    <n v="0"/>
    <n v="0"/>
    <n v="0"/>
    <n v="0"/>
    <n v="0"/>
    <n v="0"/>
    <n v="0"/>
    <n v="0"/>
    <n v="0"/>
    <n v="0"/>
    <n v="0"/>
  </r>
  <r>
    <x v="2"/>
    <x v="1"/>
    <x v="21"/>
    <m/>
    <x v="0"/>
    <n v="520101030001"/>
    <s v="Comisiones a Terceros"/>
    <n v="0"/>
    <n v="0"/>
    <n v="0"/>
    <n v="893.11"/>
    <n v="0"/>
    <n v="0"/>
    <n v="0"/>
    <n v="0"/>
    <n v="0"/>
    <n v="0"/>
    <n v="0"/>
    <n v="0"/>
    <n v="893.11"/>
    <n v="893.10999999940395"/>
  </r>
  <r>
    <x v="2"/>
    <x v="1"/>
    <x v="21"/>
    <m/>
    <x v="0"/>
    <n v="520101030002"/>
    <s v="Promoción y Publicidad"/>
    <n v="0"/>
    <n v="1744.38"/>
    <n v="2469.38"/>
    <n v="444.38"/>
    <n v="3830"/>
    <n v="4830.6400000000003"/>
    <n v="444.38"/>
    <n v="2064.38"/>
    <n v="2279.38"/>
    <n v="23372.3"/>
    <n v="231.69"/>
    <n v="500"/>
    <n v="42210.91"/>
    <n v="42210.910000005737"/>
  </r>
  <r>
    <x v="2"/>
    <x v="1"/>
    <x v="21"/>
    <m/>
    <x v="0"/>
    <n v="520101030003"/>
    <s v="Gastos de Viaje Ventas"/>
    <n v="0"/>
    <n v="0"/>
    <n v="2409"/>
    <n v="0"/>
    <n v="0"/>
    <n v="0"/>
    <n v="0"/>
    <n v="0"/>
    <n v="0"/>
    <n v="8508"/>
    <n v="288"/>
    <n v="0"/>
    <n v="11205"/>
    <n v="11205"/>
  </r>
  <r>
    <x v="2"/>
    <x v="1"/>
    <x v="21"/>
    <m/>
    <x v="0"/>
    <n v="520101030004"/>
    <s v="Mant. Vehiculos Ventas"/>
    <n v="373"/>
    <n v="587.61"/>
    <n v="0"/>
    <n v="288.7"/>
    <n v="0"/>
    <n v="508.56"/>
    <n v="521.97"/>
    <n v="1039.01"/>
    <n v="0"/>
    <n v="0"/>
    <n v="168.86"/>
    <n v="532.71"/>
    <n v="4020.4200000000005"/>
    <n v="4020.4199999999255"/>
  </r>
  <r>
    <x v="2"/>
    <x v="1"/>
    <x v="21"/>
    <m/>
    <x v="0"/>
    <n v="520101030005"/>
    <s v="Combustibles Ventas"/>
    <n v="1287.98"/>
    <n v="1020.6"/>
    <n v="1063"/>
    <n v="1131.18"/>
    <n v="1122.96"/>
    <n v="1078.72"/>
    <n v="1534.12"/>
    <n v="1391.15"/>
    <n v="1597.48"/>
    <n v="1659.18"/>
    <n v="1687.13"/>
    <n v="1411.63"/>
    <n v="15985.130000000001"/>
    <n v="15985.130000002682"/>
  </r>
  <r>
    <x v="2"/>
    <x v="1"/>
    <x v="21"/>
    <m/>
    <x v="0"/>
    <n v="520101030006"/>
    <s v="Gastos de Exportación"/>
    <n v="1308.93"/>
    <n v="3996.82"/>
    <n v="2876.79"/>
    <n v="6060.72"/>
    <n v="7800.39"/>
    <n v="9858.93"/>
    <n v="3844.64"/>
    <n v="6035.71"/>
    <n v="2544.64"/>
    <n v="7688.57"/>
    <n v="7834.71"/>
    <n v="1550"/>
    <n v="61400.85"/>
    <n v="61400.850000003353"/>
  </r>
  <r>
    <x v="2"/>
    <x v="1"/>
    <x v="21"/>
    <m/>
    <x v="0"/>
    <n v="520101030007"/>
    <s v="Atención a clientes"/>
    <n v="292.86"/>
    <n v="36.700000000000003"/>
    <n v="215"/>
    <n v="164.48"/>
    <n v="919.3"/>
    <n v="389.19"/>
    <n v="317.45"/>
    <n v="106.32"/>
    <n v="150.62"/>
    <n v="213.36"/>
    <n v="8834.14"/>
    <n v="944.37"/>
    <n v="12583.79"/>
    <n v="12583.789999997243"/>
  </r>
  <r>
    <x v="2"/>
    <x v="1"/>
    <x v="21"/>
    <m/>
    <x v="0"/>
    <n v="520101030008"/>
    <s v="Gastos Viaticos"/>
    <n v="409.81"/>
    <n v="848.6"/>
    <n v="95.43"/>
    <n v="728.91"/>
    <n v="558.09"/>
    <n v="1229.6600000000001"/>
    <n v="1590.7"/>
    <n v="841.98"/>
    <n v="1022.87"/>
    <n v="5545.93"/>
    <n v="4398.3599999999997"/>
    <n v="403.58"/>
    <n v="17673.920000000002"/>
    <n v="17673.919999998063"/>
  </r>
  <r>
    <x v="2"/>
    <x v="1"/>
    <x v="21"/>
    <m/>
    <x v="0"/>
    <n v="520101030009"/>
    <s v="Telefonía celular ventas"/>
    <n v="0"/>
    <n v="6.25"/>
    <n v="0"/>
    <n v="0"/>
    <n v="0"/>
    <n v="0"/>
    <n v="0"/>
    <n v="0"/>
    <n v="0"/>
    <n v="0"/>
    <n v="0"/>
    <n v="0"/>
    <n v="6.25"/>
    <n v="6.25"/>
  </r>
  <r>
    <x v="2"/>
    <x v="1"/>
    <x v="21"/>
    <m/>
    <x v="0"/>
    <n v="520101030010"/>
    <s v="Suministros, materiales y repuestos Ventas"/>
    <n v="0"/>
    <n v="12.97"/>
    <n v="0"/>
    <n v="0"/>
    <n v="144.86000000000001"/>
    <n v="0"/>
    <n v="0"/>
    <n v="0"/>
    <n v="6"/>
    <n v="0"/>
    <n v="0"/>
    <n v="0"/>
    <n v="163.83000000000001"/>
    <n v="163.83000000007451"/>
  </r>
  <r>
    <x v="2"/>
    <x v="1"/>
    <x v="21"/>
    <m/>
    <x v="0"/>
    <n v="520101030011"/>
    <s v="Suministros de oficina y comput ventas y diseño"/>
    <n v="104.4"/>
    <n v="0"/>
    <n v="0"/>
    <n v="0"/>
    <n v="0"/>
    <n v="0"/>
    <n v="0"/>
    <n v="0"/>
    <n v="0"/>
    <n v="0"/>
    <n v="7.57"/>
    <n v="-7.57"/>
    <n v="104.4"/>
    <n v="104.40000000037253"/>
  </r>
  <r>
    <x v="2"/>
    <x v="1"/>
    <x v="21"/>
    <m/>
    <x v="0"/>
    <n v="520101030012"/>
    <s v="Movilizacion Ventas"/>
    <n v="3.9"/>
    <n v="0"/>
    <n v="0"/>
    <n v="0"/>
    <n v="2.5"/>
    <n v="0"/>
    <n v="0"/>
    <n v="0"/>
    <n v="14.5"/>
    <n v="0"/>
    <n v="86.75"/>
    <n v="0"/>
    <n v="107.65"/>
    <n v="107.65000000037253"/>
  </r>
  <r>
    <x v="2"/>
    <x v="1"/>
    <x v="21"/>
    <m/>
    <x v="0"/>
    <n v="520101030013"/>
    <s v="Obsequios y muestras a clientes (autoconsumo)"/>
    <n v="483.23"/>
    <n v="49.33"/>
    <n v="255.83"/>
    <n v="108.79"/>
    <n v="0.99"/>
    <n v="7.9"/>
    <n v="402.76"/>
    <n v="638.17999999999995"/>
    <n v="395.67"/>
    <n v="668.31"/>
    <n v="347.87"/>
    <n v="8350.52"/>
    <n v="11709.380000000001"/>
    <n v="11709.379999998957"/>
  </r>
  <r>
    <x v="2"/>
    <x v="1"/>
    <x v="21"/>
    <m/>
    <x v="0"/>
    <n v="520101030014"/>
    <s v="Gastos de depreciación de equipos de computación"/>
    <n v="186.63"/>
    <n v="186.63"/>
    <n v="185.95"/>
    <n v="185.3"/>
    <n v="250.75"/>
    <n v="270.68"/>
    <n v="206.59"/>
    <n v="334.93"/>
    <n v="334.93"/>
    <n v="334.93"/>
    <n v="334.93"/>
    <n v="334.93"/>
    <n v="3147.1799999999994"/>
    <n v="3147.179999999702"/>
  </r>
  <r>
    <x v="2"/>
    <x v="1"/>
    <x v="21"/>
    <m/>
    <x v="0"/>
    <n v="520101030015"/>
    <s v="Seguros vehículos ventas"/>
    <n v="59.52"/>
    <n v="59.52"/>
    <n v="59.52"/>
    <n v="59.52"/>
    <n v="59.52"/>
    <n v="59.52"/>
    <n v="59.52"/>
    <n v="59.52"/>
    <n v="59.52"/>
    <n v="31.74"/>
    <n v="0"/>
    <n v="0"/>
    <n v="567.41999999999996"/>
    <n v="567.4199999962002"/>
  </r>
  <r>
    <x v="2"/>
    <x v="1"/>
    <x v="21"/>
    <m/>
    <x v="0"/>
    <n v="520101030016"/>
    <s v="Mantenimiento  Instalaciones"/>
    <n v="0"/>
    <n v="0"/>
    <n v="502.83"/>
    <n v="0"/>
    <n v="665.37"/>
    <n v="0"/>
    <n v="0"/>
    <n v="0"/>
    <n v="0"/>
    <n v="16.2"/>
    <n v="371.72"/>
    <n v="400"/>
    <n v="1956.1200000000001"/>
    <n v="1956.1199999991804"/>
  </r>
  <r>
    <x v="2"/>
    <x v="1"/>
    <x v="21"/>
    <m/>
    <x v="0"/>
    <n v="520101030017"/>
    <s v="Mantenimiento Muebles y equipos"/>
    <n v="0"/>
    <n v="0"/>
    <n v="0"/>
    <n v="0"/>
    <n v="0"/>
    <n v="0"/>
    <n v="270"/>
    <n v="0"/>
    <n v="30"/>
    <n v="0"/>
    <n v="0"/>
    <n v="20"/>
    <n v="320"/>
    <n v="320"/>
  </r>
  <r>
    <x v="2"/>
    <x v="1"/>
    <x v="21"/>
    <m/>
    <x v="0"/>
    <n v="520101030018"/>
    <s v="Gasto de Depreciacion Muebles y Enseres"/>
    <n v="0"/>
    <n v="0"/>
    <n v="0"/>
    <n v="0"/>
    <n v="0"/>
    <n v="0"/>
    <n v="10.130000000000001"/>
    <n v="9.57"/>
    <n v="9.57"/>
    <n v="11.6"/>
    <n v="9.57"/>
    <n v="15.83"/>
    <n v="66.27000000000001"/>
    <n v="66.27000000141561"/>
  </r>
  <r>
    <x v="2"/>
    <x v="1"/>
    <x v="21"/>
    <m/>
    <x v="0"/>
    <n v="520101030019"/>
    <s v="Gasto de Depreciacion de Vehiculos"/>
    <n v="0"/>
    <n v="0"/>
    <n v="0"/>
    <n v="0"/>
    <n v="0"/>
    <n v="0"/>
    <n v="414.58"/>
    <n v="414.58"/>
    <n v="414.58"/>
    <n v="414.58"/>
    <n v="414.58"/>
    <n v="414.58"/>
    <n v="2487.48"/>
    <n v="2487.480000000447"/>
  </r>
  <r>
    <x v="2"/>
    <x v="1"/>
    <x v="21"/>
    <m/>
    <x v="0"/>
    <n v="520101030020"/>
    <s v="Otros pagos bienes y servicios ventas"/>
    <n v="0"/>
    <n v="0"/>
    <n v="0"/>
    <n v="0"/>
    <n v="0"/>
    <n v="0"/>
    <n v="0"/>
    <n v="92.23"/>
    <n v="57.75"/>
    <n v="50.06"/>
    <n v="59.42"/>
    <n v="0"/>
    <n v="259.46000000000004"/>
    <n v="259.46000000089407"/>
  </r>
  <r>
    <x v="2"/>
    <x v="1"/>
    <x v="21"/>
    <m/>
    <x v="0"/>
    <n v="520101030021"/>
    <s v="Mant equipos de computo                                               "/>
    <n v="0"/>
    <n v="0"/>
    <n v="0"/>
    <n v="0"/>
    <n v="0"/>
    <n v="0"/>
    <n v="0"/>
    <n v="0"/>
    <n v="50"/>
    <n v="0"/>
    <n v="0"/>
    <n v="0"/>
    <n v="50"/>
    <n v="50"/>
  </r>
  <r>
    <x v="2"/>
    <x v="1"/>
    <x v="21"/>
    <m/>
    <x v="0"/>
    <n v="520101030022"/>
    <s v="Correo y Courrier                                                     "/>
    <n v="0"/>
    <n v="0"/>
    <n v="0"/>
    <n v="0"/>
    <n v="0"/>
    <n v="0"/>
    <n v="0"/>
    <n v="0"/>
    <n v="0"/>
    <n v="8.5"/>
    <n v="243.3"/>
    <n v="36.89"/>
    <n v="288.69"/>
    <n v="288.6900000013411"/>
  </r>
  <r>
    <x v="2"/>
    <x v="2"/>
    <x v="22"/>
    <m/>
    <x v="0"/>
    <n v="520201010001"/>
    <s v="Sueldos"/>
    <n v="14361.67"/>
    <n v="13769.96"/>
    <n v="13762.48"/>
    <n v="19645.810000000001"/>
    <n v="19542.48"/>
    <n v="20938.21"/>
    <n v="20798.48"/>
    <n v="21248.48"/>
    <n v="21413.48"/>
    <n v="19598.48"/>
    <n v="17915.150000000001"/>
    <n v="16520.150000000001"/>
    <n v="219514.83"/>
    <n v="219514.83000000566"/>
  </r>
  <r>
    <x v="2"/>
    <x v="2"/>
    <x v="22"/>
    <m/>
    <x v="0"/>
    <n v="520201010002"/>
    <s v="Sobretiempos"/>
    <n v="782.39"/>
    <n v="984.64"/>
    <n v="429.91"/>
    <n v="608.59"/>
    <n v="767.83"/>
    <n v="1098.8699999999999"/>
    <n v="583.02"/>
    <n v="534.64"/>
    <n v="823.72"/>
    <n v="521.37"/>
    <n v="678.83"/>
    <n v="423.61"/>
    <n v="8237.42"/>
    <n v="8237.4199999999255"/>
  </r>
  <r>
    <x v="2"/>
    <x v="2"/>
    <x v="22"/>
    <m/>
    <x v="0"/>
    <n v="520201010003"/>
    <s v="Aporte Patronal 12.15%"/>
    <n v="1839.99"/>
    <n v="1792.7"/>
    <n v="1724.4"/>
    <n v="2556.11"/>
    <n v="2771.45"/>
    <n v="2738.29"/>
    <n v="2597.88"/>
    <n v="2768.14"/>
    <n v="2735.6"/>
    <n v="2503.27"/>
    <n v="2259.19"/>
    <n v="2166.62"/>
    <n v="28453.64"/>
    <n v="28453.639999996871"/>
  </r>
  <r>
    <x v="2"/>
    <x v="2"/>
    <x v="22"/>
    <m/>
    <x v="0"/>
    <n v="520201010004"/>
    <s v="Fondo de Reserva"/>
    <n v="885.36"/>
    <n v="920.07"/>
    <n v="916.01"/>
    <n v="1049.21"/>
    <n v="1171.8399999999999"/>
    <n v="1058.1099999999999"/>
    <n v="961.94"/>
    <n v="962.23"/>
    <n v="1128.76"/>
    <n v="1023.39"/>
    <n v="1033.1600000000001"/>
    <n v="1017.64"/>
    <n v="12127.719999999998"/>
    <n v="12127.720000000671"/>
  </r>
  <r>
    <x v="2"/>
    <x v="2"/>
    <x v="22"/>
    <m/>
    <x v="0"/>
    <n v="520201010005"/>
    <s v="Decimo Tercer Sueldo"/>
    <n v="1262.01"/>
    <n v="1229.54"/>
    <n v="1182.71"/>
    <n v="1753.16"/>
    <n v="1900.87"/>
    <n v="1878.09"/>
    <n v="1781.78"/>
    <n v="1898.6"/>
    <n v="1875.49"/>
    <n v="1716.93"/>
    <n v="1549.51"/>
    <n v="1411.99"/>
    <n v="19440.68"/>
    <n v="19440.679999997839"/>
  </r>
  <r>
    <x v="2"/>
    <x v="2"/>
    <x v="22"/>
    <m/>
    <x v="0"/>
    <n v="520201010006"/>
    <s v="Decimo Cuarto Sueldo"/>
    <n v="639.11"/>
    <n v="611.23"/>
    <n v="611.23"/>
    <n v="673.41"/>
    <n v="668.06"/>
    <n v="738.83"/>
    <n v="739.91"/>
    <n v="739.91"/>
    <n v="703.45"/>
    <n v="675.57"/>
    <n v="700.23"/>
    <n v="725.97"/>
    <n v="8226.909999999998"/>
    <n v="8226.9100000020117"/>
  </r>
  <r>
    <x v="2"/>
    <x v="2"/>
    <x v="22"/>
    <m/>
    <x v="0"/>
    <n v="520201010007"/>
    <s v="Vacaciones"/>
    <n v="0"/>
    <n v="0"/>
    <n v="0"/>
    <n v="300"/>
    <n v="845.52"/>
    <n v="872.43"/>
    <n v="866.6"/>
    <n v="885.35"/>
    <n v="869.31"/>
    <n v="775.28"/>
    <n v="746.47"/>
    <n v="-6149.81"/>
    <n v="11.149999999998727"/>
    <n v="11.149999998509884"/>
  </r>
  <r>
    <x v="2"/>
    <x v="2"/>
    <x v="22"/>
    <m/>
    <x v="0"/>
    <n v="520201010008"/>
    <s v="Desahucio Administración"/>
    <n v="168.51"/>
    <n v="168.51"/>
    <n v="168.51"/>
    <n v="168.51"/>
    <n v="168.51"/>
    <n v="168.51"/>
    <n v="168.51"/>
    <n v="168.51"/>
    <n v="168.51"/>
    <n v="168.51"/>
    <n v="168.51"/>
    <n v="168.51"/>
    <n v="2022.12"/>
    <n v="2022.1199999973178"/>
  </r>
  <r>
    <x v="2"/>
    <x v="2"/>
    <x v="22"/>
    <m/>
    <x v="0"/>
    <n v="520201010009"/>
    <s v="Indemnización Administración"/>
    <n v="0"/>
    <n v="0"/>
    <n v="0"/>
    <n v="0"/>
    <n v="0"/>
    <n v="0"/>
    <n v="0"/>
    <n v="0"/>
    <n v="3600"/>
    <n v="0"/>
    <n v="0"/>
    <n v="0"/>
    <n v="3600"/>
    <n v="3600"/>
  </r>
  <r>
    <x v="2"/>
    <x v="2"/>
    <x v="22"/>
    <m/>
    <x v="0"/>
    <n v="520201010010"/>
    <s v="Bonificaciones Voluntarias Administración"/>
    <n v="0"/>
    <n v="0"/>
    <n v="0"/>
    <n v="483.33"/>
    <n v="2500"/>
    <n v="647.23"/>
    <n v="0"/>
    <n v="1000"/>
    <n v="493.46"/>
    <n v="483.33"/>
    <n v="0"/>
    <n v="0"/>
    <n v="5607.3499999999995"/>
    <n v="5607.3500000014901"/>
  </r>
  <r>
    <x v="2"/>
    <x v="2"/>
    <x v="22"/>
    <m/>
    <x v="0"/>
    <n v="520201010011"/>
    <s v="Jubilación Patronal Administración"/>
    <n v="519.97"/>
    <n v="519.97"/>
    <n v="519.97"/>
    <n v="519.97"/>
    <n v="519.97"/>
    <n v="519.97"/>
    <n v="519.97"/>
    <n v="519.97"/>
    <n v="519.97"/>
    <n v="519.97"/>
    <n v="519.97"/>
    <n v="519.97"/>
    <n v="6239.6400000000021"/>
    <n v="6239.6400000080466"/>
  </r>
  <r>
    <x v="2"/>
    <x v="2"/>
    <x v="22"/>
    <m/>
    <x v="0"/>
    <n v="520201010013"/>
    <s v="Salario Digno"/>
    <n v="0"/>
    <n v="0"/>
    <n v="0"/>
    <n v="0"/>
    <n v="0"/>
    <n v="0"/>
    <n v="0"/>
    <n v="0"/>
    <n v="0"/>
    <n v="0"/>
    <n v="0"/>
    <n v="0"/>
    <n v="0"/>
    <n v="0"/>
  </r>
  <r>
    <x v="2"/>
    <x v="2"/>
    <x v="20"/>
    <m/>
    <x v="0"/>
    <n v="520201020002"/>
    <s v="Alimentacion Administración"/>
    <n v="921.03"/>
    <n v="672.5"/>
    <n v="1029.23"/>
    <n v="1150.23"/>
    <n v="852.54"/>
    <n v="399.52"/>
    <n v="554.22"/>
    <n v="619.89"/>
    <n v="1131.03"/>
    <n v="930.69"/>
    <n v="506.51"/>
    <n v="680.88"/>
    <n v="9448.27"/>
    <n v="9448.269999999553"/>
  </r>
  <r>
    <x v="2"/>
    <x v="2"/>
    <x v="20"/>
    <m/>
    <x v="0"/>
    <n v="520201020003"/>
    <s v="Movilizacion/Transp de Personal Administración"/>
    <n v="100"/>
    <n v="220"/>
    <n v="160"/>
    <n v="160"/>
    <n v="160"/>
    <n v="160"/>
    <n v="160"/>
    <n v="160"/>
    <n v="160"/>
    <n v="160"/>
    <n v="160"/>
    <n v="160"/>
    <n v="1920"/>
    <n v="1920"/>
  </r>
  <r>
    <x v="2"/>
    <x v="2"/>
    <x v="20"/>
    <m/>
    <x v="0"/>
    <n v="520201020004"/>
    <s v="Gastos Médicos ventas y administración"/>
    <n v="21.12"/>
    <n v="0"/>
    <n v="15.18"/>
    <n v="10.53"/>
    <n v="12.45"/>
    <n v="10.85"/>
    <n v="0"/>
    <n v="0"/>
    <n v="27.9"/>
    <n v="0"/>
    <n v="0"/>
    <n v="112.14"/>
    <n v="210.17000000000002"/>
    <n v="210.16999999806285"/>
  </r>
  <r>
    <x v="2"/>
    <x v="2"/>
    <x v="20"/>
    <m/>
    <x v="0"/>
    <n v="520201020005"/>
    <s v="Uniformes personal ventas y administrativo"/>
    <n v="0"/>
    <n v="0"/>
    <n v="0"/>
    <n v="0"/>
    <n v="0"/>
    <n v="0"/>
    <n v="0"/>
    <n v="0"/>
    <n v="0"/>
    <n v="0"/>
    <n v="0"/>
    <n v="6716.5"/>
    <n v="6716.5"/>
    <n v="6716.5"/>
  </r>
  <r>
    <x v="2"/>
    <x v="2"/>
    <x v="20"/>
    <m/>
    <x v="0"/>
    <n v="520201020006"/>
    <s v="Capacitación y Seminarios Administración"/>
    <n v="6521.5"/>
    <n v="0"/>
    <n v="0"/>
    <n v="0"/>
    <n v="930"/>
    <n v="400"/>
    <n v="1207.5"/>
    <n v="100"/>
    <n v="0"/>
    <n v="44.64"/>
    <n v="0"/>
    <n v="0"/>
    <n v="9203.64"/>
    <n v="9203.640000000596"/>
  </r>
  <r>
    <x v="2"/>
    <x v="2"/>
    <x v="20"/>
    <m/>
    <x v="0"/>
    <n v="520201020007"/>
    <s v="Agasajo al Personal Administración"/>
    <n v="0"/>
    <n v="80.400000000000006"/>
    <n v="75"/>
    <n v="86.92"/>
    <n v="64.61"/>
    <n v="7.51"/>
    <n v="260.76"/>
    <n v="857.86"/>
    <n v="127.54"/>
    <n v="0"/>
    <n v="638.05999999999995"/>
    <n v="2154.39"/>
    <n v="4353.0499999999993"/>
    <n v="4353.0499999988824"/>
  </r>
  <r>
    <x v="2"/>
    <x v="2"/>
    <x v="20"/>
    <m/>
    <x v="0"/>
    <n v="520201020008"/>
    <s v="Otros gastos de personal Administración"/>
    <n v="0"/>
    <n v="0"/>
    <n v="0"/>
    <n v="0"/>
    <n v="0"/>
    <n v="0"/>
    <n v="32.99"/>
    <n v="-50"/>
    <n v="38"/>
    <n v="40.75"/>
    <n v="0"/>
    <n v="0"/>
    <n v="61.74"/>
    <n v="61.740000000223517"/>
  </r>
  <r>
    <x v="2"/>
    <x v="2"/>
    <x v="23"/>
    <m/>
    <x v="0"/>
    <n v="520202010001"/>
    <s v="Honorarios Profesionales"/>
    <n v="11036"/>
    <n v="10336"/>
    <n v="10694.91"/>
    <n v="18246"/>
    <n v="13771"/>
    <n v="11186"/>
    <n v="10347.11"/>
    <n v="9936"/>
    <n v="22195"/>
    <n v="25809.88"/>
    <n v="6985.94"/>
    <n v="41358.76"/>
    <n v="191902.6"/>
    <n v="191902.59999999963"/>
  </r>
  <r>
    <x v="2"/>
    <x v="2"/>
    <x v="23"/>
    <m/>
    <x v="0"/>
    <n v="520202010002"/>
    <s v="Servicios de Contabilidad - Asesorias"/>
    <n v="1601.93"/>
    <n v="1657.17"/>
    <n v="1657.17"/>
    <n v="55.24"/>
    <n v="0"/>
    <n v="0"/>
    <n v="0"/>
    <n v="0"/>
    <n v="8401"/>
    <n v="0"/>
    <n v="0"/>
    <n v="0"/>
    <n v="13372.51"/>
    <n v="13372.509999999776"/>
  </r>
  <r>
    <x v="2"/>
    <x v="2"/>
    <x v="23"/>
    <m/>
    <x v="0"/>
    <n v="520202010003"/>
    <s v="Servicios Profesionales"/>
    <n v="0"/>
    <n v="0"/>
    <n v="0"/>
    <n v="0"/>
    <n v="0"/>
    <n v="0"/>
    <n v="0"/>
    <n v="0"/>
    <n v="0"/>
    <n v="0"/>
    <n v="0"/>
    <n v="0"/>
    <n v="0"/>
    <n v="0"/>
  </r>
  <r>
    <x v="2"/>
    <x v="2"/>
    <x v="23"/>
    <m/>
    <x v="0"/>
    <n v="520202010004"/>
    <s v="Notarios y Registradores de la Propiedad o mercantiles"/>
    <n v="0"/>
    <n v="0"/>
    <n v="0"/>
    <n v="0"/>
    <n v="0"/>
    <n v="0"/>
    <n v="0"/>
    <n v="0"/>
    <n v="0"/>
    <n v="0"/>
    <n v="0"/>
    <n v="0"/>
    <n v="0"/>
    <n v="0"/>
  </r>
  <r>
    <x v="2"/>
    <x v="2"/>
    <x v="23"/>
    <m/>
    <x v="0"/>
    <n v="520202010005"/>
    <s v="Auditorías"/>
    <n v="0"/>
    <n v="812"/>
    <n v="0"/>
    <n v="700"/>
    <n v="0"/>
    <n v="0"/>
    <n v="220"/>
    <n v="0"/>
    <n v="0"/>
    <n v="900"/>
    <n v="250"/>
    <n v="4653.34"/>
    <n v="7535.34"/>
    <n v="7535.339999999851"/>
  </r>
  <r>
    <x v="2"/>
    <x v="2"/>
    <x v="24"/>
    <m/>
    <x v="0"/>
    <n v="520203010001"/>
    <s v="Mantenimiento de Edificios y oficinas Administración"/>
    <n v="8"/>
    <n v="-421.88"/>
    <n v="0"/>
    <n v="0"/>
    <n v="14409.56"/>
    <n v="0"/>
    <n v="98.9"/>
    <n v="0"/>
    <n v="0"/>
    <n v="0"/>
    <n v="58.11"/>
    <n v="0"/>
    <n v="14152.69"/>
    <n v="14152.689999999478"/>
  </r>
  <r>
    <x v="2"/>
    <x v="2"/>
    <x v="24"/>
    <m/>
    <x v="0"/>
    <n v="520203010002"/>
    <s v="Mantenimiento Instalaciones"/>
    <n v="21827.24"/>
    <n v="24070.880000000001"/>
    <n v="12383.12"/>
    <n v="39089.120000000003"/>
    <n v="19530.73"/>
    <n v="13666.28"/>
    <n v="19029.48"/>
    <n v="14742.01"/>
    <n v="20368.439999999999"/>
    <n v="3905.67"/>
    <n v="6317.81"/>
    <n v="24175.16"/>
    <n v="219105.94000000003"/>
    <n v="219105.93999999948"/>
  </r>
  <r>
    <x v="2"/>
    <x v="2"/>
    <x v="24"/>
    <m/>
    <x v="0"/>
    <n v="520203010003"/>
    <s v="Mant. Vehiculos Administracion"/>
    <n v="35"/>
    <n v="1311.64"/>
    <n v="833.51"/>
    <n v="359.5"/>
    <n v="2244.61"/>
    <n v="159.06"/>
    <n v="241.06"/>
    <n v="950.22"/>
    <n v="3097.73"/>
    <n v="4.4000000000000004"/>
    <n v="855.68"/>
    <n v="2539.54"/>
    <n v="12631.95"/>
    <n v="12631.950000001118"/>
  </r>
  <r>
    <x v="2"/>
    <x v="2"/>
    <x v="24"/>
    <m/>
    <x v="0"/>
    <n v="520203010004"/>
    <s v="Mantenimiento Muebles y Equipos Administración"/>
    <n v="100"/>
    <n v="1726.28"/>
    <n v="215"/>
    <n v="355"/>
    <n v="1906.35"/>
    <n v="364.4"/>
    <n v="3205"/>
    <n v="1593.57"/>
    <n v="1723"/>
    <n v="789.09"/>
    <n v="195"/>
    <n v="55"/>
    <n v="12227.689999999999"/>
    <n v="12227.689999999478"/>
  </r>
  <r>
    <x v="2"/>
    <x v="2"/>
    <x v="24"/>
    <m/>
    <x v="0"/>
    <n v="520203010005"/>
    <s v="Combustibles Administración"/>
    <n v="779.22"/>
    <n v="486.02"/>
    <n v="775.59"/>
    <n v="672.53"/>
    <n v="646.79"/>
    <n v="806.42"/>
    <n v="584.5"/>
    <n v="665.24"/>
    <n v="1294.3800000000001"/>
    <n v="852.99"/>
    <n v="780.91"/>
    <n v="1140.23"/>
    <n v="9484.82"/>
    <n v="9484.820000000298"/>
  </r>
  <r>
    <x v="2"/>
    <x v="2"/>
    <x v="24"/>
    <m/>
    <x v="0"/>
    <n v="520203010007"/>
    <s v="Matricula e impuestos  vehicular  Adm"/>
    <n v="57.9"/>
    <n v="0"/>
    <n v="0"/>
    <n v="0"/>
    <n v="0"/>
    <n v="28.56"/>
    <n v="4466.99"/>
    <n v="40"/>
    <n v="0"/>
    <n v="0"/>
    <n v="506.17"/>
    <n v="0"/>
    <n v="5099.62"/>
    <n v="5099.6200000010431"/>
  </r>
  <r>
    <x v="2"/>
    <x v="2"/>
    <x v="25"/>
    <m/>
    <x v="0"/>
    <n v="520204010001"/>
    <s v="Seguro Responsabilidad Civil"/>
    <n v="15"/>
    <n v="15"/>
    <n v="15"/>
    <n v="15"/>
    <n v="15"/>
    <n v="15"/>
    <n v="15"/>
    <n v="15"/>
    <n v="15"/>
    <n v="8"/>
    <n v="0"/>
    <n v="0"/>
    <n v="143"/>
    <n v="143"/>
  </r>
  <r>
    <x v="2"/>
    <x v="2"/>
    <x v="25"/>
    <m/>
    <x v="0"/>
    <n v="520204010002"/>
    <s v="Seguro de Vehiculos"/>
    <n v="845.11"/>
    <n v="345.11"/>
    <n v="345.11"/>
    <n v="345.11"/>
    <n v="345.11"/>
    <n v="345.11"/>
    <n v="345.11"/>
    <n v="1462.66"/>
    <n v="838.92"/>
    <n v="423.41"/>
    <n v="0"/>
    <n v="0"/>
    <n v="5640.76"/>
    <n v="5640.7599999960512"/>
  </r>
  <r>
    <x v="2"/>
    <x v="2"/>
    <x v="25"/>
    <m/>
    <x v="0"/>
    <n v="520204010003"/>
    <s v="Seguro de Contra Incendios"/>
    <n v="120.89"/>
    <n v="120.89"/>
    <n v="120.89"/>
    <n v="120.89"/>
    <n v="120.89"/>
    <n v="120.89"/>
    <n v="120.89"/>
    <n v="120.89"/>
    <n v="120.89"/>
    <n v="64.48"/>
    <n v="0"/>
    <n v="0"/>
    <n v="1152.49"/>
    <n v="1152.4900000058115"/>
  </r>
  <r>
    <x v="2"/>
    <x v="2"/>
    <x v="25"/>
    <m/>
    <x v="0"/>
    <n v="520204010004"/>
    <s v="Seguro Contra Asalto y Robos"/>
    <n v="12.01"/>
    <n v="12"/>
    <n v="12.01"/>
    <n v="12.01"/>
    <n v="12.01"/>
    <n v="12.01"/>
    <n v="12.01"/>
    <n v="12.01"/>
    <n v="12.01"/>
    <n v="6.4"/>
    <n v="0"/>
    <n v="0"/>
    <n v="114.48000000000002"/>
    <n v="114.47999999858439"/>
  </r>
  <r>
    <x v="2"/>
    <x v="2"/>
    <x v="25"/>
    <m/>
    <x v="0"/>
    <n v="520204010005"/>
    <s v="Seguro SENAE"/>
    <n v="0"/>
    <n v="0"/>
    <n v="0"/>
    <n v="0"/>
    <n v="0"/>
    <n v="0"/>
    <n v="0"/>
    <n v="0"/>
    <n v="0"/>
    <n v="0"/>
    <n v="0"/>
    <n v="0"/>
    <n v="0"/>
    <n v="0"/>
  </r>
  <r>
    <x v="2"/>
    <x v="2"/>
    <x v="25"/>
    <m/>
    <x v="0"/>
    <n v="520204010006"/>
    <s v="Seguro Celulares"/>
    <n v="0"/>
    <n v="0"/>
    <n v="0"/>
    <n v="0"/>
    <n v="0"/>
    <n v="0"/>
    <n v="0"/>
    <n v="0"/>
    <n v="0"/>
    <n v="0"/>
    <n v="0"/>
    <n v="0"/>
    <n v="0"/>
    <n v="0"/>
  </r>
  <r>
    <x v="2"/>
    <x v="2"/>
    <x v="25"/>
    <m/>
    <x v="0"/>
    <n v="520204010007"/>
    <s v="Otros seguros"/>
    <n v="0"/>
    <n v="0"/>
    <n v="1299.7"/>
    <n v="1432.72"/>
    <n v="0"/>
    <n v="256.14"/>
    <n v="0"/>
    <n v="53.31"/>
    <n v="0"/>
    <n v="149.29"/>
    <n v="0"/>
    <n v="0"/>
    <n v="3191.16"/>
    <n v="3191.160000000149"/>
  </r>
  <r>
    <x v="2"/>
    <x v="2"/>
    <x v="26"/>
    <m/>
    <x v="0"/>
    <n v="520205010001"/>
    <s v="Gastos de Viaje Administración"/>
    <n v="1264.23"/>
    <n v="0"/>
    <n v="2675"/>
    <n v="0"/>
    <n v="0"/>
    <n v="757.96"/>
    <n v="1786"/>
    <n v="914.92"/>
    <n v="4398"/>
    <n v="995"/>
    <n v="0"/>
    <n v="0"/>
    <n v="12791.11"/>
    <n v="12791.110000001267"/>
  </r>
  <r>
    <x v="2"/>
    <x v="2"/>
    <x v="26"/>
    <m/>
    <x v="0"/>
    <n v="520205010002"/>
    <s v="Gastos de Gestión"/>
    <n v="0"/>
    <n v="165.14"/>
    <n v="0"/>
    <n v="0"/>
    <n v="0"/>
    <n v="1007.23"/>
    <n v="5999.24"/>
    <n v="306.88"/>
    <n v="1111.06"/>
    <n v="-3603.21"/>
    <n v="1240.98"/>
    <n v="685.05"/>
    <n v="6912.37"/>
    <n v="6912.3700000029057"/>
  </r>
  <r>
    <x v="2"/>
    <x v="2"/>
    <x v="26"/>
    <m/>
    <x v="0"/>
    <n v="520205010003"/>
    <s v="Telefonía Celular"/>
    <n v="10"/>
    <n v="16.2"/>
    <n v="778.74"/>
    <n v="894.77"/>
    <n v="653.9"/>
    <n v="644.14"/>
    <n v="783.03"/>
    <n v="854.86"/>
    <n v="735.75"/>
    <n v="891.03"/>
    <n v="881.74"/>
    <n v="800.95"/>
    <n v="7945.1099999999988"/>
    <n v="7945.1099999975413"/>
  </r>
  <r>
    <x v="2"/>
    <x v="2"/>
    <x v="26"/>
    <m/>
    <x v="0"/>
    <n v="520205010004"/>
    <s v="Correo y Courrier"/>
    <n v="1000.56"/>
    <n v="213.63"/>
    <n v="271.49"/>
    <n v="150.41"/>
    <n v="701.55"/>
    <n v="297.70999999999998"/>
    <n v="178.74"/>
    <n v="675.21"/>
    <n v="296.27"/>
    <n v="181.28"/>
    <n v="268.56"/>
    <n v="206.82"/>
    <n v="4442.2300000000005"/>
    <n v="4442.2300000041723"/>
  </r>
  <r>
    <x v="2"/>
    <x v="2"/>
    <x v="26"/>
    <m/>
    <x v="0"/>
    <n v="520205010005"/>
    <s v="Suministros de Oficina y Computación"/>
    <n v="240.83"/>
    <n v="360.86"/>
    <n v="437.41"/>
    <n v="399.24"/>
    <n v="730.16"/>
    <n v="525.19000000000005"/>
    <n v="402.37"/>
    <n v="35.729999999999997"/>
    <n v="1033.55"/>
    <n v="883.25"/>
    <n v="0"/>
    <n v="514.37"/>
    <n v="5562.96"/>
    <n v="5562.9599999990314"/>
  </r>
  <r>
    <x v="2"/>
    <x v="2"/>
    <x v="26"/>
    <m/>
    <x v="0"/>
    <n v="520205010006"/>
    <s v="Energía Eléctrica Administración"/>
    <n v="1740.66"/>
    <n v="1101.3699999999999"/>
    <n v="1516.76"/>
    <n v="1438.4"/>
    <n v="1585.25"/>
    <n v="1721.01"/>
    <n v="1799.29"/>
    <n v="1463.18"/>
    <n v="1576.44"/>
    <n v="1602"/>
    <n v="1618.08"/>
    <n v="1849.03"/>
    <n v="19011.47"/>
    <n v="19011.469999996945"/>
  </r>
  <r>
    <x v="2"/>
    <x v="2"/>
    <x v="26"/>
    <m/>
    <x v="0"/>
    <n v="520205010007"/>
    <s v="Agua Administración"/>
    <n v="40.58"/>
    <n v="34.07"/>
    <n v="26.11"/>
    <n v="26.58"/>
    <n v="37.83"/>
    <n v="50.66"/>
    <n v="34.81"/>
    <n v="32.630000000000003"/>
    <n v="35.01"/>
    <n v="49.02"/>
    <n v="57.56"/>
    <n v="64.39"/>
    <n v="489.25"/>
    <n v="489.25000000186265"/>
  </r>
  <r>
    <x v="2"/>
    <x v="2"/>
    <x v="26"/>
    <m/>
    <x v="0"/>
    <n v="520205010008"/>
    <s v="Telefonía Convencional"/>
    <n v="1161.3800000000001"/>
    <n v="1028.3800000000001"/>
    <n v="327.02999999999997"/>
    <n v="411.44"/>
    <n v="335.87"/>
    <n v="357.11"/>
    <n v="334.84"/>
    <n v="282.45999999999998"/>
    <n v="291.08999999999997"/>
    <n v="287.25"/>
    <n v="273.33999999999997"/>
    <n v="277.58999999999997"/>
    <n v="5367.7800000000007"/>
    <n v="5367.7799999993294"/>
  </r>
  <r>
    <x v="2"/>
    <x v="2"/>
    <x v="26"/>
    <m/>
    <x v="0"/>
    <n v="520205010009"/>
    <s v="Internet"/>
    <n v="740"/>
    <n v="740"/>
    <n v="740"/>
    <n v="740"/>
    <n v="740"/>
    <n v="740"/>
    <n v="740"/>
    <n v="740"/>
    <n v="740"/>
    <n v="740"/>
    <n v="905"/>
    <n v="740"/>
    <n v="9045"/>
    <n v="9045"/>
  </r>
  <r>
    <x v="2"/>
    <x v="2"/>
    <x v="26"/>
    <m/>
    <x v="0"/>
    <n v="520205010010"/>
    <s v="Utiles de Limpieza/Cafeteria"/>
    <n v="78.59"/>
    <n v="80.319999999999993"/>
    <n v="115.09"/>
    <n v="314.51"/>
    <n v="87.7"/>
    <n v="268.42"/>
    <n v="998.19"/>
    <n v="110.91"/>
    <n v="305"/>
    <n v="348.14"/>
    <n v="246.93"/>
    <n v="50.79"/>
    <n v="3004.5899999999997"/>
    <n v="3004.5899999979883"/>
  </r>
  <r>
    <x v="2"/>
    <x v="2"/>
    <x v="26"/>
    <m/>
    <x v="0"/>
    <n v="520205010011"/>
    <s v="Gastos Menores de activos Administración"/>
    <n v="910"/>
    <n v="819.41"/>
    <n v="0"/>
    <n v="19.29"/>
    <n v="0"/>
    <n v="1038.28"/>
    <n v="0"/>
    <n v="0"/>
    <n v="0"/>
    <n v="4433.7299999999996"/>
    <n v="1870.54"/>
    <n v="0"/>
    <n v="9091.25"/>
    <n v="9091.2499999981374"/>
  </r>
  <r>
    <x v="2"/>
    <x v="2"/>
    <x v="26"/>
    <m/>
    <x v="0"/>
    <n v="520205010012"/>
    <s v="Donaciones"/>
    <n v="0"/>
    <n v="0"/>
    <n v="0"/>
    <n v="0"/>
    <n v="0"/>
    <n v="0"/>
    <n v="170"/>
    <n v="0"/>
    <n v="2150"/>
    <n v="100"/>
    <n v="0"/>
    <n v="0"/>
    <n v="2420"/>
    <n v="2420"/>
  </r>
  <r>
    <x v="2"/>
    <x v="2"/>
    <x v="26"/>
    <m/>
    <x v="0"/>
    <n v="520205010013"/>
    <s v="Cuotas y Suscripciones"/>
    <n v="1357"/>
    <n v="700"/>
    <n v="775"/>
    <n v="775"/>
    <n v="700"/>
    <n v="775"/>
    <n v="775"/>
    <n v="775"/>
    <n v="775"/>
    <n v="775"/>
    <n v="805"/>
    <n v="890.8"/>
    <n v="9877.7999999999993"/>
    <n v="9877.8000000007451"/>
  </r>
  <r>
    <x v="2"/>
    <x v="2"/>
    <x v="26"/>
    <m/>
    <x v="0"/>
    <n v="520205010014"/>
    <s v="IVA no aplicado (gasto)"/>
    <n v="7275.19"/>
    <n v="8158.57"/>
    <n v="7026.57"/>
    <n v="15008.74"/>
    <n v="12610.83"/>
    <n v="7389.37"/>
    <n v="7603.25"/>
    <n v="7483.91"/>
    <n v="16284.61"/>
    <n v="8064.68"/>
    <n v="8620.7000000000007"/>
    <n v="15991"/>
    <n v="121517.42"/>
    <n v="121517.41999999806"/>
  </r>
  <r>
    <x v="2"/>
    <x v="2"/>
    <x v="26"/>
    <m/>
    <x v="0"/>
    <n v="520205010015"/>
    <s v="Suministros, materiales y repuestos Administración"/>
    <n v="0"/>
    <n v="0"/>
    <n v="47.08"/>
    <n v="27.8"/>
    <n v="107.36"/>
    <n v="47.7"/>
    <n v="23.61"/>
    <n v="12.47"/>
    <n v="3"/>
    <n v="19.489999999999998"/>
    <n v="319.10000000000002"/>
    <n v="0"/>
    <n v="607.61000000000013"/>
    <n v="607.60999999940395"/>
  </r>
  <r>
    <x v="2"/>
    <x v="2"/>
    <x v="26"/>
    <m/>
    <x v="0"/>
    <n v="520205010016"/>
    <s v="Arriendo"/>
    <n v="15293.48"/>
    <n v="15293.48"/>
    <n v="15293.48"/>
    <n v="15293.48"/>
    <n v="15293.48"/>
    <n v="15293.48"/>
    <n v="15293.48"/>
    <n v="15293.48"/>
    <n v="15293.48"/>
    <n v="15293.48"/>
    <n v="15293.48"/>
    <n v="15293.48"/>
    <n v="183521.76"/>
    <n v="183521.76000000536"/>
  </r>
  <r>
    <x v="2"/>
    <x v="2"/>
    <x v="26"/>
    <m/>
    <x v="0"/>
    <n v="520205010017"/>
    <s v="Anucios diarios y revistas"/>
    <n v="0"/>
    <n v="0"/>
    <n v="0"/>
    <n v="0"/>
    <n v="0"/>
    <n v="0"/>
    <n v="0"/>
    <n v="0"/>
    <n v="0"/>
    <n v="0"/>
    <n v="0"/>
    <n v="0"/>
    <n v="0"/>
    <n v="0"/>
  </r>
  <r>
    <x v="2"/>
    <x v="2"/>
    <x v="26"/>
    <m/>
    <x v="0"/>
    <n v="520205010018"/>
    <s v="Multas e Intereses"/>
    <n v="0"/>
    <n v="116.4"/>
    <n v="823.11"/>
    <n v="556.42999999999995"/>
    <n v="0"/>
    <n v="311.3"/>
    <n v="-0.62"/>
    <n v="39.200000000000003"/>
    <n v="0"/>
    <n v="0"/>
    <n v="0"/>
    <n v="0"/>
    <n v="1845.8200000000002"/>
    <n v="1845.820000000298"/>
  </r>
  <r>
    <x v="2"/>
    <x v="2"/>
    <x v="26"/>
    <m/>
    <x v="0"/>
    <n v="520205010019"/>
    <s v="Otros costos de importación y producción"/>
    <n v="35"/>
    <n v="0"/>
    <n v="0"/>
    <n v="0"/>
    <n v="0"/>
    <n v="19.04"/>
    <n v="0"/>
    <n v="0"/>
    <n v="0"/>
    <n v="0"/>
    <n v="0"/>
    <n v="0"/>
    <n v="54.04"/>
    <n v="54.03999999910593"/>
  </r>
  <r>
    <x v="2"/>
    <x v="2"/>
    <x v="26"/>
    <m/>
    <x v="0"/>
    <n v="520205010020"/>
    <s v="Ajustes de centavos"/>
    <n v="0.37"/>
    <n v="1.04"/>
    <n v="-2"/>
    <n v="-2.4500000000000002"/>
    <n v="-0.04"/>
    <n v="2.79"/>
    <n v="-0.08"/>
    <n v="0.12"/>
    <n v="-0.06"/>
    <n v="0.27"/>
    <n v="-0.09"/>
    <n v="0.13"/>
    <n v="0"/>
    <n v="0"/>
  </r>
  <r>
    <x v="2"/>
    <x v="2"/>
    <x v="26"/>
    <m/>
    <x v="0"/>
    <n v="520205010021"/>
    <s v="Gastos Legales"/>
    <n v="672"/>
    <n v="0"/>
    <n v="1568"/>
    <n v="0"/>
    <n v="500"/>
    <n v="0"/>
    <n v="0"/>
    <n v="1408.84"/>
    <n v="2100"/>
    <n v="0"/>
    <n v="0"/>
    <n v="0"/>
    <n v="6248.84"/>
    <n v="6248.8399999979883"/>
  </r>
  <r>
    <x v="2"/>
    <x v="2"/>
    <x v="26"/>
    <m/>
    <x v="0"/>
    <n v="520205010022"/>
    <s v="Seguridad"/>
    <n v="2750"/>
    <n v="2825"/>
    <n v="2750"/>
    <n v="1298"/>
    <n v="2596"/>
    <n v="2596"/>
    <n v="2596"/>
    <n v="2596"/>
    <n v="2596"/>
    <n v="2596"/>
    <n v="2596"/>
    <n v="2596"/>
    <n v="30391"/>
    <n v="30391"/>
  </r>
  <r>
    <x v="2"/>
    <x v="2"/>
    <x v="26"/>
    <m/>
    <x v="0"/>
    <n v="520205010023"/>
    <s v="Gastos no Deducibles"/>
    <n v="193.1"/>
    <n v="1040.1199999999999"/>
    <n v="113"/>
    <n v="51"/>
    <n v="113.81"/>
    <n v="1486.73"/>
    <n v="521.16999999999996"/>
    <n v="672.19"/>
    <n v="1981.49"/>
    <n v="3716"/>
    <n v="3334.73"/>
    <n v="169"/>
    <n v="13392.34"/>
    <n v="13392.339999999851"/>
  </r>
  <r>
    <x v="2"/>
    <x v="2"/>
    <x v="26"/>
    <m/>
    <x v="0"/>
    <n v="520205010024"/>
    <s v="Gastos de licencias -software y mant ERP"/>
    <n v="431.69"/>
    <n v="431.69"/>
    <n v="431.69"/>
    <n v="19346.29"/>
    <n v="581.17999999999995"/>
    <n v="3434.69"/>
    <n v="539.34"/>
    <n v="1193.79"/>
    <n v="431.69"/>
    <n v="431.69"/>
    <n v="575.02"/>
    <n v="3371.69"/>
    <n v="31200.449999999997"/>
    <n v="31200.449999993667"/>
  </r>
  <r>
    <x v="2"/>
    <x v="2"/>
    <x v="26"/>
    <m/>
    <x v="0"/>
    <n v="520205010025"/>
    <s v="Gastos departamento Colón"/>
    <n v="0"/>
    <n v="0"/>
    <n v="0"/>
    <n v="0"/>
    <n v="0"/>
    <n v="0"/>
    <n v="0"/>
    <n v="0"/>
    <n v="0"/>
    <n v="0"/>
    <n v="0"/>
    <n v="0"/>
    <n v="0"/>
    <n v="0"/>
  </r>
  <r>
    <x v="2"/>
    <x v="2"/>
    <x v="26"/>
    <m/>
    <x v="0"/>
    <n v="520205010026"/>
    <s v="Iva Facrtor de Proporcionalidad"/>
    <n v="3531.78"/>
    <n v="3418.37"/>
    <n v="3101.97"/>
    <n v="4362.09"/>
    <n v="3889.78"/>
    <n v="3494.14"/>
    <n v="3023.04"/>
    <n v="2377.17"/>
    <n v="1768.74"/>
    <n v="1401.7"/>
    <n v="633.39"/>
    <n v="1322.36"/>
    <n v="32324.53"/>
    <n v="32324.529999997467"/>
  </r>
  <r>
    <x v="2"/>
    <x v="2"/>
    <x v="26"/>
    <m/>
    <x v="0"/>
    <n v="520205010027"/>
    <s v="Promocion y Publicidad Administracion"/>
    <n v="0"/>
    <n v="1150"/>
    <n v="0"/>
    <n v="0"/>
    <n v="0"/>
    <n v="0"/>
    <n v="0"/>
    <n v="200"/>
    <n v="0"/>
    <n v="0"/>
    <n v="0"/>
    <n v="0"/>
    <n v="1350"/>
    <n v="1350"/>
  </r>
  <r>
    <x v="2"/>
    <x v="2"/>
    <x v="26"/>
    <m/>
    <x v="0"/>
    <n v="520205010028"/>
    <s v="Provision Ctas incobrables"/>
    <n v="0"/>
    <n v="0"/>
    <n v="0"/>
    <n v="0"/>
    <n v="0"/>
    <n v="0"/>
    <n v="0"/>
    <n v="0"/>
    <n v="0"/>
    <n v="0"/>
    <n v="0"/>
    <n v="36708.129999999997"/>
    <n v="36708.129999999997"/>
    <n v="36708.13000000082"/>
  </r>
  <r>
    <x v="2"/>
    <x v="2"/>
    <x v="26"/>
    <m/>
    <x v="0"/>
    <n v="520205010029"/>
    <s v="Gastos de viaticos administración"/>
    <n v="0"/>
    <n v="1599.23"/>
    <n v="0"/>
    <n v="202.08"/>
    <n v="0"/>
    <n v="0"/>
    <n v="0"/>
    <n v="0"/>
    <n v="0"/>
    <n v="0"/>
    <n v="3316.55"/>
    <n v="0"/>
    <n v="5117.8600000000006"/>
    <n v="5117.8600000012666"/>
  </r>
  <r>
    <x v="2"/>
    <x v="2"/>
    <x v="26"/>
    <m/>
    <x v="0"/>
    <n v="520205010030"/>
    <s v="Gasto Movilizacion Administración"/>
    <n v="85"/>
    <n v="40.85"/>
    <n v="18.600000000000001"/>
    <n v="111.5"/>
    <n v="82.5"/>
    <n v="100.25"/>
    <n v="107.3"/>
    <n v="73.75"/>
    <n v="142"/>
    <n v="79.400000000000006"/>
    <n v="23"/>
    <n v="59.5"/>
    <n v="923.65"/>
    <n v="923.65000000037253"/>
  </r>
  <r>
    <x v="2"/>
    <x v="2"/>
    <x v="26"/>
    <m/>
    <x v="0"/>
    <n v="520205010031"/>
    <s v="Retenciones Asumidas"/>
    <n v="0"/>
    <n v="0"/>
    <n v="0"/>
    <n v="0"/>
    <n v="0"/>
    <n v="0"/>
    <n v="0"/>
    <n v="0"/>
    <n v="0"/>
    <n v="0"/>
    <n v="0"/>
    <n v="0"/>
    <n v="0"/>
    <n v="0"/>
  </r>
  <r>
    <x v="2"/>
    <x v="2"/>
    <x v="26"/>
    <m/>
    <x v="0"/>
    <n v="520205010032"/>
    <s v="Alquiler maquinarias y otros adm"/>
    <n v="0"/>
    <n v="0"/>
    <n v="0"/>
    <n v="0"/>
    <n v="0"/>
    <n v="0"/>
    <n v="0"/>
    <n v="0"/>
    <n v="0"/>
    <n v="0"/>
    <n v="0"/>
    <n v="0"/>
    <n v="0"/>
    <n v="0"/>
  </r>
  <r>
    <x v="2"/>
    <x v="2"/>
    <x v="26"/>
    <m/>
    <x v="0"/>
    <n v="520205010033"/>
    <s v="Contribucion solidaria sobre utilidades"/>
    <n v="0"/>
    <n v="0"/>
    <n v="0"/>
    <n v="0"/>
    <n v="0"/>
    <n v="0"/>
    <n v="0"/>
    <n v="0"/>
    <n v="0"/>
    <n v="0"/>
    <n v="0"/>
    <n v="0"/>
    <n v="0"/>
    <n v="0"/>
  </r>
  <r>
    <x v="2"/>
    <x v="2"/>
    <x v="26"/>
    <m/>
    <x v="0"/>
    <n v="520205010034"/>
    <s v="Seguro buen uso de anticipo"/>
    <n v="0"/>
    <n v="0"/>
    <n v="0"/>
    <n v="0"/>
    <n v="0"/>
    <n v="0"/>
    <n v="0"/>
    <n v="0"/>
    <n v="0"/>
    <n v="0"/>
    <n v="0"/>
    <n v="0"/>
    <n v="0"/>
    <n v="0"/>
  </r>
  <r>
    <x v="2"/>
    <x v="2"/>
    <x v="26"/>
    <m/>
    <x v="0"/>
    <n v="520205010035"/>
    <s v="Sistema de circuito cerrado"/>
    <n v="91.67"/>
    <n v="91.67"/>
    <n v="91.67"/>
    <n v="91.67"/>
    <n v="91.67"/>
    <n v="91.65"/>
    <n v="91.67"/>
    <n v="91.67"/>
    <n v="91.67"/>
    <n v="91.67"/>
    <n v="91.67"/>
    <n v="91.67"/>
    <n v="1100.0199999999998"/>
    <n v="1100.019999999553"/>
  </r>
  <r>
    <x v="2"/>
    <x v="2"/>
    <x v="26"/>
    <m/>
    <x v="0"/>
    <n v="520205010036"/>
    <s v="Otros pagos bienes y servicios administración"/>
    <n v="2082.38"/>
    <n v="1977.63"/>
    <n v="1281.24"/>
    <n v="1048.08"/>
    <n v="1699.68"/>
    <n v="1791.88"/>
    <n v="1552.62"/>
    <n v="529.82000000000005"/>
    <n v="1578.45"/>
    <n v="1327.89"/>
    <n v="4006.85"/>
    <n v="784.9"/>
    <n v="19661.419999999998"/>
    <n v="19661.420000001788"/>
  </r>
  <r>
    <x v="2"/>
    <x v="2"/>
    <x v="26"/>
    <m/>
    <x v="0"/>
    <n v="520205010037"/>
    <s v="Mant equipos de computo"/>
    <n v="58.5"/>
    <n v="1300"/>
    <n v="1300"/>
    <n v="0"/>
    <n v="1300"/>
    <n v="1200"/>
    <n v="1200"/>
    <n v="1088.57"/>
    <n v="1200"/>
    <n v="1200"/>
    <n v="1300"/>
    <n v="10787"/>
    <n v="21934.07"/>
    <n v="21934.070000000298"/>
  </r>
  <r>
    <x v="2"/>
    <x v="2"/>
    <x v="26"/>
    <m/>
    <x v="0"/>
    <n v="520205010038"/>
    <s v="Limpieza desalojo y relleno"/>
    <n v="0"/>
    <n v="0"/>
    <n v="0"/>
    <n v="12996.49"/>
    <n v="12996.49"/>
    <n v="0"/>
    <n v="0"/>
    <n v="0"/>
    <n v="35008"/>
    <n v="0"/>
    <n v="0"/>
    <n v="19397.95"/>
    <n v="80398.929999999993"/>
    <n v="80398.929999999702"/>
  </r>
  <r>
    <x v="2"/>
    <x v="2"/>
    <x v="26"/>
    <m/>
    <x v="0"/>
    <n v="520205010039"/>
    <s v="Registros y derechos"/>
    <n v="1157.22"/>
    <n v="0"/>
    <n v="277.7"/>
    <n v="207.92"/>
    <n v="450.57"/>
    <n v="25.84"/>
    <n v="26.2"/>
    <n v="0"/>
    <n v="441.79"/>
    <n v="0"/>
    <n v="668.14"/>
    <n v="862.57"/>
    <n v="4117.95"/>
    <n v="4117.9499999992549"/>
  </r>
  <r>
    <x v="2"/>
    <x v="2"/>
    <x v="26"/>
    <m/>
    <x v="0"/>
    <n v="520205010040"/>
    <s v="Obsequios y muestras a clientes (autoconsumo)"/>
    <n v="11.28"/>
    <n v="12.96"/>
    <n v="179.59"/>
    <n v="457.23"/>
    <n v="538.52"/>
    <n v="224.2"/>
    <n v="1741.22"/>
    <n v="1373.39"/>
    <n v="1496.01"/>
    <n v="1415.03"/>
    <n v="554.5"/>
    <n v="1452.68"/>
    <n v="9456.61"/>
    <n v="9456.609999999404"/>
  </r>
  <r>
    <x v="2"/>
    <x v="2"/>
    <x v="26"/>
    <m/>
    <x v="0"/>
    <n v="520205010041"/>
    <s v="Gastos de embarque por reexportacion"/>
    <n v="0"/>
    <n v="0"/>
    <n v="0"/>
    <n v="0"/>
    <n v="0"/>
    <n v="0"/>
    <n v="0"/>
    <n v="292.91000000000003"/>
    <n v="0"/>
    <n v="0"/>
    <n v="0"/>
    <n v="0"/>
    <n v="292.91000000000003"/>
    <n v="292.91000000014901"/>
  </r>
  <r>
    <x v="2"/>
    <x v="2"/>
    <x v="26"/>
    <m/>
    <x v="0"/>
    <n v="520205010042"/>
    <s v="Articulos de Seguridad"/>
    <n v="0"/>
    <n v="0"/>
    <n v="0"/>
    <n v="0"/>
    <n v="0"/>
    <n v="0"/>
    <n v="0"/>
    <n v="258"/>
    <n v="0"/>
    <n v="0"/>
    <n v="0"/>
    <n v="0"/>
    <n v="258"/>
    <n v="258"/>
  </r>
  <r>
    <x v="2"/>
    <x v="2"/>
    <x v="27"/>
    <m/>
    <x v="0"/>
    <n v="520206010001"/>
    <s v="Impuestos  municipales"/>
    <n v="1675.12"/>
    <n v="1929.07"/>
    <n v="0"/>
    <n v="1849.86"/>
    <n v="40926.33"/>
    <n v="0"/>
    <n v="0"/>
    <n v="0"/>
    <n v="0"/>
    <n v="1849.86"/>
    <n v="0"/>
    <n v="0"/>
    <n v="48230.240000000005"/>
    <n v="48230.239999998361"/>
  </r>
  <r>
    <x v="2"/>
    <x v="2"/>
    <x v="27"/>
    <m/>
    <x v="0"/>
    <n v="520206010002"/>
    <s v="Impuesto Cuerpo de Bomberos"/>
    <n v="410"/>
    <n v="0"/>
    <n v="0"/>
    <n v="0"/>
    <n v="0"/>
    <n v="0"/>
    <n v="0"/>
    <n v="0"/>
    <n v="0"/>
    <n v="0"/>
    <n v="0"/>
    <n v="3"/>
    <n v="413"/>
    <n v="413"/>
  </r>
  <r>
    <x v="2"/>
    <x v="2"/>
    <x v="27"/>
    <m/>
    <x v="0"/>
    <n v="520206010003"/>
    <s v="Impuesto 2x1.000 Universidad"/>
    <n v="0"/>
    <n v="0"/>
    <n v="2395.13"/>
    <n v="0"/>
    <n v="0"/>
    <n v="0"/>
    <n v="0"/>
    <n v="0"/>
    <n v="0"/>
    <n v="0"/>
    <n v="0"/>
    <n v="0"/>
    <n v="2395.13"/>
    <n v="2395.1300000008196"/>
  </r>
  <r>
    <x v="2"/>
    <x v="2"/>
    <x v="27"/>
    <m/>
    <x v="0"/>
    <n v="520206010004"/>
    <s v="Contribuciones  Super de Compania"/>
    <n v="0"/>
    <n v="0"/>
    <n v="0"/>
    <n v="0"/>
    <n v="0"/>
    <n v="0"/>
    <n v="0"/>
    <n v="0"/>
    <n v="12110.13"/>
    <n v="0"/>
    <n v="0"/>
    <n v="0"/>
    <n v="12110.13"/>
    <n v="12110.13000000082"/>
  </r>
  <r>
    <x v="2"/>
    <x v="2"/>
    <x v="27"/>
    <m/>
    <x v="0"/>
    <n v="520206010005"/>
    <s v="Contribucion Junta Beneficencia Gye"/>
    <n v="0"/>
    <n v="0"/>
    <n v="0"/>
    <n v="0"/>
    <n v="0"/>
    <n v="0"/>
    <n v="0"/>
    <n v="0"/>
    <n v="0"/>
    <n v="0"/>
    <n v="4510"/>
    <n v="0"/>
    <n v="4510"/>
    <n v="4510"/>
  </r>
  <r>
    <x v="2"/>
    <x v="2"/>
    <x v="27"/>
    <m/>
    <x v="0"/>
    <n v="520206010006"/>
    <s v="Impuesto salida de divisa"/>
    <n v="0"/>
    <n v="0"/>
    <n v="0"/>
    <n v="0"/>
    <n v="0"/>
    <n v="0"/>
    <n v="0"/>
    <n v="0"/>
    <n v="253.93"/>
    <n v="54.33"/>
    <n v="306.10000000000002"/>
    <n v="42.1"/>
    <n v="656.46"/>
    <n v="656.45999999903142"/>
  </r>
  <r>
    <x v="2"/>
    <x v="2"/>
    <x v="27"/>
    <m/>
    <x v="0"/>
    <n v="520206010007"/>
    <s v="Otros Impuestos"/>
    <n v="0"/>
    <n v="0"/>
    <n v="200"/>
    <n v="0"/>
    <n v="0"/>
    <n v="0"/>
    <n v="0"/>
    <n v="0"/>
    <n v="0"/>
    <n v="0"/>
    <n v="0"/>
    <n v="0"/>
    <n v="200"/>
    <n v="200"/>
  </r>
  <r>
    <x v="2"/>
    <x v="2"/>
    <x v="27"/>
    <m/>
    <x v="0"/>
    <n v="520206010008"/>
    <s v="Tasa de recoleccion de basura"/>
    <n v="0"/>
    <n v="0"/>
    <n v="0"/>
    <n v="0"/>
    <n v="0"/>
    <n v="0"/>
    <n v="0"/>
    <n v="1103.76"/>
    <n v="893.69"/>
    <n v="192.9"/>
    <n v="196.09"/>
    <n v="198.1"/>
    <n v="2584.54"/>
    <n v="2584.5399999991059"/>
  </r>
  <r>
    <x v="2"/>
    <x v="2"/>
    <x v="28"/>
    <m/>
    <x v="0"/>
    <n v="520207010001"/>
    <s v="Gastos de Depreciación de Edificios"/>
    <n v="0"/>
    <n v="0"/>
    <n v="0"/>
    <n v="0"/>
    <n v="0"/>
    <n v="0"/>
    <n v="0"/>
    <n v="0"/>
    <n v="0"/>
    <n v="0"/>
    <n v="0"/>
    <n v="0"/>
    <n v="0"/>
    <n v="0"/>
  </r>
  <r>
    <x v="2"/>
    <x v="2"/>
    <x v="28"/>
    <m/>
    <x v="0"/>
    <n v="520207010002"/>
    <s v="Gastos de Depreciaciones de Instalaciones"/>
    <n v="0"/>
    <n v="0"/>
    <n v="0"/>
    <n v="0"/>
    <n v="0"/>
    <n v="0"/>
    <n v="0.56000000000000005"/>
    <n v="0"/>
    <n v="0"/>
    <n v="0"/>
    <n v="0"/>
    <n v="-0.56000000000000005"/>
    <n v="0"/>
    <n v="0"/>
  </r>
  <r>
    <x v="2"/>
    <x v="2"/>
    <x v="28"/>
    <m/>
    <x v="0"/>
    <n v="520207010003"/>
    <s v="Gastos de Depreciaciones de Muebles y Enseres"/>
    <n v="427.95"/>
    <n v="414.19"/>
    <n v="412.37"/>
    <n v="415.33"/>
    <n v="412.82"/>
    <n v="412.89"/>
    <n v="402.38"/>
    <n v="403.5"/>
    <n v="402.94"/>
    <n v="407.02"/>
    <n v="408.79"/>
    <n v="427.19"/>
    <n v="4947.369999999999"/>
    <n v="4947.3699999973178"/>
  </r>
  <r>
    <x v="2"/>
    <x v="2"/>
    <x v="28"/>
    <m/>
    <x v="0"/>
    <n v="520207010004"/>
    <s v="Gastos de Depreciación de Equipos de computacion"/>
    <n v="525.1"/>
    <n v="516.97"/>
    <n v="539.22"/>
    <n v="539.22"/>
    <n v="539.22"/>
    <n v="506.9"/>
    <n v="569.42999999999995"/>
    <n v="544.97"/>
    <n v="544.97"/>
    <n v="542.6"/>
    <n v="553.72"/>
    <n v="545.70000000000005"/>
    <n v="6468.0200000000013"/>
    <n v="6468.0200000032783"/>
  </r>
  <r>
    <x v="2"/>
    <x v="2"/>
    <x v="28"/>
    <m/>
    <x v="0"/>
    <n v="520207010005"/>
    <s v="Gastos de Depreciación de Vehiculos"/>
    <n v="1607.53"/>
    <n v="1607.53"/>
    <n v="1607.53"/>
    <n v="1607.53"/>
    <n v="1607.53"/>
    <n v="1607.53"/>
    <n v="1192.95"/>
    <n v="3186.7"/>
    <n v="3255.45"/>
    <n v="3255.45"/>
    <n v="3255.45"/>
    <n v="3255.45"/>
    <n v="27046.630000000005"/>
    <n v="27046.629999991506"/>
  </r>
  <r>
    <x v="2"/>
    <x v="2"/>
    <x v="28"/>
    <m/>
    <x v="0"/>
    <n v="520207010006"/>
    <s v="Gastos de Depreciación de Otras propiedades, plantas y Equipos"/>
    <n v="92.79"/>
    <n v="92.79"/>
    <n v="92.79"/>
    <n v="92.79"/>
    <n v="92.79"/>
    <n v="92.79"/>
    <n v="92.79"/>
    <n v="62.89"/>
    <n v="37.6"/>
    <n v="37.6"/>
    <n v="37.6"/>
    <n v="-825.22"/>
    <n v="0"/>
    <n v="0"/>
  </r>
  <r>
    <x v="2"/>
    <x v="2"/>
    <x v="28"/>
    <m/>
    <x v="0"/>
    <n v="520207010007"/>
    <s v="Gastos depreciacion equipos de seguridad"/>
    <n v="8.7799999999999994"/>
    <n v="8.7799999999999994"/>
    <n v="8.7799999999999994"/>
    <n v="8.7799999999999994"/>
    <n v="8.7799999999999994"/>
    <n v="8.7799999999999994"/>
    <n v="8.7799999999999994"/>
    <n v="8.7799999999999994"/>
    <n v="8.7799999999999994"/>
    <n v="8.7799999999999994"/>
    <n v="8.7799999999999994"/>
    <n v="8.7799999999999994"/>
    <n v="105.36"/>
    <n v="105.35999998450279"/>
  </r>
  <r>
    <x v="2"/>
    <x v="2"/>
    <x v="26"/>
    <m/>
    <x v="0"/>
    <n v="520208020001"/>
    <s v="Amortizacion Perdidas Tributarias años Anteriores                     "/>
    <n v="0"/>
    <n v="0"/>
    <n v="0"/>
    <n v="8764.0499999999993"/>
    <n v="8764.0499999999993"/>
    <n v="8235.74"/>
    <n v="8764.0499999999993"/>
    <n v="8764.0499999999993"/>
    <n v="8764.0499999999993"/>
    <n v="8764.0499999999993"/>
    <n v="8764.0499999999993"/>
    <n v="8764.02"/>
    <n v="78348.110000000015"/>
    <n v="78348.110000004992"/>
  </r>
  <r>
    <x v="2"/>
    <x v="2"/>
    <x v="28"/>
    <m/>
    <x v="0"/>
    <n v="520209010001"/>
    <s v="Gastos de Deterioro de Edificios"/>
    <n v="0"/>
    <n v="0"/>
    <n v="0"/>
    <n v="0"/>
    <n v="0"/>
    <n v="0"/>
    <n v="0"/>
    <n v="0"/>
    <n v="0"/>
    <n v="0"/>
    <n v="0"/>
    <n v="0"/>
    <n v="0"/>
    <n v="0"/>
  </r>
  <r>
    <x v="2"/>
    <x v="2"/>
    <x v="28"/>
    <m/>
    <x v="0"/>
    <n v="520209010002"/>
    <s v="Gastos de  Deterioro  de Instalaciones"/>
    <n v="0"/>
    <n v="0"/>
    <n v="0"/>
    <n v="0"/>
    <n v="0"/>
    <n v="0"/>
    <n v="0"/>
    <n v="0"/>
    <n v="0"/>
    <n v="0"/>
    <n v="0"/>
    <n v="0"/>
    <n v="0"/>
    <n v="0"/>
  </r>
  <r>
    <x v="2"/>
    <x v="2"/>
    <x v="28"/>
    <m/>
    <x v="0"/>
    <n v="520209010003"/>
    <s v="Gastos de  Deterioro de Muebles y Enseres"/>
    <n v="0"/>
    <n v="0"/>
    <n v="0"/>
    <n v="0"/>
    <n v="0"/>
    <n v="0"/>
    <n v="0"/>
    <n v="0"/>
    <n v="0"/>
    <n v="0"/>
    <n v="0"/>
    <n v="0"/>
    <n v="0"/>
    <n v="0"/>
  </r>
  <r>
    <x v="2"/>
    <x v="2"/>
    <x v="28"/>
    <m/>
    <x v="0"/>
    <n v="520209010004"/>
    <s v="Gastos de  Deterioro de Equipos de computacion"/>
    <n v="0"/>
    <n v="0"/>
    <n v="0"/>
    <n v="0"/>
    <n v="0"/>
    <n v="0"/>
    <n v="0"/>
    <n v="0"/>
    <n v="0"/>
    <n v="0"/>
    <n v="0"/>
    <n v="0"/>
    <n v="0"/>
    <n v="0"/>
  </r>
  <r>
    <x v="2"/>
    <x v="2"/>
    <x v="28"/>
    <m/>
    <x v="0"/>
    <n v="520209010005"/>
    <s v="Gastos de  Deterioro de Vehiculos"/>
    <n v="0"/>
    <n v="0"/>
    <n v="0"/>
    <n v="0"/>
    <n v="0"/>
    <n v="0"/>
    <n v="0"/>
    <n v="0"/>
    <n v="0"/>
    <n v="0"/>
    <n v="0"/>
    <n v="0"/>
    <n v="0"/>
    <n v="0"/>
  </r>
  <r>
    <x v="2"/>
    <x v="2"/>
    <x v="28"/>
    <m/>
    <x v="0"/>
    <n v="520209010006"/>
    <s v="Gastos de  Deterioro de Otras propiedades, plantas y Equipos"/>
    <n v="0"/>
    <n v="0"/>
    <n v="0"/>
    <n v="0"/>
    <n v="0"/>
    <n v="0"/>
    <n v="0"/>
    <n v="0"/>
    <n v="0"/>
    <n v="0"/>
    <n v="0"/>
    <n v="0"/>
    <n v="0"/>
    <n v="0"/>
  </r>
  <r>
    <x v="2"/>
    <x v="3"/>
    <x v="29"/>
    <m/>
    <x v="0"/>
    <n v="520301010001"/>
    <s v="Intereses Bancarios"/>
    <n v="10060.629999999999"/>
    <n v="8979.7099999999991"/>
    <n v="9812.67"/>
    <n v="9377.18"/>
    <n v="9563.98"/>
    <n v="8910.82"/>
    <n v="6957.17"/>
    <n v="9290.18"/>
    <n v="7971.73"/>
    <n v="8101.97"/>
    <n v="10237.07"/>
    <n v="13100.26"/>
    <n v="112363.36999999998"/>
    <n v="112363.37000000291"/>
  </r>
  <r>
    <x v="2"/>
    <x v="3"/>
    <x v="29"/>
    <m/>
    <x v="0"/>
    <n v="520301010002"/>
    <s v="Intereses otros Proveedores"/>
    <n v="0"/>
    <n v="0"/>
    <n v="0"/>
    <n v="0"/>
    <n v="0"/>
    <n v="0"/>
    <n v="0"/>
    <n v="0"/>
    <n v="0"/>
    <n v="0"/>
    <n v="0"/>
    <n v="0"/>
    <n v="0"/>
    <n v="0"/>
  </r>
  <r>
    <x v="2"/>
    <x v="3"/>
    <x v="29"/>
    <m/>
    <x v="0"/>
    <n v="520301010003"/>
    <s v="Intereses otros proveedores - no deducibles"/>
    <n v="0"/>
    <n v="0"/>
    <n v="0"/>
    <n v="0"/>
    <n v="0"/>
    <n v="0"/>
    <n v="0"/>
    <n v="0"/>
    <n v="0"/>
    <n v="0"/>
    <n v="0"/>
    <n v="0"/>
    <n v="0"/>
    <n v="0"/>
  </r>
  <r>
    <x v="2"/>
    <x v="3"/>
    <x v="30"/>
    <m/>
    <x v="0"/>
    <n v="520301020001"/>
    <s v="Gastos Bancarios"/>
    <n v="1816.71"/>
    <n v="1954.82"/>
    <n v="2382"/>
    <n v="114.9"/>
    <n v="1754.9"/>
    <n v="2700.14"/>
    <n v="2732.94"/>
    <n v="1641.79"/>
    <n v="880.08"/>
    <n v="1293.76"/>
    <n v="1318.27"/>
    <n v="1937.68"/>
    <n v="20527.990000000002"/>
    <n v="20527.990000000224"/>
  </r>
  <r>
    <x v="2"/>
    <x v="3"/>
    <x v="30"/>
    <m/>
    <x v="0"/>
    <n v="520301020002"/>
    <s v="Diferencia en Cambio"/>
    <n v="0"/>
    <n v="0"/>
    <n v="0"/>
    <n v="0"/>
    <n v="0"/>
    <n v="0"/>
    <n v="0"/>
    <n v="0"/>
    <n v="0"/>
    <n v="0"/>
    <n v="0"/>
    <n v="0"/>
    <n v="0"/>
    <n v="0"/>
  </r>
  <r>
    <x v="2"/>
    <x v="3"/>
    <x v="30"/>
    <m/>
    <x v="0"/>
    <n v="520301020003"/>
    <s v="Servicios bancarios"/>
    <n v="0"/>
    <n v="0"/>
    <n v="0"/>
    <n v="0"/>
    <n v="0"/>
    <n v="0"/>
    <n v="0"/>
    <n v="0"/>
    <n v="49.28"/>
    <n v="0"/>
    <n v="0"/>
    <n v="0"/>
    <n v="49.28"/>
    <n v="49.279999999329448"/>
  </r>
  <r>
    <x v="2"/>
    <x v="3"/>
    <x v="30"/>
    <m/>
    <x v="0"/>
    <n v="520301020004"/>
    <s v="Gastos financieros Factoring"/>
    <n v="0"/>
    <n v="0"/>
    <n v="0"/>
    <n v="0"/>
    <n v="0"/>
    <n v="0"/>
    <n v="0"/>
    <n v="0"/>
    <n v="0"/>
    <n v="0"/>
    <n v="0"/>
    <n v="0"/>
    <n v="0"/>
    <n v="0"/>
  </r>
  <r>
    <x v="2"/>
    <x v="3"/>
    <x v="30"/>
    <m/>
    <x v="0"/>
    <n v="520301020005"/>
    <s v="Descuentos a clientes por pronto pago"/>
    <n v="0"/>
    <n v="0"/>
    <n v="0"/>
    <n v="0"/>
    <n v="0"/>
    <n v="0"/>
    <n v="0"/>
    <n v="0"/>
    <n v="0"/>
    <n v="0"/>
    <n v="0"/>
    <n v="0"/>
    <n v="0"/>
    <n v="0"/>
  </r>
  <r>
    <x v="2"/>
    <x v="3"/>
    <x v="30"/>
    <m/>
    <x v="0"/>
    <n v="520301020006"/>
    <s v="Otras Comisiones"/>
    <n v="3.14"/>
    <n v="5.04"/>
    <n v="0"/>
    <n v="3.67"/>
    <n v="0.26"/>
    <n v="0"/>
    <n v="0"/>
    <n v="0"/>
    <n v="0"/>
    <n v="0"/>
    <n v="0"/>
    <n v="5.15"/>
    <n v="17.259999999999998"/>
    <n v="17.259999999776483"/>
  </r>
  <r>
    <x v="2"/>
    <x v="3"/>
    <x v="30"/>
    <m/>
    <x v="0"/>
    <n v="520301020007"/>
    <s v="Perdida por diferencial cambiario"/>
    <n v="0"/>
    <n v="0"/>
    <n v="0"/>
    <n v="0"/>
    <n v="0"/>
    <n v="0"/>
    <n v="0"/>
    <n v="0"/>
    <n v="0"/>
    <n v="0"/>
    <n v="0"/>
    <n v="0"/>
    <n v="0"/>
    <n v="0"/>
  </r>
  <r>
    <x v="2"/>
    <x v="4"/>
    <x v="31"/>
    <m/>
    <x v="0"/>
    <n v="540101030008"/>
    <s v="Otros Intereses ganados"/>
    <n v="0"/>
    <n v="0"/>
    <n v="0"/>
    <n v="0"/>
    <n v="0"/>
    <n v="0"/>
    <n v="0"/>
    <n v="0"/>
    <n v="0"/>
    <n v="0"/>
    <n v="0"/>
    <n v="0"/>
    <n v="0"/>
    <n v="0"/>
  </r>
  <r>
    <x v="2"/>
    <x v="4"/>
    <x v="31"/>
    <m/>
    <x v="0"/>
    <n v="540101030009"/>
    <s v="Ajustes de Inventarios "/>
    <n v="0"/>
    <n v="-1.1399999999999999"/>
    <n v="0"/>
    <n v="0"/>
    <n v="0"/>
    <n v="1.1399999999999999"/>
    <n v="0"/>
    <n v="0"/>
    <n v="0"/>
    <n v="0"/>
    <n v="0"/>
    <n v="0"/>
    <n v="0"/>
    <n v="0"/>
  </r>
  <r>
    <x v="2"/>
    <x v="4"/>
    <x v="31"/>
    <m/>
    <x v="0"/>
    <n v="540101030010"/>
    <s v="Intereses ganados en bancos"/>
    <n v="-19.600000000000001"/>
    <n v="-19.64"/>
    <n v="-40.54"/>
    <n v="-69.77"/>
    <n v="-50.52"/>
    <n v="-24.78"/>
    <n v="-39"/>
    <n v="-30.36"/>
    <n v="-46.32"/>
    <n v="-43.11"/>
    <n v="-55.61"/>
    <n v="-17.38"/>
    <n v="-456.63000000000005"/>
    <n v="-456.62999999709427"/>
  </r>
  <r>
    <x v="2"/>
    <x v="4"/>
    <x v="31"/>
    <m/>
    <x v="0"/>
    <n v="540101030011"/>
    <s v="Otros ingresos"/>
    <n v="-7.3"/>
    <n v="-0.03"/>
    <n v="4.7"/>
    <n v="-54.7"/>
    <n v="-0.21"/>
    <n v="-4.62"/>
    <n v="-0.5"/>
    <n v="-0.06"/>
    <n v="-6.16"/>
    <n v="-1.81"/>
    <n v="-1.36"/>
    <n v="-110.22"/>
    <n v="-182.27"/>
    <n v="-182.27000000141561"/>
  </r>
  <r>
    <x v="2"/>
    <x v="4"/>
    <x v="31"/>
    <m/>
    <x v="0"/>
    <n v="540101030012"/>
    <s v="Otros Ingresos  excento -Seguro"/>
    <n v="0"/>
    <n v="0"/>
    <n v="0"/>
    <n v="0"/>
    <n v="0"/>
    <n v="0"/>
    <n v="0"/>
    <n v="0"/>
    <n v="0"/>
    <n v="0"/>
    <n v="0"/>
    <n v="0"/>
    <n v="0"/>
    <n v="0"/>
  </r>
  <r>
    <x v="2"/>
    <x v="4"/>
    <x v="31"/>
    <m/>
    <x v="0"/>
    <n v="540101030013"/>
    <s v="Ingresos por Reembolso"/>
    <n v="0"/>
    <n v="0"/>
    <n v="0"/>
    <n v="0"/>
    <n v="0"/>
    <n v="0"/>
    <n v="0"/>
    <n v="0"/>
    <n v="0"/>
    <n v="0"/>
    <n v="0"/>
    <n v="0"/>
    <n v="0"/>
    <n v="0"/>
  </r>
  <r>
    <x v="2"/>
    <x v="4"/>
    <x v="31"/>
    <m/>
    <x v="0"/>
    <n v="540101030014"/>
    <s v="Utilidad por venta de activo fijo"/>
    <n v="0"/>
    <n v="0"/>
    <n v="0"/>
    <n v="0"/>
    <n v="0"/>
    <n v="0"/>
    <n v="0"/>
    <n v="0"/>
    <n v="0"/>
    <n v="0"/>
    <n v="0"/>
    <n v="0"/>
    <n v="0"/>
    <n v="0"/>
  </r>
  <r>
    <x v="2"/>
    <x v="4"/>
    <x v="31"/>
    <m/>
    <x v="0"/>
    <n v="540101030015"/>
    <s v="Descuentos por pronto pago"/>
    <n v="0"/>
    <n v="0"/>
    <n v="0"/>
    <n v="0"/>
    <n v="0"/>
    <n v="0"/>
    <n v="-1394.01"/>
    <n v="0"/>
    <n v="0"/>
    <n v="0"/>
    <n v="0"/>
    <n v="0"/>
    <n v="-1394.01"/>
    <n v="-1394.0099999997765"/>
  </r>
  <r>
    <x v="2"/>
    <x v="4"/>
    <x v="31"/>
    <m/>
    <x v="0"/>
    <n v="540101030016"/>
    <s v="Ganancias Netas por Reversiones de Pasivos por Beneficios a los Emplea"/>
    <n v="0"/>
    <n v="0"/>
    <n v="0"/>
    <n v="0"/>
    <n v="0"/>
    <n v="0"/>
    <n v="0"/>
    <n v="0"/>
    <n v="0"/>
    <n v="0"/>
    <n v="0"/>
    <n v="-17172.169999999998"/>
    <n v="-17172.169999999998"/>
    <n v="-17172.169999999925"/>
  </r>
  <r>
    <x v="2"/>
    <x v="4"/>
    <x v="32"/>
    <m/>
    <x v="0"/>
    <n v="540101040009"/>
    <s v="Otros egresos"/>
    <n v="0.82"/>
    <n v="0.98"/>
    <n v="0"/>
    <n v="0"/>
    <n v="0.08"/>
    <n v="0.03"/>
    <n v="0.31"/>
    <n v="0.08"/>
    <n v="0.04"/>
    <n v="0.03"/>
    <n v="0.04"/>
    <n v="-2.41"/>
    <n v="0"/>
    <n v="0"/>
  </r>
  <r>
    <x v="2"/>
    <x v="4"/>
    <x v="32"/>
    <m/>
    <x v="0"/>
    <n v="540101040010"/>
    <s v="Costo por venta de activo fijo"/>
    <n v="0"/>
    <n v="0"/>
    <n v="0"/>
    <n v="0"/>
    <n v="0"/>
    <n v="0"/>
    <n v="0"/>
    <n v="0"/>
    <n v="0"/>
    <n v="0"/>
    <n v="0"/>
    <n v="0"/>
    <n v="0"/>
    <n v="0"/>
  </r>
  <r>
    <x v="2"/>
    <x v="4"/>
    <x v="32"/>
    <m/>
    <x v="0"/>
    <n v="540101040011"/>
    <s v="Otros cargos x multas"/>
    <n v="115.54"/>
    <n v="1445.82"/>
    <n v="874.72"/>
    <n v="-672.34"/>
    <n v="-138.35"/>
    <n v="-1625.39"/>
    <n v="0"/>
    <n v="0"/>
    <n v="0"/>
    <n v="0"/>
    <n v="0"/>
    <n v="0"/>
    <n v="-2.2737367544323206E-13"/>
    <n v="0"/>
  </r>
  <r>
    <x v="2"/>
    <x v="4"/>
    <x v="32"/>
    <m/>
    <x v="0"/>
    <n v="540101040012"/>
    <s v="Egresos por reembolso"/>
    <n v="0"/>
    <n v="0"/>
    <n v="0"/>
    <n v="0"/>
    <n v="0"/>
    <n v="0"/>
    <n v="0"/>
    <n v="0"/>
    <n v="0"/>
    <n v="0"/>
    <n v="0"/>
    <n v="0"/>
    <n v="0"/>
    <n v="0"/>
  </r>
  <r>
    <x v="2"/>
    <x v="4"/>
    <x v="32"/>
    <m/>
    <x v="0"/>
    <n v="540101040013"/>
    <s v="Dada de baja de invetarios"/>
    <n v="0"/>
    <n v="0"/>
    <n v="0"/>
    <n v="0"/>
    <n v="66101.37"/>
    <n v="-1723.56"/>
    <n v="-2705.63"/>
    <n v="0"/>
    <n v="27349.5"/>
    <n v="-29643.33"/>
    <n v="33185.86"/>
    <n v="114934.75"/>
    <n v="207498.96"/>
    <n v="207498.95999999531"/>
  </r>
  <r>
    <x v="2"/>
    <x v="4"/>
    <x v="32"/>
    <m/>
    <x v="0"/>
    <n v="540101040014"/>
    <s v="Perdida por venta de activo fijo"/>
    <n v="0"/>
    <n v="0"/>
    <n v="0"/>
    <n v="0"/>
    <n v="0"/>
    <n v="0"/>
    <n v="0"/>
    <n v="0"/>
    <n v="0"/>
    <n v="0"/>
    <n v="0"/>
    <n v="0"/>
    <n v="0"/>
    <n v="0"/>
  </r>
  <r>
    <x v="3"/>
    <x v="1"/>
    <x v="5"/>
    <m/>
    <x v="0"/>
    <n v="520101010001"/>
    <s v="Sueldos                                                               "/>
    <n v="14525"/>
    <n v="14891.67"/>
    <n v="14525"/>
    <n v="14491.67"/>
    <n v="14525"/>
    <n v="14525"/>
    <n v="14525"/>
    <n v="14175"/>
    <n v="14521.67"/>
    <n v="14615"/>
    <n v="14208.33"/>
    <n v="14175"/>
    <n v="173703.34"/>
    <n v="173703.33999999985"/>
  </r>
  <r>
    <x v="3"/>
    <x v="1"/>
    <x v="5"/>
    <m/>
    <x v="0"/>
    <n v="520101010002"/>
    <s v="Sobretiempos                                                          "/>
    <n v="790.32"/>
    <n v="1115.29"/>
    <n v="1070.69"/>
    <n v="1160.2"/>
    <n v="1079.42"/>
    <n v="1189.25"/>
    <n v="1214.93"/>
    <n v="809.63"/>
    <n v="1091.21"/>
    <n v="1614.04"/>
    <n v="1145.3"/>
    <n v="1181.23"/>
    <n v="13461.509999999998"/>
    <n v="13461.509999999776"/>
  </r>
  <r>
    <x v="3"/>
    <x v="1"/>
    <x v="5"/>
    <m/>
    <x v="0"/>
    <n v="520101010003"/>
    <s v="Comisiones                                                            "/>
    <n v="7381.53"/>
    <n v="11622.15"/>
    <n v="8878.42"/>
    <n v="8732.0300000000007"/>
    <n v="9431.99"/>
    <n v="11213.99"/>
    <n v="12289.89"/>
    <n v="11554.13"/>
    <n v="12856.44"/>
    <n v="9585.69"/>
    <n v="10015.780000000001"/>
    <n v="8460.1200000000008"/>
    <n v="122022.16"/>
    <n v="122022.15999999829"/>
  </r>
  <r>
    <x v="3"/>
    <x v="1"/>
    <x v="5"/>
    <m/>
    <x v="0"/>
    <n v="520101010004"/>
    <s v="Aporte Patronal 12.15%                                                "/>
    <n v="2949.05"/>
    <n v="3552.38"/>
    <n v="3046.15"/>
    <n v="3053.45"/>
    <n v="3147.5"/>
    <n v="3358.53"/>
    <n v="3466.71"/>
    <n v="5126.45"/>
    <n v="3513.82"/>
    <n v="3194.71"/>
    <n v="3178.42"/>
    <n v="3095.15"/>
    <n v="40682.32"/>
    <n v="40682.320000002161"/>
  </r>
  <r>
    <x v="3"/>
    <x v="1"/>
    <x v="5"/>
    <m/>
    <x v="0"/>
    <n v="520101010005"/>
    <s v="Fondo de Reserva                                                      "/>
    <n v="1376.89"/>
    <n v="1673.6"/>
    <n v="1435.53"/>
    <n v="1423.45"/>
    <n v="1519.86"/>
    <n v="1784.23"/>
    <n v="1953.27"/>
    <n v="3317.81"/>
    <n v="2133.84"/>
    <n v="1899.42"/>
    <n v="1831.17"/>
    <n v="1813.86"/>
    <n v="22162.93"/>
    <n v="22162.929999997839"/>
  </r>
  <r>
    <x v="3"/>
    <x v="1"/>
    <x v="5"/>
    <m/>
    <x v="0"/>
    <n v="520101010006"/>
    <s v="Decimo Tercer Sueldo                                                  "/>
    <n v="2022.65"/>
    <n v="2436.54"/>
    <n v="2089.2800000000002"/>
    <n v="2094.2600000000002"/>
    <n v="2158.83"/>
    <n v="2303.5300000000002"/>
    <n v="2377.7600000000002"/>
    <n v="3516.11"/>
    <n v="2410.06"/>
    <n v="2191.15"/>
    <n v="2179.9899999999998"/>
    <n v="2122.89"/>
    <n v="27903.050000000003"/>
    <n v="27903.049999998882"/>
  </r>
  <r>
    <x v="3"/>
    <x v="1"/>
    <x v="5"/>
    <m/>
    <x v="0"/>
    <n v="520101010007"/>
    <s v="Decimo Cuarto Sueldo                                                  "/>
    <n v="525.28"/>
    <n v="549.36"/>
    <n v="525.28"/>
    <n v="525.28"/>
    <n v="525.28"/>
    <n v="525.28"/>
    <n v="525.28"/>
    <n v="508.87"/>
    <n v="516.53"/>
    <n v="516.53"/>
    <n v="494.64"/>
    <n v="492.45"/>
    <n v="6230.0599999999986"/>
    <n v="6230.059999993071"/>
  </r>
  <r>
    <x v="3"/>
    <x v="1"/>
    <x v="5"/>
    <m/>
    <x v="0"/>
    <n v="520101010008"/>
    <s v="Vacaciones                                                            "/>
    <n v="605.22"/>
    <n v="1126.8800000000001"/>
    <n v="605.21"/>
    <n v="603.82000000000005"/>
    <n v="605.21"/>
    <n v="605.21"/>
    <n v="605.21"/>
    <n v="492.13"/>
    <n v="605.07000000000005"/>
    <n v="608.94000000000005"/>
    <n v="592.01"/>
    <n v="590.63"/>
    <n v="7645.5400000000018"/>
    <n v="7645.5400000065565"/>
  </r>
  <r>
    <x v="3"/>
    <x v="1"/>
    <x v="5"/>
    <m/>
    <x v="0"/>
    <n v="520101010009"/>
    <s v="Desahucio Ventas                                                      "/>
    <n v="398.1"/>
    <n v="398.1"/>
    <n v="398.1"/>
    <n v="398.1"/>
    <n v="398.1"/>
    <n v="398.1"/>
    <n v="398.1"/>
    <n v="398.1"/>
    <n v="398.1"/>
    <n v="398.1"/>
    <n v="398.1"/>
    <n v="398.1"/>
    <n v="4777.2"/>
    <n v="4777.1999999955297"/>
  </r>
  <r>
    <x v="3"/>
    <x v="1"/>
    <x v="5"/>
    <m/>
    <x v="0"/>
    <n v="520101010010"/>
    <s v="Indemnización Ventas                                                  "/>
    <n v="0"/>
    <n v="0"/>
    <n v="0"/>
    <n v="0"/>
    <n v="0"/>
    <n v="0"/>
    <n v="0"/>
    <n v="0"/>
    <n v="0"/>
    <n v="1906.89"/>
    <n v="11067.84"/>
    <n v="0"/>
    <n v="12974.73"/>
    <n v="12974.730000000447"/>
  </r>
  <r>
    <x v="3"/>
    <x v="1"/>
    <x v="5"/>
    <m/>
    <x v="0"/>
    <n v="520101010011"/>
    <s v="Bonificaciones Voluntarias Ventas                                     "/>
    <n v="1575"/>
    <n v="709"/>
    <n v="697"/>
    <n v="847"/>
    <n v="969"/>
    <n v="814"/>
    <n v="603"/>
    <n v="15754"/>
    <n v="551"/>
    <n v="579"/>
    <n v="890"/>
    <n v="1658"/>
    <n v="25646"/>
    <n v="25646"/>
  </r>
  <r>
    <x v="3"/>
    <x v="1"/>
    <x v="5"/>
    <m/>
    <x v="0"/>
    <n v="520101010012"/>
    <s v="Jubilación Patronal Ventas                                            "/>
    <n v="1089.8800000000001"/>
    <n v="1089.8800000000001"/>
    <n v="1089.8800000000001"/>
    <n v="1089.8800000000001"/>
    <n v="1089.8800000000001"/>
    <n v="1089.8800000000001"/>
    <n v="1089.8800000000001"/>
    <n v="1089.8800000000001"/>
    <n v="1089.8800000000001"/>
    <n v="1089.8800000000001"/>
    <n v="1089.8800000000001"/>
    <n v="1089.8800000000001"/>
    <n v="13078.560000000005"/>
    <n v="13078.560000009835"/>
  </r>
  <r>
    <x v="3"/>
    <x v="1"/>
    <x v="6"/>
    <m/>
    <x v="0"/>
    <n v="520101020002"/>
    <s v="Alimentacion Ventas                                                   "/>
    <n v="916.67"/>
    <n v="292.73"/>
    <n v="415.28"/>
    <n v="802.25"/>
    <n v="1137"/>
    <n v="482.02"/>
    <n v="752.41"/>
    <n v="684.9"/>
    <n v="1636.62"/>
    <n v="1098.83"/>
    <n v="1034.19"/>
    <n v="221.13"/>
    <n v="9474.0299999999988"/>
    <n v="9474.0299999993294"/>
  </r>
  <r>
    <x v="3"/>
    <x v="1"/>
    <x v="6"/>
    <m/>
    <x v="0"/>
    <n v="520101020006"/>
    <s v="Capacitación y Seminarios Ventas                                      "/>
    <n v="0"/>
    <n v="0"/>
    <n v="112"/>
    <n v="200"/>
    <n v="105"/>
    <n v="0"/>
    <n v="0"/>
    <n v="190"/>
    <n v="2400"/>
    <n v="0"/>
    <n v="614.70000000000005"/>
    <n v="0"/>
    <n v="3621.7"/>
    <n v="3621.6999999992549"/>
  </r>
  <r>
    <x v="3"/>
    <x v="1"/>
    <x v="7"/>
    <m/>
    <x v="0"/>
    <n v="520101030002"/>
    <s v="Promoción y Publicidad                                                "/>
    <n v="330"/>
    <n v="0"/>
    <n v="80"/>
    <n v="0"/>
    <n v="0"/>
    <n v="0"/>
    <n v="0"/>
    <n v="3660"/>
    <n v="3875"/>
    <n v="8212.01"/>
    <n v="4820"/>
    <n v="3300"/>
    <n v="24277.010000000002"/>
    <n v="24277.009999999776"/>
  </r>
  <r>
    <x v="3"/>
    <x v="1"/>
    <x v="7"/>
    <m/>
    <x v="0"/>
    <n v="520101030003"/>
    <s v="Gastos de Viaje Ventas                                                "/>
    <n v="0"/>
    <n v="0"/>
    <n v="1511"/>
    <n v="0"/>
    <n v="0"/>
    <n v="0"/>
    <n v="0"/>
    <n v="0"/>
    <n v="290"/>
    <n v="0"/>
    <n v="0"/>
    <n v="0"/>
    <n v="1801"/>
    <n v="1801"/>
  </r>
  <r>
    <x v="3"/>
    <x v="1"/>
    <x v="7"/>
    <m/>
    <x v="0"/>
    <n v="520101030004"/>
    <s v="Mant. Vehiculos Ventas                                                "/>
    <n v="1829.15"/>
    <n v="413.66"/>
    <n v="340.83"/>
    <n v="0"/>
    <n v="263.36"/>
    <n v="181.25"/>
    <n v="0"/>
    <n v="1085.81"/>
    <n v="0"/>
    <n v="75.28"/>
    <n v="80.41"/>
    <n v="330.39"/>
    <n v="4600.1399999999994"/>
    <n v="4600.140000000596"/>
  </r>
  <r>
    <x v="3"/>
    <x v="1"/>
    <x v="7"/>
    <m/>
    <x v="0"/>
    <n v="520101030005"/>
    <s v="Combustibles Ventas                                                   "/>
    <n v="1669.84"/>
    <n v="1566.75"/>
    <n v="1697.14"/>
    <n v="1840.97"/>
    <n v="1856.25"/>
    <n v="1999.73"/>
    <n v="1983.84"/>
    <n v="2310.21"/>
    <n v="1772.51"/>
    <n v="1672.22"/>
    <n v="1832.62"/>
    <n v="1374.94"/>
    <n v="21577.019999999997"/>
    <n v="21577.020000001416"/>
  </r>
  <r>
    <x v="3"/>
    <x v="1"/>
    <x v="7"/>
    <m/>
    <x v="0"/>
    <n v="520101030006"/>
    <s v="Gastos de Exportación                                                 "/>
    <n v="10332"/>
    <n v="11377"/>
    <n v="6077"/>
    <n v="2050"/>
    <n v="4750"/>
    <n v="4657.3599999999997"/>
    <n v="11666.66"/>
    <n v="5253.57"/>
    <n v="4221.43"/>
    <n v="4344.6400000000003"/>
    <n v="4800"/>
    <n v="944.64"/>
    <n v="70474.3"/>
    <n v="70474.300000000745"/>
  </r>
  <r>
    <x v="3"/>
    <x v="1"/>
    <x v="7"/>
    <m/>
    <x v="0"/>
    <n v="520101030007"/>
    <s v="Atención a clientes                                                   "/>
    <n v="242.95"/>
    <n v="298.04000000000002"/>
    <n v="157.27000000000001"/>
    <n v="525.80999999999995"/>
    <n v="472.25"/>
    <n v="321.86"/>
    <n v="600.66999999999996"/>
    <n v="299.87"/>
    <n v="164.56"/>
    <n v="142.31"/>
    <n v="233.55"/>
    <n v="257.32"/>
    <n v="3716.46"/>
    <n v="3716.4599999990314"/>
  </r>
  <r>
    <x v="3"/>
    <x v="1"/>
    <x v="7"/>
    <m/>
    <x v="0"/>
    <n v="520101030008"/>
    <s v="Gastos Viaticos                                                       "/>
    <n v="493.54"/>
    <n v="774.3"/>
    <n v="907.08"/>
    <n v="1163.17"/>
    <n v="910.29"/>
    <n v="983.15"/>
    <n v="623.98"/>
    <n v="1075.8800000000001"/>
    <n v="582.46"/>
    <n v="259.29000000000002"/>
    <n v="762.17"/>
    <n v="152.16"/>
    <n v="8687.4699999999993"/>
    <n v="8687.4700000006706"/>
  </r>
  <r>
    <x v="3"/>
    <x v="1"/>
    <x v="7"/>
    <m/>
    <x v="0"/>
    <n v="520101030009"/>
    <s v="Telefonía celular ventas                                              "/>
    <n v="0"/>
    <n v="0"/>
    <n v="0"/>
    <n v="0"/>
    <n v="0"/>
    <n v="0"/>
    <n v="509.88"/>
    <n v="483.36"/>
    <n v="465.14"/>
    <n v="445.37"/>
    <n v="0"/>
    <n v="264.45999999999998"/>
    <n v="2168.21"/>
    <n v="2168.2100000008941"/>
  </r>
  <r>
    <x v="3"/>
    <x v="1"/>
    <x v="7"/>
    <m/>
    <x v="0"/>
    <n v="520101030010"/>
    <s v="Suministros, materiales y repuestos Ventas                            "/>
    <n v="0"/>
    <n v="0"/>
    <n v="0"/>
    <n v="0"/>
    <n v="0"/>
    <n v="0"/>
    <n v="0"/>
    <n v="0"/>
    <n v="555"/>
    <n v="0"/>
    <n v="0"/>
    <n v="0"/>
    <n v="555"/>
    <n v="555"/>
  </r>
  <r>
    <x v="3"/>
    <x v="1"/>
    <x v="7"/>
    <m/>
    <x v="0"/>
    <n v="520101030011"/>
    <s v="Suministros de oficina y comput ventas y diseño                       "/>
    <n v="133.29"/>
    <n v="62"/>
    <n v="19.399999999999999"/>
    <n v="15.5"/>
    <n v="742.94"/>
    <n v="0"/>
    <n v="901.7"/>
    <n v="177.25"/>
    <n v="75.400000000000006"/>
    <n v="1100"/>
    <n v="242.98"/>
    <n v="400"/>
    <n v="3870.46"/>
    <n v="3870.4599999990314"/>
  </r>
  <r>
    <x v="3"/>
    <x v="1"/>
    <x v="7"/>
    <m/>
    <x v="0"/>
    <n v="520101030012"/>
    <s v="Movilizacion Ventas                                                   "/>
    <n v="34"/>
    <n v="16"/>
    <n v="1.25"/>
    <n v="1.25"/>
    <n v="41.2"/>
    <n v="0"/>
    <n v="1.5"/>
    <n v="25.3"/>
    <n v="14.5"/>
    <n v="118.5"/>
    <n v="5.7"/>
    <n v="0"/>
    <n v="259.2"/>
    <n v="259.19999999925494"/>
  </r>
  <r>
    <x v="3"/>
    <x v="1"/>
    <x v="7"/>
    <m/>
    <x v="0"/>
    <n v="520101030013"/>
    <s v="Obsequios y muestras a clientes (autoconsumo)                         "/>
    <n v="15569.39"/>
    <n v="7199.01"/>
    <n v="4129.16"/>
    <n v="0"/>
    <n v="1716.43"/>
    <n v="684.16"/>
    <n v="961.13"/>
    <n v="58.98"/>
    <n v="0"/>
    <n v="776.63"/>
    <n v="435.2"/>
    <n v="1802.49"/>
    <n v="33332.58"/>
    <n v="33332.580000001937"/>
  </r>
  <r>
    <x v="3"/>
    <x v="1"/>
    <x v="7"/>
    <m/>
    <x v="0"/>
    <n v="520101030014"/>
    <s v="Gastos de depreciación de equipos de computación                      "/>
    <n v="379.96"/>
    <n v="401.16"/>
    <n v="395.29"/>
    <n v="395.23"/>
    <n v="395.23"/>
    <n v="395.23"/>
    <n v="395.23"/>
    <n v="395.23"/>
    <n v="395.23"/>
    <n v="395.23"/>
    <n v="395.23"/>
    <n v="395.23"/>
    <n v="4733.4799999999996"/>
    <n v="4733.4800000041723"/>
  </r>
  <r>
    <x v="3"/>
    <x v="1"/>
    <x v="7"/>
    <m/>
    <x v="0"/>
    <n v="520101030015"/>
    <s v="Seguros vehículos ventas                                              "/>
    <n v="0"/>
    <n v="69.39"/>
    <n v="86.74"/>
    <n v="86.74"/>
    <n v="86.74"/>
    <n v="86.74"/>
    <n v="86.74"/>
    <n v="86.74"/>
    <n v="457.28"/>
    <n v="86.74"/>
    <n v="86.74"/>
    <n v="86.74"/>
    <n v="1307.3300000000002"/>
    <n v="1307.3300000019372"/>
  </r>
  <r>
    <x v="3"/>
    <x v="1"/>
    <x v="7"/>
    <m/>
    <x v="0"/>
    <n v="520101030016"/>
    <s v="Mantenimiento  Instalaciones                                          "/>
    <n v="0"/>
    <n v="0"/>
    <n v="0"/>
    <n v="0"/>
    <n v="0"/>
    <n v="0"/>
    <n v="80"/>
    <n v="0"/>
    <n v="357.06"/>
    <n v="29.55"/>
    <n v="1519.14"/>
    <n v="108.2"/>
    <n v="2093.9499999999998"/>
    <n v="2093.9500000011176"/>
  </r>
  <r>
    <x v="3"/>
    <x v="1"/>
    <x v="7"/>
    <m/>
    <x v="0"/>
    <n v="520101030017"/>
    <s v="Mantenimiento Muebles y equipos                                       "/>
    <n v="0"/>
    <n v="167"/>
    <n v="0"/>
    <n v="0"/>
    <n v="0"/>
    <n v="0"/>
    <n v="0"/>
    <n v="81.760000000000005"/>
    <n v="0"/>
    <n v="0"/>
    <n v="0"/>
    <n v="0"/>
    <n v="248.76"/>
    <n v="248.75999999977648"/>
  </r>
  <r>
    <x v="3"/>
    <x v="1"/>
    <x v="7"/>
    <m/>
    <x v="0"/>
    <n v="520101030018"/>
    <s v="Gasto de Depreciacion Muebles y Enseres                               "/>
    <n v="9.57"/>
    <n v="9.57"/>
    <n v="13.81"/>
    <n v="14.86"/>
    <n v="14.86"/>
    <n v="17.34"/>
    <n v="19.47"/>
    <n v="19.47"/>
    <n v="19.47"/>
    <n v="19.47"/>
    <n v="19.47"/>
    <n v="19.47"/>
    <n v="196.83"/>
    <n v="196.8300000037998"/>
  </r>
  <r>
    <x v="3"/>
    <x v="1"/>
    <x v="7"/>
    <m/>
    <x v="0"/>
    <n v="520101030019"/>
    <s v="Gasto de Depreciacion de Vehiculos                                    "/>
    <n v="414.58"/>
    <n v="414.58"/>
    <n v="414.58"/>
    <n v="414.58"/>
    <n v="414.58"/>
    <n v="414.58"/>
    <n v="414.58"/>
    <n v="414.58"/>
    <n v="414.58"/>
    <n v="414.58"/>
    <n v="414.58"/>
    <n v="414.58"/>
    <n v="4974.96"/>
    <n v="4974.9600000008941"/>
  </r>
  <r>
    <x v="3"/>
    <x v="1"/>
    <x v="7"/>
    <m/>
    <x v="0"/>
    <n v="520101030020"/>
    <s v="Otros pagos bienes y servicios ventas                                 "/>
    <n v="31.57"/>
    <n v="125.6"/>
    <n v="50.66"/>
    <n v="80.459999999999994"/>
    <n v="60.32"/>
    <n v="95.78"/>
    <n v="60.39"/>
    <n v="74.06"/>
    <n v="127.88"/>
    <n v="67.459999999999994"/>
    <n v="484.88"/>
    <n v="77.209999999999994"/>
    <n v="1336.27"/>
    <n v="1336.2700000051409"/>
  </r>
  <r>
    <x v="3"/>
    <x v="1"/>
    <x v="7"/>
    <m/>
    <x v="0"/>
    <n v="520101030021"/>
    <s v="Mant equipos de computo                                               "/>
    <n v="0"/>
    <n v="0"/>
    <n v="0"/>
    <n v="0"/>
    <n v="0"/>
    <n v="0"/>
    <n v="0"/>
    <n v="0"/>
    <n v="240"/>
    <n v="1040"/>
    <n v="1010"/>
    <n v="0"/>
    <n v="2290"/>
    <n v="2290"/>
  </r>
  <r>
    <x v="3"/>
    <x v="1"/>
    <x v="7"/>
    <m/>
    <x v="0"/>
    <n v="520101030022"/>
    <s v="Correo y Courrier                                                     "/>
    <n v="341.31"/>
    <n v="122.26"/>
    <n v="290.55"/>
    <n v="360.59"/>
    <n v="250.97"/>
    <n v="393.73"/>
    <n v="1978.76"/>
    <n v="628.52"/>
    <n v="0"/>
    <n v="0"/>
    <n v="0"/>
    <n v="1588.18"/>
    <n v="5954.8700000000008"/>
    <n v="5954.8700000010431"/>
  </r>
  <r>
    <x v="3"/>
    <x v="1"/>
    <x v="7"/>
    <m/>
    <x v="0"/>
    <n v="520101030023"/>
    <s v="Iva No aplicado ( Gasto)                                              "/>
    <n v="0"/>
    <n v="0"/>
    <n v="0"/>
    <n v="0"/>
    <n v="0"/>
    <n v="0"/>
    <n v="0"/>
    <n v="160.28"/>
    <n v="860.28"/>
    <n v="980.3"/>
    <n v="1284.46"/>
    <n v="326.48"/>
    <n v="3611.7999999999997"/>
    <n v="3611.8000000007451"/>
  </r>
  <r>
    <x v="3"/>
    <x v="1"/>
    <x v="7"/>
    <m/>
    <x v="0"/>
    <n v="520101030024"/>
    <s v="Seguros de Exportación                                                "/>
    <n v="0"/>
    <n v="0"/>
    <n v="0"/>
    <n v="0"/>
    <n v="0"/>
    <n v="0"/>
    <n v="0"/>
    <n v="0"/>
    <n v="0"/>
    <n v="2851.27"/>
    <n v="570.25"/>
    <n v="570.25"/>
    <n v="3991.77"/>
    <n v="3991.769999999553"/>
  </r>
  <r>
    <x v="3"/>
    <x v="2"/>
    <x v="8"/>
    <m/>
    <x v="0"/>
    <n v="520201010001"/>
    <s v="Sueldos                                                               "/>
    <n v="22049.97"/>
    <n v="23328.44"/>
    <n v="23052.639999999999"/>
    <n v="22790.97"/>
    <n v="22554.37"/>
    <n v="22751.37"/>
    <n v="22777.64"/>
    <n v="23171.64"/>
    <n v="24291.64"/>
    <n v="23105.64"/>
    <n v="21944.97"/>
    <n v="21492.36"/>
    <n v="273311.65000000008"/>
    <n v="273311.65000000224"/>
  </r>
  <r>
    <x v="3"/>
    <x v="2"/>
    <x v="8"/>
    <m/>
    <x v="0"/>
    <n v="520201010002"/>
    <s v="Sobretiempos                                                          "/>
    <n v="410.75"/>
    <n v="463.18"/>
    <n v="254.12"/>
    <n v="276.14999999999998"/>
    <n v="273.52999999999997"/>
    <n v="212.59"/>
    <n v="496.96"/>
    <n v="259.33"/>
    <n v="637.53"/>
    <n v="667.7"/>
    <n v="470.88"/>
    <n v="151.28"/>
    <n v="4574"/>
    <n v="4573.9999999981374"/>
  </r>
  <r>
    <x v="3"/>
    <x v="2"/>
    <x v="8"/>
    <m/>
    <x v="0"/>
    <n v="520201010003"/>
    <s v="Aporte Patronal 12.15%                                                "/>
    <n v="2789.78"/>
    <n v="2951.45"/>
    <n v="2891.79"/>
    <n v="2863.29"/>
    <n v="2833.85"/>
    <n v="2849.44"/>
    <n v="2887.86"/>
    <n v="2943.96"/>
    <n v="3089.04"/>
    <n v="2947.8"/>
    <n v="2783.19"/>
    <n v="2629.73"/>
    <n v="34461.18"/>
    <n v="34461.179999995977"/>
  </r>
  <r>
    <x v="3"/>
    <x v="2"/>
    <x v="8"/>
    <m/>
    <x v="0"/>
    <n v="520201010004"/>
    <s v="Fondo de Reserva                                                      "/>
    <n v="1016.88"/>
    <n v="1010.93"/>
    <n v="971.83"/>
    <n v="1515.03"/>
    <n v="1568.04"/>
    <n v="1619.4"/>
    <n v="1668.6"/>
    <n v="1641.92"/>
    <n v="1566.17"/>
    <n v="1434.95"/>
    <n v="1433.76"/>
    <n v="1201.9000000000001"/>
    <n v="16649.410000000003"/>
    <n v="16649.409999998286"/>
  </r>
  <r>
    <x v="3"/>
    <x v="2"/>
    <x v="8"/>
    <m/>
    <x v="0"/>
    <n v="520201010005"/>
    <s v="Decimo Tercer Sueldo                                                  "/>
    <n v="1913.39"/>
    <n v="2024.27"/>
    <n v="1983.34"/>
    <n v="1963.8"/>
    <n v="1943.64"/>
    <n v="1954.3"/>
    <n v="1980.64"/>
    <n v="1993.67"/>
    <n v="2118.64"/>
    <n v="2021.79"/>
    <n v="1908.88"/>
    <n v="1803.62"/>
    <n v="23609.98"/>
    <n v="23609.98000000231"/>
  </r>
  <r>
    <x v="3"/>
    <x v="2"/>
    <x v="8"/>
    <m/>
    <x v="0"/>
    <n v="520201010006"/>
    <s v="Decimo Cuarto Sueldo                                                  "/>
    <n v="772.6"/>
    <n v="810.9"/>
    <n v="787.92"/>
    <n v="756.18"/>
    <n v="736.49"/>
    <n v="752.9"/>
    <n v="755.09"/>
    <n v="787.92"/>
    <n v="815.29"/>
    <n v="814.19"/>
    <n v="794.49"/>
    <n v="1505.76"/>
    <n v="10089.73"/>
    <n v="10089.729999998584"/>
  </r>
  <r>
    <x v="3"/>
    <x v="2"/>
    <x v="8"/>
    <m/>
    <x v="0"/>
    <n v="520201010007"/>
    <s v="Vacaciones                                                            "/>
    <n v="918.75"/>
    <n v="842.94"/>
    <n v="827.18"/>
    <n v="949.63"/>
    <n v="941.18"/>
    <n v="947.98"/>
    <n v="949.05"/>
    <n v="965.49"/>
    <n v="1012.16"/>
    <n v="962.74"/>
    <n v="1816.46"/>
    <n v="889.5"/>
    <n v="12023.060000000001"/>
    <n v="12023.060000002384"/>
  </r>
  <r>
    <x v="3"/>
    <x v="2"/>
    <x v="8"/>
    <m/>
    <x v="0"/>
    <n v="520201010008"/>
    <s v="Desahucio Administración                                              "/>
    <n v="168.51"/>
    <n v="168.51"/>
    <n v="168.51"/>
    <n v="168.51"/>
    <n v="168.51"/>
    <n v="168.51"/>
    <n v="168.51"/>
    <n v="168.51"/>
    <n v="2068.5100000000002"/>
    <n v="168.51"/>
    <n v="168.51"/>
    <n v="168.51"/>
    <n v="3922.1200000000008"/>
    <n v="3922.1199999973178"/>
  </r>
  <r>
    <x v="3"/>
    <x v="2"/>
    <x v="8"/>
    <m/>
    <x v="0"/>
    <n v="520201010009"/>
    <s v="Indemnización Administración                                          "/>
    <n v="0"/>
    <n v="5331.82"/>
    <n v="0"/>
    <n v="0"/>
    <n v="0"/>
    <n v="0"/>
    <n v="0"/>
    <n v="0"/>
    <n v="0"/>
    <n v="0"/>
    <n v="7700"/>
    <n v="0"/>
    <n v="13031.82"/>
    <n v="13031.820000000298"/>
  </r>
  <r>
    <x v="3"/>
    <x v="2"/>
    <x v="8"/>
    <m/>
    <x v="0"/>
    <n v="520201010010"/>
    <s v="Bonificaciones Voluntarias Administración                             "/>
    <n v="500"/>
    <n v="500"/>
    <n v="493.46"/>
    <n v="498.59"/>
    <n v="495.89"/>
    <n v="487.95"/>
    <n v="493.33"/>
    <n v="493.33"/>
    <n v="494.59"/>
    <n v="488.13"/>
    <n v="490.91"/>
    <n v="0"/>
    <n v="5436.1799999999994"/>
    <n v="5436.1800000015646"/>
  </r>
  <r>
    <x v="3"/>
    <x v="2"/>
    <x v="8"/>
    <m/>
    <x v="0"/>
    <n v="520201010011"/>
    <s v="Jubilación Patronal Administración                                    "/>
    <n v="519.97"/>
    <n v="519.97"/>
    <n v="519.97"/>
    <n v="519.97"/>
    <n v="519.97"/>
    <n v="519.97"/>
    <n v="519.97"/>
    <n v="519.97"/>
    <n v="519.97"/>
    <n v="519.97"/>
    <n v="519.97"/>
    <n v="519.97"/>
    <n v="6239.6400000000021"/>
    <n v="6239.6400000080466"/>
  </r>
  <r>
    <x v="3"/>
    <x v="2"/>
    <x v="6"/>
    <m/>
    <x v="0"/>
    <n v="520201020002"/>
    <s v="Alimentacion Administración                                           "/>
    <n v="529.6"/>
    <n v="520.6"/>
    <n v="486.6"/>
    <n v="880.93"/>
    <n v="600.1"/>
    <n v="780.18"/>
    <n v="829.87"/>
    <n v="632.09"/>
    <n v="965.65"/>
    <n v="665.54"/>
    <n v="1008.31"/>
    <n v="970.23"/>
    <n v="8869.6999999999989"/>
    <n v="8869.6999999973923"/>
  </r>
  <r>
    <x v="3"/>
    <x v="2"/>
    <x v="6"/>
    <m/>
    <x v="0"/>
    <n v="520201020003"/>
    <s v="Movilizacion/Transp de Personal Administración                        "/>
    <n v="0"/>
    <n v="320"/>
    <n v="160"/>
    <n v="160"/>
    <n v="160"/>
    <n v="160"/>
    <n v="160"/>
    <n v="160"/>
    <n v="60"/>
    <n v="60"/>
    <n v="60"/>
    <n v="60"/>
    <n v="1520"/>
    <n v="1520"/>
  </r>
  <r>
    <x v="3"/>
    <x v="2"/>
    <x v="6"/>
    <m/>
    <x v="0"/>
    <n v="520201020004"/>
    <s v="Gastos Médicos ventas y administración                                "/>
    <n v="9.51"/>
    <n v="19.75"/>
    <n v="0"/>
    <n v="0"/>
    <n v="34.89"/>
    <n v="0"/>
    <n v="7.5"/>
    <n v="0"/>
    <n v="64.2"/>
    <n v="0"/>
    <n v="2.68"/>
    <n v="11.34"/>
    <n v="149.87000000000003"/>
    <n v="149.86999999918044"/>
  </r>
  <r>
    <x v="3"/>
    <x v="2"/>
    <x v="6"/>
    <m/>
    <x v="0"/>
    <n v="520201020005"/>
    <s v="Uniformes personal ventas y administrativo                            "/>
    <n v="549.64"/>
    <n v="0"/>
    <n v="0"/>
    <n v="0"/>
    <n v="0"/>
    <n v="0"/>
    <n v="0"/>
    <n v="0"/>
    <n v="0"/>
    <n v="0"/>
    <n v="0"/>
    <n v="0"/>
    <n v="549.64"/>
    <n v="549.64000000059605"/>
  </r>
  <r>
    <x v="3"/>
    <x v="2"/>
    <x v="6"/>
    <m/>
    <x v="0"/>
    <n v="520201020006"/>
    <s v="Capacitación y Seminarios Administración                              "/>
    <n v="0"/>
    <n v="375"/>
    <n v="392"/>
    <n v="550"/>
    <n v="120"/>
    <n v="45"/>
    <n v="485"/>
    <n v="325"/>
    <n v="1547.14"/>
    <n v="160"/>
    <n v="1546.88"/>
    <n v="658.5"/>
    <n v="6204.52"/>
    <n v="6204.5200000014156"/>
  </r>
  <r>
    <x v="3"/>
    <x v="2"/>
    <x v="6"/>
    <m/>
    <x v="0"/>
    <n v="520201020007"/>
    <s v="Agasajo al Personal Administración                                    "/>
    <n v="0"/>
    <n v="0"/>
    <n v="0"/>
    <n v="0"/>
    <n v="33.9"/>
    <n v="56.53"/>
    <n v="156.57"/>
    <n v="1036.1199999999999"/>
    <n v="763.65"/>
    <n v="0"/>
    <n v="2554.29"/>
    <n v="5619.56"/>
    <n v="10220.619999999999"/>
    <n v="10220.61999999918"/>
  </r>
  <r>
    <x v="3"/>
    <x v="2"/>
    <x v="6"/>
    <m/>
    <x v="0"/>
    <n v="520201020008"/>
    <s v="Otros gastos de personal Administración                               "/>
    <n v="0"/>
    <n v="0"/>
    <n v="0"/>
    <n v="0"/>
    <n v="2189.5"/>
    <n v="0"/>
    <n v="0"/>
    <n v="0"/>
    <n v="0"/>
    <n v="0"/>
    <n v="8.93"/>
    <n v="0"/>
    <n v="2198.4299999999998"/>
    <n v="2198.429999999702"/>
  </r>
  <r>
    <x v="3"/>
    <x v="2"/>
    <x v="9"/>
    <m/>
    <x v="0"/>
    <n v="520202010001"/>
    <s v="Honorarios Profesionales                                              "/>
    <n v="10604"/>
    <n v="25862.2"/>
    <n v="10944"/>
    <n v="12049"/>
    <n v="16558.55"/>
    <n v="10840.67"/>
    <n v="10679"/>
    <n v="28681.4"/>
    <n v="29490.32"/>
    <n v="22377.27"/>
    <n v="10561.53"/>
    <n v="50603.519999999997"/>
    <n v="239251.46"/>
    <n v="239251.45999999903"/>
  </r>
  <r>
    <x v="3"/>
    <x v="2"/>
    <x v="9"/>
    <m/>
    <x v="0"/>
    <n v="520202010004"/>
    <s v="Notarios y Registradores de la Propiedad o mercantiles                "/>
    <n v="0"/>
    <n v="0"/>
    <n v="0"/>
    <n v="0"/>
    <n v="0"/>
    <n v="0"/>
    <n v="64.03"/>
    <n v="0"/>
    <n v="0"/>
    <n v="500"/>
    <n v="0"/>
    <n v="0"/>
    <n v="564.03"/>
    <n v="564.02999999932945"/>
  </r>
  <r>
    <x v="3"/>
    <x v="2"/>
    <x v="9"/>
    <m/>
    <x v="0"/>
    <n v="520202010005"/>
    <s v="Auditorías                                                            "/>
    <n v="0"/>
    <n v="0"/>
    <n v="0"/>
    <n v="812"/>
    <n v="0"/>
    <n v="344.12"/>
    <n v="220"/>
    <n v="250"/>
    <n v="0"/>
    <n v="0"/>
    <n v="900"/>
    <n v="0"/>
    <n v="2526.12"/>
    <n v="2526.1199999991804"/>
  </r>
  <r>
    <x v="3"/>
    <x v="2"/>
    <x v="10"/>
    <m/>
    <x v="0"/>
    <n v="520203010001"/>
    <s v="Mantenimiento de Edificios y oficinas Administración                  "/>
    <n v="0"/>
    <n v="0"/>
    <n v="0"/>
    <n v="0"/>
    <n v="0"/>
    <n v="0"/>
    <n v="0"/>
    <n v="0"/>
    <n v="32000"/>
    <n v="0"/>
    <n v="75"/>
    <n v="600"/>
    <n v="32675"/>
    <n v="32675"/>
  </r>
  <r>
    <x v="3"/>
    <x v="2"/>
    <x v="10"/>
    <m/>
    <x v="0"/>
    <n v="520203010002"/>
    <s v="Mantenimiento Instalaciones                                           "/>
    <n v="4137.34"/>
    <n v="2607.38"/>
    <n v="1940.38"/>
    <n v="1174.22"/>
    <n v="1237.08"/>
    <n v="1395.87"/>
    <n v="1233"/>
    <n v="1180"/>
    <n v="240"/>
    <n v="239"/>
    <n v="112.25"/>
    <n v="62660.4"/>
    <n v="78156.92"/>
    <n v="78156.920000001788"/>
  </r>
  <r>
    <x v="3"/>
    <x v="2"/>
    <x v="10"/>
    <m/>
    <x v="0"/>
    <n v="520203010003"/>
    <s v="Mant. Vehiculos Administracion                                        "/>
    <n v="1333.25"/>
    <n v="166.45"/>
    <n v="746.7"/>
    <n v="655.83"/>
    <n v="2574.15"/>
    <n v="1253.46"/>
    <n v="191.64"/>
    <n v="200.12"/>
    <n v="1817.13"/>
    <n v="454.3"/>
    <n v="135.9"/>
    <n v="26.88"/>
    <n v="9555.8099999999977"/>
    <n v="9555.8100000023842"/>
  </r>
  <r>
    <x v="3"/>
    <x v="2"/>
    <x v="10"/>
    <m/>
    <x v="0"/>
    <n v="520203010004"/>
    <s v="Mantenimiento Muebles y Equipos Administración                        "/>
    <n v="150"/>
    <n v="45"/>
    <n v="45"/>
    <n v="163.83000000000001"/>
    <n v="327.63"/>
    <n v="180"/>
    <n v="45"/>
    <n v="265"/>
    <n v="26560"/>
    <n v="1020"/>
    <n v="1018.46"/>
    <n v="1010"/>
    <n v="30829.919999999998"/>
    <n v="30829.920000001788"/>
  </r>
  <r>
    <x v="3"/>
    <x v="2"/>
    <x v="10"/>
    <m/>
    <x v="0"/>
    <n v="520203010005"/>
    <s v="Combustibles Administración                                           "/>
    <n v="749.97"/>
    <n v="1126.72"/>
    <n v="866.37"/>
    <n v="1039.94"/>
    <n v="624.22"/>
    <n v="901.87"/>
    <n v="810.27"/>
    <n v="261.82"/>
    <n v="794.55"/>
    <n v="886.62"/>
    <n v="779.05"/>
    <n v="1013.87"/>
    <n v="9855.27"/>
    <n v="9855.269999999553"/>
  </r>
  <r>
    <x v="3"/>
    <x v="2"/>
    <x v="10"/>
    <m/>
    <x v="0"/>
    <n v="520203010007"/>
    <s v="Matricula e impuestos  vehicular  Adm                                 "/>
    <n v="0"/>
    <n v="0"/>
    <n v="0"/>
    <n v="0"/>
    <n v="480.42"/>
    <n v="9244.74"/>
    <n v="150"/>
    <n v="0"/>
    <n v="0"/>
    <n v="655.04"/>
    <n v="0"/>
    <n v="512.11"/>
    <n v="11042.310000000001"/>
    <n v="11042.309999998659"/>
  </r>
  <r>
    <x v="3"/>
    <x v="2"/>
    <x v="11"/>
    <m/>
    <x v="0"/>
    <n v="520204010001"/>
    <s v="Seguro Responsabilidad Civil                                          "/>
    <n v="0"/>
    <n v="8.6999999999999993"/>
    <n v="10.88"/>
    <n v="10.88"/>
    <n v="10.88"/>
    <n v="10.88"/>
    <n v="10.88"/>
    <n v="10.88"/>
    <n v="10.88"/>
    <n v="10.88"/>
    <n v="10.88"/>
    <n v="10.88"/>
    <n v="117.49999999999999"/>
    <n v="117.50000000745058"/>
  </r>
  <r>
    <x v="3"/>
    <x v="2"/>
    <x v="11"/>
    <m/>
    <x v="0"/>
    <n v="520204010002"/>
    <s v="Seguro de Vehiculos                                                   "/>
    <n v="0"/>
    <n v="447.12"/>
    <n v="558.9"/>
    <n v="558.9"/>
    <n v="558.9"/>
    <n v="1515.59"/>
    <n v="511.07"/>
    <n v="558.9"/>
    <n v="583.34"/>
    <n v="558.9"/>
    <n v="558.9"/>
    <n v="558.9"/>
    <n v="6969.4199999999983"/>
    <n v="6969.4200000017881"/>
  </r>
  <r>
    <x v="3"/>
    <x v="2"/>
    <x v="11"/>
    <m/>
    <x v="0"/>
    <n v="520204010003"/>
    <s v="Seguro de Contra Incendios                                            "/>
    <n v="0"/>
    <n v="118.89"/>
    <n v="148.62"/>
    <n v="148.62"/>
    <n v="148.62"/>
    <n v="0"/>
    <n v="297.24"/>
    <n v="148.62"/>
    <n v="148.62"/>
    <n v="148.62"/>
    <n v="148.62"/>
    <n v="148.62"/>
    <n v="1605.0899999999997"/>
    <n v="1605.0899999942631"/>
  </r>
  <r>
    <x v="3"/>
    <x v="2"/>
    <x v="11"/>
    <m/>
    <x v="0"/>
    <n v="520204010004"/>
    <s v="Seguro Contra Asalto y Robos                                          "/>
    <n v="0"/>
    <n v="9.74"/>
    <n v="12.18"/>
    <n v="12.18"/>
    <n v="12.18"/>
    <n v="12.18"/>
    <n v="12.18"/>
    <n v="12.18"/>
    <n v="12.18"/>
    <n v="12.18"/>
    <n v="12.18"/>
    <n v="12.18"/>
    <n v="131.54000000000002"/>
    <n v="131.53999999724329"/>
  </r>
  <r>
    <x v="3"/>
    <x v="2"/>
    <x v="11"/>
    <m/>
    <x v="0"/>
    <n v="520204010005"/>
    <s v="Seguro SENAE                                                          "/>
    <n v="0"/>
    <n v="0"/>
    <n v="0"/>
    <n v="0"/>
    <n v="0"/>
    <n v="0"/>
    <n v="0"/>
    <n v="0"/>
    <n v="0"/>
    <n v="3107.06"/>
    <n v="0"/>
    <n v="0"/>
    <n v="3107.06"/>
    <n v="3107.0600000005215"/>
  </r>
  <r>
    <x v="3"/>
    <x v="2"/>
    <x v="11"/>
    <m/>
    <x v="0"/>
    <n v="520204010007"/>
    <s v="Otros seguros                                                         "/>
    <n v="35.54"/>
    <n v="-35.54"/>
    <n v="17.77"/>
    <n v="53.3"/>
    <n v="17.77"/>
    <n v="17.77"/>
    <n v="0"/>
    <n v="35.54"/>
    <n v="0"/>
    <n v="149.29"/>
    <n v="0"/>
    <n v="0"/>
    <n v="291.43999999999994"/>
    <n v="291.43999999761581"/>
  </r>
  <r>
    <x v="3"/>
    <x v="2"/>
    <x v="12"/>
    <m/>
    <x v="0"/>
    <n v="520205010001"/>
    <s v="Gastos de Viaje Administración                                        "/>
    <n v="0"/>
    <n v="4219.49"/>
    <n v="1511"/>
    <n v="2741"/>
    <n v="0"/>
    <n v="0"/>
    <n v="1539"/>
    <n v="6363"/>
    <n v="587.47"/>
    <n v="0"/>
    <n v="7038.75"/>
    <n v="1237"/>
    <n v="25236.71"/>
    <n v="25236.710000000894"/>
  </r>
  <r>
    <x v="3"/>
    <x v="2"/>
    <x v="12"/>
    <m/>
    <x v="0"/>
    <n v="520205010002"/>
    <s v="Gastos de Gestión                                                     "/>
    <n v="379.51"/>
    <n v="491.05"/>
    <n v="505.45"/>
    <n v="86.63"/>
    <n v="321.2"/>
    <n v="2543.1799999999998"/>
    <n v="1410.25"/>
    <n v="4547.75"/>
    <n v="0"/>
    <n v="0"/>
    <n v="336.71"/>
    <n v="197.62"/>
    <n v="10819.35"/>
    <n v="10819.349999999627"/>
  </r>
  <r>
    <x v="3"/>
    <x v="2"/>
    <x v="12"/>
    <m/>
    <x v="0"/>
    <n v="520205010003"/>
    <s v="Telefonía Celular                                                     "/>
    <n v="916.75"/>
    <n v="816.65"/>
    <n v="1194.3800000000001"/>
    <n v="1021.82"/>
    <n v="785.75"/>
    <n v="938.39"/>
    <n v="683.65"/>
    <n v="198.06"/>
    <n v="819.96"/>
    <n v="228.17"/>
    <n v="614.98"/>
    <n v="147.32"/>
    <n v="8365.880000000001"/>
    <n v="8365.8800000045449"/>
  </r>
  <r>
    <x v="3"/>
    <x v="2"/>
    <x v="12"/>
    <m/>
    <x v="0"/>
    <n v="520205010004"/>
    <s v="Correo y Courrier                                                     "/>
    <n v="6"/>
    <n v="153.79"/>
    <n v="46.37"/>
    <n v="0"/>
    <n v="56.52"/>
    <n v="10.5"/>
    <n v="207.54"/>
    <n v="1616.03"/>
    <n v="3878.28"/>
    <n v="1116.18"/>
    <n v="2827.41"/>
    <n v="127.15"/>
    <n v="10045.77"/>
    <n v="10045.769999995828"/>
  </r>
  <r>
    <x v="3"/>
    <x v="2"/>
    <x v="12"/>
    <m/>
    <x v="0"/>
    <n v="520205010005"/>
    <s v="Suministros de Oficina y Computación                                  "/>
    <n v="883.11"/>
    <n v="525.61"/>
    <n v="576.92999999999995"/>
    <n v="764.02"/>
    <n v="880.5"/>
    <n v="1314.22"/>
    <n v="1227.24"/>
    <n v="563.29"/>
    <n v="1522.27"/>
    <n v="1625.21"/>
    <n v="767.67"/>
    <n v="815.9"/>
    <n v="11465.970000000001"/>
    <n v="11465.969999998808"/>
  </r>
  <r>
    <x v="3"/>
    <x v="2"/>
    <x v="12"/>
    <m/>
    <x v="0"/>
    <n v="520205010006"/>
    <s v="Energía Eléctrica Administración                                      "/>
    <n v="1944.52"/>
    <n v="1571.95"/>
    <n v="1747.71"/>
    <n v="2296.9699999999998"/>
    <n v="2187.44"/>
    <n v="2115.7600000000002"/>
    <n v="2157.4699999999998"/>
    <n v="2045.58"/>
    <n v="1978.25"/>
    <n v="2092.85"/>
    <n v="2064.2399999999998"/>
    <n v="2209.9499999999998"/>
    <n v="24412.69"/>
    <n v="24412.689999999478"/>
  </r>
  <r>
    <x v="3"/>
    <x v="2"/>
    <x v="12"/>
    <m/>
    <x v="0"/>
    <n v="520205010007"/>
    <s v="Agua Administración                                                   "/>
    <n v="101.09"/>
    <n v="82.8"/>
    <n v="55.03"/>
    <n v="82.37"/>
    <n v="83.67"/>
    <n v="79.12"/>
    <n v="251.25"/>
    <n v="156.53"/>
    <n v="204.75"/>
    <n v="886.79"/>
    <n v="222.05"/>
    <n v="202.55"/>
    <n v="2408"/>
    <n v="2407.9999999981374"/>
  </r>
  <r>
    <x v="3"/>
    <x v="2"/>
    <x v="12"/>
    <m/>
    <x v="0"/>
    <n v="520205010008"/>
    <s v="Telefonía Convencional                                                "/>
    <n v="235.58"/>
    <n v="250.67"/>
    <n v="268.45"/>
    <n v="267.08"/>
    <n v="263.63"/>
    <n v="274.75"/>
    <n v="540.29"/>
    <n v="265.20999999999998"/>
    <n v="277.95"/>
    <n v="288.19"/>
    <n v="282.18"/>
    <n v="1283.3399999999999"/>
    <n v="4497.32"/>
    <n v="4497.3199999984354"/>
  </r>
  <r>
    <x v="3"/>
    <x v="2"/>
    <x v="12"/>
    <m/>
    <x v="0"/>
    <n v="520205010009"/>
    <s v="Internet                                                              "/>
    <n v="905"/>
    <n v="740"/>
    <n v="740"/>
    <n v="740"/>
    <n v="740"/>
    <n v="740"/>
    <n v="1480"/>
    <n v="740"/>
    <n v="1076"/>
    <n v="1076"/>
    <n v="1076"/>
    <n v="0"/>
    <n v="10053"/>
    <n v="10053"/>
  </r>
  <r>
    <x v="3"/>
    <x v="2"/>
    <x v="12"/>
    <m/>
    <x v="0"/>
    <n v="520205010010"/>
    <s v="Utiles de Limpieza/Cafeteria                                          "/>
    <n v="135.71"/>
    <n v="82.18"/>
    <n v="331.46"/>
    <n v="415.3"/>
    <n v="173.88"/>
    <n v="123.64"/>
    <n v="133.69999999999999"/>
    <n v="47.98"/>
    <n v="507.75"/>
    <n v="116.07"/>
    <n v="125.56"/>
    <n v="160.36000000000001"/>
    <n v="2353.5900000000006"/>
    <n v="2353.5900000035763"/>
  </r>
  <r>
    <x v="3"/>
    <x v="2"/>
    <x v="12"/>
    <m/>
    <x v="0"/>
    <n v="520205010011"/>
    <s v="Gastos Menores de activos Administración                              "/>
    <n v="780"/>
    <n v="1509.05"/>
    <n v="0"/>
    <n v="779.42"/>
    <n v="-448.2"/>
    <n v="0"/>
    <n v="503.64"/>
    <n v="0"/>
    <n v="0"/>
    <n v="760"/>
    <n v="499"/>
    <n v="0"/>
    <n v="4382.91"/>
    <n v="4382.9100000020117"/>
  </r>
  <r>
    <x v="3"/>
    <x v="2"/>
    <x v="12"/>
    <m/>
    <x v="0"/>
    <n v="520205010012"/>
    <s v="Donaciones                                                            "/>
    <n v="0"/>
    <n v="0"/>
    <n v="0"/>
    <n v="0"/>
    <n v="0"/>
    <n v="0"/>
    <n v="1039.71"/>
    <n v="5000"/>
    <n v="0"/>
    <n v="21.34"/>
    <n v="0"/>
    <n v="0"/>
    <n v="6061.05"/>
    <n v="6061.0500000007451"/>
  </r>
  <r>
    <x v="3"/>
    <x v="2"/>
    <x v="12"/>
    <m/>
    <x v="0"/>
    <n v="520205010013"/>
    <s v="Cuotas y Suscripciones                                                "/>
    <n v="1178.0999999999999"/>
    <n v="823.5"/>
    <n v="823.5"/>
    <n v="823.5"/>
    <n v="823.5"/>
    <n v="823.5"/>
    <n v="823.5"/>
    <n v="977.5"/>
    <n v="877.5"/>
    <n v="1627.56"/>
    <n v="877.5"/>
    <n v="2752.5"/>
    <n v="13231.66"/>
    <n v="13231.660000000149"/>
  </r>
  <r>
    <x v="3"/>
    <x v="2"/>
    <x v="12"/>
    <m/>
    <x v="0"/>
    <n v="520205010014"/>
    <s v="IVA no aplicado (gasto)                                               "/>
    <n v="10411.200000000001"/>
    <n v="8473.1200000000008"/>
    <n v="5622.29"/>
    <n v="5313.15"/>
    <n v="6374.87"/>
    <n v="6823.4"/>
    <n v="5564.61"/>
    <n v="8718.94"/>
    <n v="16341.06"/>
    <n v="8275.4699999999993"/>
    <n v="5180.9399999999996"/>
    <n v="18197.71"/>
    <n v="105296.76000000001"/>
    <n v="105296.75999999791"/>
  </r>
  <r>
    <x v="3"/>
    <x v="2"/>
    <x v="12"/>
    <m/>
    <x v="0"/>
    <n v="520205010015"/>
    <s v="Suministros, materiales y repuestos Administración                    "/>
    <n v="281.61"/>
    <n v="5"/>
    <n v="0"/>
    <n v="0"/>
    <n v="0"/>
    <n v="0"/>
    <n v="41.74"/>
    <n v="47.86"/>
    <n v="0"/>
    <n v="0"/>
    <n v="72.5"/>
    <n v="0"/>
    <n v="448.71000000000004"/>
    <n v="448.70999999903142"/>
  </r>
  <r>
    <x v="3"/>
    <x v="2"/>
    <x v="12"/>
    <m/>
    <x v="0"/>
    <n v="520205010016"/>
    <s v="Arriendo                                                              "/>
    <n v="15293.48"/>
    <n v="15293.48"/>
    <n v="15293.48"/>
    <n v="15293.48"/>
    <n v="15293.48"/>
    <n v="15586.96"/>
    <n v="15586.96"/>
    <n v="15586.96"/>
    <n v="15586.96"/>
    <n v="15586.96"/>
    <n v="15586.96"/>
    <n v="15586.96"/>
    <n v="185576.11999999994"/>
    <n v="185576.12000000849"/>
  </r>
  <r>
    <x v="3"/>
    <x v="2"/>
    <x v="12"/>
    <m/>
    <x v="0"/>
    <n v="520205010018"/>
    <s v="Multas e Intereses                                                    "/>
    <n v="0"/>
    <n v="0"/>
    <n v="0"/>
    <n v="0"/>
    <n v="0"/>
    <n v="0"/>
    <n v="0.89"/>
    <n v="0"/>
    <n v="0"/>
    <n v="209.95"/>
    <n v="11.45"/>
    <n v="512.20000000000005"/>
    <n v="734.49"/>
    <n v="734.48999999836087"/>
  </r>
  <r>
    <x v="3"/>
    <x v="2"/>
    <x v="12"/>
    <m/>
    <x v="0"/>
    <n v="520205010019"/>
    <s v="Otros costos de importación y producción                              "/>
    <n v="0"/>
    <n v="0"/>
    <n v="0"/>
    <n v="0"/>
    <n v="0"/>
    <n v="0"/>
    <n v="0"/>
    <n v="12"/>
    <n v="0"/>
    <n v="0"/>
    <n v="44.75"/>
    <n v="43348.709999999992"/>
    <n v="43405.459999999992"/>
    <n v="43405.460000000894"/>
  </r>
  <r>
    <x v="3"/>
    <x v="2"/>
    <x v="12"/>
    <m/>
    <x v="0"/>
    <n v="520205010020"/>
    <s v="Ajustes de centavos                                                   "/>
    <n v="-0.72"/>
    <n v="-0.27"/>
    <n v="-0.3"/>
    <n v="-0.23"/>
    <n v="1.51"/>
    <n v="-0.54"/>
    <n v="-0.52"/>
    <n v="-0.05"/>
    <n v="0.04"/>
    <n v="-0.04"/>
    <n v="0.8"/>
    <n v="-2.0699999999999998"/>
    <n v="-2.3899999999999997"/>
    <n v="-2.3900000005960464"/>
  </r>
  <r>
    <x v="3"/>
    <x v="2"/>
    <x v="12"/>
    <m/>
    <x v="0"/>
    <n v="520205010021"/>
    <s v="Gastos Legales                                                        "/>
    <n v="0"/>
    <n v="0"/>
    <n v="263.86"/>
    <n v="0"/>
    <n v="32.07"/>
    <n v="0"/>
    <n v="0"/>
    <n v="0"/>
    <n v="0"/>
    <n v="171.99"/>
    <n v="23.27"/>
    <n v="0"/>
    <n v="491.19"/>
    <n v="491.18999999947846"/>
  </r>
  <r>
    <x v="3"/>
    <x v="2"/>
    <x v="12"/>
    <m/>
    <x v="0"/>
    <n v="520205010022"/>
    <s v="Seguridad                                                             "/>
    <n v="0"/>
    <n v="5724.5"/>
    <n v="2640"/>
    <n v="2640"/>
    <n v="2640"/>
    <n v="2640"/>
    <n v="2676.9"/>
    <n v="2640"/>
    <n v="2640"/>
    <n v="2640"/>
    <n v="3047.91"/>
    <n v="3575"/>
    <n v="33504.31"/>
    <n v="33504.310000000522"/>
  </r>
  <r>
    <x v="3"/>
    <x v="2"/>
    <x v="12"/>
    <m/>
    <x v="0"/>
    <n v="520205010023"/>
    <s v="Gastos no Deducibles                                                  "/>
    <n v="318.67"/>
    <n v="206.79"/>
    <n v="1446.48"/>
    <n v="2367.9"/>
    <n v="103.99"/>
    <n v="191.49"/>
    <n v="242.22"/>
    <n v="204.77"/>
    <n v="257.14999999999998"/>
    <n v="455.44"/>
    <n v="351.84"/>
    <n v="4288.8900000000003"/>
    <n v="10435.630000000001"/>
    <n v="10435.63000000082"/>
  </r>
  <r>
    <x v="3"/>
    <x v="2"/>
    <x v="12"/>
    <m/>
    <x v="0"/>
    <n v="520205010024"/>
    <s v="Gastos de licencias -software y mant ERP                              "/>
    <n v="575.02"/>
    <n v="431.69"/>
    <n v="431.69"/>
    <n v="431.69"/>
    <n v="76.430000000000007"/>
    <n v="4689.92"/>
    <n v="1142.21"/>
    <n v="388.99"/>
    <n v="431.69"/>
    <n v="431.69"/>
    <n v="76.430000000000007"/>
    <n v="3349.43"/>
    <n v="12456.880000000001"/>
    <n v="12456.879999997094"/>
  </r>
  <r>
    <x v="3"/>
    <x v="2"/>
    <x v="12"/>
    <m/>
    <x v="0"/>
    <n v="520205010026"/>
    <s v="Iva Facrtor de Proporcionalidad                                       "/>
    <n v="65696.5"/>
    <n v="800.65"/>
    <n v="2607.63"/>
    <n v="21571.59"/>
    <n v="1104.55"/>
    <n v="2613.5"/>
    <n v="3722.93"/>
    <n v="1345.44"/>
    <n v="1728.91"/>
    <n v="2688.07"/>
    <n v="2145.35"/>
    <n v="2821.43"/>
    <n v="108846.55"/>
    <n v="108846.55000000075"/>
  </r>
  <r>
    <x v="3"/>
    <x v="2"/>
    <x v="12"/>
    <m/>
    <x v="0"/>
    <n v="520205010027"/>
    <s v="Promocion y Publicidad Administracion                                 "/>
    <n v="1150"/>
    <n v="0"/>
    <n v="0"/>
    <n v="0"/>
    <n v="0"/>
    <n v="0"/>
    <n v="0"/>
    <n v="0"/>
    <n v="200"/>
    <n v="0"/>
    <n v="1500"/>
    <n v="559.5"/>
    <n v="3409.5"/>
    <n v="3409.5"/>
  </r>
  <r>
    <x v="3"/>
    <x v="2"/>
    <x v="12"/>
    <m/>
    <x v="0"/>
    <n v="520205010028"/>
    <s v="Provision Ctas incobrables                                            "/>
    <n v="0"/>
    <n v="0"/>
    <n v="0"/>
    <n v="0"/>
    <n v="0"/>
    <n v="0"/>
    <n v="0"/>
    <n v="0"/>
    <n v="0"/>
    <n v="0"/>
    <n v="0"/>
    <n v="50637.89"/>
    <n v="50637.89"/>
    <n v="50637.890000000596"/>
  </r>
  <r>
    <x v="3"/>
    <x v="2"/>
    <x v="12"/>
    <m/>
    <x v="0"/>
    <n v="520205010029"/>
    <s v="Gastos de viaticos administración                                     "/>
    <n v="0"/>
    <n v="0"/>
    <n v="1290.8599999999999"/>
    <n v="0"/>
    <n v="0"/>
    <n v="2757.09"/>
    <n v="0"/>
    <n v="1076.8900000000001"/>
    <n v="0"/>
    <n v="0"/>
    <n v="0"/>
    <n v="0"/>
    <n v="5124.84"/>
    <n v="5124.839999999851"/>
  </r>
  <r>
    <x v="3"/>
    <x v="2"/>
    <x v="12"/>
    <m/>
    <x v="0"/>
    <n v="520205010030"/>
    <s v="Gasto Movilizacion Administración                                     "/>
    <n v="79"/>
    <n v="90.5"/>
    <n v="123.5"/>
    <n v="42.5"/>
    <n v="212.5"/>
    <n v="341.07"/>
    <n v="220"/>
    <n v="169"/>
    <n v="299.5"/>
    <n v="298"/>
    <n v="93"/>
    <n v="346.3"/>
    <n v="2314.87"/>
    <n v="2314.8700000010431"/>
  </r>
  <r>
    <x v="3"/>
    <x v="2"/>
    <x v="12"/>
    <m/>
    <x v="0"/>
    <n v="520205010031"/>
    <s v="Retenciones Asumidas                                                  "/>
    <n v="0"/>
    <n v="0"/>
    <n v="11"/>
    <n v="0"/>
    <n v="0"/>
    <n v="0"/>
    <n v="0"/>
    <n v="0"/>
    <n v="0"/>
    <n v="0"/>
    <n v="0"/>
    <n v="0"/>
    <n v="11"/>
    <n v="11"/>
  </r>
  <r>
    <x v="3"/>
    <x v="2"/>
    <x v="12"/>
    <m/>
    <x v="0"/>
    <n v="520205010035"/>
    <s v="Sistema de circuito cerrado                                           "/>
    <n v="91.67"/>
    <n v="91.67"/>
    <n v="91.67"/>
    <n v="91.67"/>
    <n v="91.67"/>
    <n v="91.67"/>
    <n v="0"/>
    <n v="91.67"/>
    <n v="91.67"/>
    <n v="91.67"/>
    <n v="91.67"/>
    <n v="91.67"/>
    <n v="1008.3699999999998"/>
    <n v="1008.3699999991804"/>
  </r>
  <r>
    <x v="3"/>
    <x v="2"/>
    <x v="12"/>
    <m/>
    <x v="0"/>
    <n v="520205010036"/>
    <s v="Otros pagos bienes y servicios administración                         "/>
    <n v="1421.56"/>
    <n v="1738.88"/>
    <n v="1063.29"/>
    <n v="1093.3599999999999"/>
    <n v="1401.09"/>
    <n v="1020.38"/>
    <n v="776.63"/>
    <n v="912.66"/>
    <n v="3715.02"/>
    <n v="1721.57"/>
    <n v="1473"/>
    <n v="973.44"/>
    <n v="17310.879999999997"/>
    <n v="17310.88000000082"/>
  </r>
  <r>
    <x v="3"/>
    <x v="2"/>
    <x v="12"/>
    <m/>
    <x v="0"/>
    <n v="520205010037"/>
    <s v="Mant equipos de computo                                               "/>
    <n v="1200"/>
    <n v="1300"/>
    <n v="1200"/>
    <n v="1300"/>
    <n v="1100"/>
    <n v="1020"/>
    <n v="1200"/>
    <n v="7315"/>
    <n v="480"/>
    <n v="9335"/>
    <n v="80"/>
    <n v="0"/>
    <n v="25530"/>
    <n v="25530"/>
  </r>
  <r>
    <x v="3"/>
    <x v="2"/>
    <x v="12"/>
    <m/>
    <x v="0"/>
    <n v="520205010039"/>
    <s v="Registros y derechos                                                  "/>
    <n v="420.25"/>
    <n v="62"/>
    <n v="0"/>
    <n v="463.7"/>
    <n v="271.07"/>
    <n v="66.8"/>
    <n v="0"/>
    <n v="434.46"/>
    <n v="0"/>
    <n v="38.26"/>
    <n v="0"/>
    <n v="0"/>
    <n v="1756.54"/>
    <n v="1756.5400000009686"/>
  </r>
  <r>
    <x v="3"/>
    <x v="2"/>
    <x v="12"/>
    <m/>
    <x v="0"/>
    <n v="520205010040"/>
    <s v="Obsequios y muestras a clientes (autoconsumo)                         "/>
    <n v="467.24"/>
    <n v="481.88"/>
    <n v="0"/>
    <n v="0"/>
    <n v="0"/>
    <n v="1186.07"/>
    <n v="0"/>
    <n v="0"/>
    <n v="977.25"/>
    <n v="1747.4"/>
    <n v="934.18"/>
    <n v="2660.58"/>
    <n v="8454.6"/>
    <n v="8454.6000000014901"/>
  </r>
  <r>
    <x v="3"/>
    <x v="2"/>
    <x v="12"/>
    <m/>
    <x v="0"/>
    <n v="520205010042"/>
    <s v="Articulos de Seguridad                                                "/>
    <n v="0"/>
    <n v="0"/>
    <n v="0"/>
    <n v="27"/>
    <n v="137.5"/>
    <n v="0"/>
    <n v="0"/>
    <n v="0"/>
    <n v="0"/>
    <n v="0"/>
    <n v="0"/>
    <n v="0"/>
    <n v="164.5"/>
    <n v="164.5"/>
  </r>
  <r>
    <x v="3"/>
    <x v="2"/>
    <x v="13"/>
    <m/>
    <x v="0"/>
    <n v="520206010001"/>
    <s v="Impuestos  municipales                                                "/>
    <n v="1675.12"/>
    <n v="0"/>
    <n v="0"/>
    <n v="17436.25"/>
    <n v="20000"/>
    <n v="0"/>
    <n v="7475.53"/>
    <n v="0"/>
    <n v="0"/>
    <n v="11240.09"/>
    <n v="0"/>
    <n v="2500.4"/>
    <n v="60327.389999999992"/>
    <n v="60327.389999998733"/>
  </r>
  <r>
    <x v="3"/>
    <x v="2"/>
    <x v="13"/>
    <m/>
    <x v="0"/>
    <n v="520206010002"/>
    <s v="Impuesto Cuerpo de Bomberos                                           "/>
    <n v="0"/>
    <n v="410"/>
    <n v="0"/>
    <n v="0"/>
    <n v="0"/>
    <n v="0"/>
    <n v="0"/>
    <n v="0"/>
    <n v="0"/>
    <n v="0"/>
    <n v="0"/>
    <n v="0"/>
    <n v="410"/>
    <n v="410"/>
  </r>
  <r>
    <x v="3"/>
    <x v="2"/>
    <x v="13"/>
    <m/>
    <x v="0"/>
    <n v="520206010004"/>
    <s v="Contribuciones  Super de Compania                                     "/>
    <n v="0"/>
    <n v="0"/>
    <n v="0"/>
    <n v="0"/>
    <n v="0"/>
    <n v="0"/>
    <n v="0"/>
    <n v="0"/>
    <n v="13781.35"/>
    <n v="0"/>
    <n v="0"/>
    <n v="0"/>
    <n v="13781.35"/>
    <n v="13781.349999999627"/>
  </r>
  <r>
    <x v="3"/>
    <x v="2"/>
    <x v="13"/>
    <m/>
    <x v="0"/>
    <n v="520206010005"/>
    <s v="Contribucion Solca                                                    "/>
    <n v="0"/>
    <n v="0"/>
    <n v="1000.07"/>
    <n v="5.36"/>
    <n v="0"/>
    <n v="130.32"/>
    <n v="0"/>
    <n v="0"/>
    <n v="0"/>
    <n v="0.69"/>
    <n v="0"/>
    <n v="0"/>
    <n v="1136.44"/>
    <n v="1136.4399999994785"/>
  </r>
  <r>
    <x v="3"/>
    <x v="2"/>
    <x v="13"/>
    <m/>
    <x v="0"/>
    <n v="520206010006"/>
    <s v="Impuesto salida de divisa                                             "/>
    <n v="21.4"/>
    <n v="0"/>
    <n v="552.75"/>
    <n v="0"/>
    <n v="0"/>
    <n v="0"/>
    <n v="-552.75"/>
    <n v="77.73"/>
    <n v="0"/>
    <n v="0"/>
    <n v="53.39"/>
    <n v="0"/>
    <n v="152.51999999999998"/>
    <n v="152.52000000141561"/>
  </r>
  <r>
    <x v="3"/>
    <x v="2"/>
    <x v="13"/>
    <m/>
    <x v="0"/>
    <n v="520206010007"/>
    <s v="Otros Impuestos                                                       "/>
    <n v="0"/>
    <n v="0"/>
    <n v="200"/>
    <n v="0"/>
    <n v="0"/>
    <n v="0"/>
    <n v="0"/>
    <n v="0"/>
    <n v="0"/>
    <n v="1875.02"/>
    <n v="0"/>
    <n v="0"/>
    <n v="2075.02"/>
    <n v="2075.019999999553"/>
  </r>
  <r>
    <x v="3"/>
    <x v="2"/>
    <x v="13"/>
    <m/>
    <x v="0"/>
    <n v="520206010008"/>
    <s v="Tasa de recoleccion de basura                                         "/>
    <n v="226.97"/>
    <n v="201.39"/>
    <n v="192.32"/>
    <n v="214.29"/>
    <n v="282.58"/>
    <n v="269.26"/>
    <n v="260.67"/>
    <n v="265.51"/>
    <n v="251.83"/>
    <n v="243.11"/>
    <n v="257.44"/>
    <n v="253.86"/>
    <n v="2919.2300000000005"/>
    <n v="2919.2299999985844"/>
  </r>
  <r>
    <x v="3"/>
    <x v="2"/>
    <x v="14"/>
    <m/>
    <x v="0"/>
    <n v="520207010003"/>
    <s v="Gastos de Depreciaciones de Muebles y Enseres                         "/>
    <n v="412.79"/>
    <n v="412.79"/>
    <n v="412.79"/>
    <n v="412.79"/>
    <n v="412.79"/>
    <n v="412.79"/>
    <n v="409.88"/>
    <n v="406.01"/>
    <n v="402.73"/>
    <n v="402.73"/>
    <n v="400.03"/>
    <n v="387.98"/>
    <n v="4886.1000000000004"/>
    <n v="4886.0999999959022"/>
  </r>
  <r>
    <x v="3"/>
    <x v="2"/>
    <x v="14"/>
    <m/>
    <x v="0"/>
    <n v="520207010004"/>
    <s v="Gastos de Depreciación de Equipos de computacion                      "/>
    <n v="563.15"/>
    <n v="559.58000000000004"/>
    <n v="553.72"/>
    <n v="550.41"/>
    <n v="550.41"/>
    <n v="544.91"/>
    <n v="540.04"/>
    <n v="528.01"/>
    <n v="507.39"/>
    <n v="507.39"/>
    <n v="512.76"/>
    <n v="499.19"/>
    <n v="6416.96"/>
    <n v="6416.9600000008941"/>
  </r>
  <r>
    <x v="3"/>
    <x v="2"/>
    <x v="14"/>
    <m/>
    <x v="0"/>
    <n v="520207010005"/>
    <s v="Gastos de Depreciación de Vehiculos                                   "/>
    <n v="3255.45"/>
    <n v="3255.45"/>
    <n v="3255.45"/>
    <n v="3255.45"/>
    <n v="3255.45"/>
    <n v="3255.45"/>
    <n v="3255.45"/>
    <n v="3255.45"/>
    <n v="3255.45"/>
    <n v="3255.45"/>
    <n v="3255.45"/>
    <n v="3255.45"/>
    <n v="39065.4"/>
    <n v="39065.399999991059"/>
  </r>
  <r>
    <x v="3"/>
    <x v="2"/>
    <x v="14"/>
    <m/>
    <x v="0"/>
    <n v="520207010006"/>
    <s v="Gastos de Depreciación de Otras propiedades, plantas y Equipos        "/>
    <n v="0"/>
    <n v="0"/>
    <n v="0"/>
    <n v="0"/>
    <n v="0"/>
    <n v="37.6"/>
    <n v="-37.6"/>
    <n v="0"/>
    <n v="-1.82"/>
    <n v="0"/>
    <n v="-10.93"/>
    <n v="-10.93"/>
    <n v="-23.68"/>
    <n v="-23.679999999701977"/>
  </r>
  <r>
    <x v="3"/>
    <x v="2"/>
    <x v="14"/>
    <m/>
    <x v="0"/>
    <n v="520207010007"/>
    <s v="Gastos depreciacion equipos de seguridad                              "/>
    <n v="8.7799999999999994"/>
    <n v="8.7799999999999994"/>
    <n v="8.7799999999999994"/>
    <n v="8.7799999999999994"/>
    <n v="8.7799999999999994"/>
    <n v="8.7799999999999994"/>
    <n v="8.7799999999999994"/>
    <n v="8.7799999999999994"/>
    <n v="8.7799999999999994"/>
    <n v="8.7799999999999994"/>
    <n v="8.7799999999999994"/>
    <n v="8.7799999999999994"/>
    <n v="105.36"/>
    <n v="105.35999999195337"/>
  </r>
  <r>
    <x v="3"/>
    <x v="3"/>
    <x v="15"/>
    <m/>
    <x v="0"/>
    <n v="520301010001"/>
    <s v="Intereses Bancarios                                                   "/>
    <n v="12997.27"/>
    <n v="11568.21"/>
    <n v="13253.58"/>
    <n v="15930.98"/>
    <n v="15045.34"/>
    <n v="13946.08"/>
    <n v="13985.43"/>
    <n v="13574.45"/>
    <n v="12054.54"/>
    <n v="14464.76"/>
    <n v="15469.16"/>
    <n v="15675.04"/>
    <n v="167964.84"/>
    <n v="167964.83999999799"/>
  </r>
  <r>
    <x v="3"/>
    <x v="3"/>
    <x v="16"/>
    <m/>
    <x v="0"/>
    <n v="520301020001"/>
    <s v="Gastos Bancarios                                                      "/>
    <n v="1997.65"/>
    <n v="1664.41"/>
    <n v="1822.85"/>
    <n v="1765.5"/>
    <n v="1165.25"/>
    <n v="1439.94"/>
    <n v="1505.08"/>
    <n v="1409.73"/>
    <n v="1351.98"/>
    <n v="795.78"/>
    <n v="633.95000000000005"/>
    <n v="968.4"/>
    <n v="16520.52"/>
    <n v="16520.519999999553"/>
  </r>
  <r>
    <x v="3"/>
    <x v="3"/>
    <x v="16"/>
    <m/>
    <x v="0"/>
    <n v="520301020002"/>
    <s v="Diferencia en Cambio                                                  "/>
    <n v="24108.639999999999"/>
    <n v="0"/>
    <n v="0"/>
    <n v="0"/>
    <n v="0"/>
    <n v="0"/>
    <n v="0"/>
    <n v="0"/>
    <n v="0"/>
    <n v="0"/>
    <n v="0"/>
    <n v="0"/>
    <n v="24108.639999999999"/>
    <n v="24108.640000000596"/>
  </r>
  <r>
    <x v="3"/>
    <x v="3"/>
    <x v="16"/>
    <m/>
    <x v="0"/>
    <n v="520301020006"/>
    <s v="Otras Comisiones                                                      "/>
    <n v="0"/>
    <n v="2028.57"/>
    <n v="0"/>
    <n v="0"/>
    <n v="0"/>
    <n v="3.77"/>
    <n v="85.13"/>
    <n v="19.7"/>
    <n v="1022.22"/>
    <n v="3000"/>
    <n v="0"/>
    <n v="0"/>
    <n v="6159.3899999999994"/>
    <n v="6159.390000000596"/>
  </r>
  <r>
    <x v="3"/>
    <x v="4"/>
    <x v="17"/>
    <m/>
    <x v="0"/>
    <n v="540101030009"/>
    <s v="Ajustes                                                               "/>
    <n v="0"/>
    <n v="0"/>
    <n v="0"/>
    <n v="0"/>
    <n v="0"/>
    <n v="0"/>
    <n v="0.03"/>
    <n v="0"/>
    <n v="0"/>
    <n v="0"/>
    <n v="0"/>
    <n v="0"/>
    <n v="0.03"/>
    <n v="2.9999999329447746E-2"/>
  </r>
  <r>
    <x v="3"/>
    <x v="4"/>
    <x v="17"/>
    <m/>
    <x v="0"/>
    <n v="540101030010"/>
    <s v="Intereses ganados en bancos                                           "/>
    <n v="-22.58"/>
    <n v="-20.72"/>
    <n v="-16.04"/>
    <n v="-8.91"/>
    <n v="-212.43"/>
    <n v="-232.62"/>
    <n v="-28.2"/>
    <n v="-34.630000000000003"/>
    <n v="-201.59"/>
    <n v="-142.06"/>
    <n v="-46.49"/>
    <n v="-99.28"/>
    <n v="-1065.55"/>
    <n v="-1065.5499999988824"/>
  </r>
  <r>
    <x v="3"/>
    <x v="4"/>
    <x v="17"/>
    <m/>
    <x v="0"/>
    <n v="540101030011"/>
    <s v="Otros ingresos                                                        "/>
    <n v="-0.08"/>
    <n v="-154.87"/>
    <n v="-7.0000000000000007E-2"/>
    <n v="-1.05"/>
    <n v="-18.11"/>
    <n v="-14.15"/>
    <n v="-0.06"/>
    <n v="-3.49"/>
    <n v="-0.05"/>
    <n v="-0.09"/>
    <n v="-0.25"/>
    <n v="-1437.16"/>
    <n v="-1629.43"/>
    <n v="-1629.4300000015646"/>
  </r>
  <r>
    <x v="3"/>
    <x v="4"/>
    <x v="17"/>
    <m/>
    <x v="0"/>
    <n v="540101030013"/>
    <s v="Ingresos por Reembolso                                                "/>
    <n v="0"/>
    <n v="0"/>
    <n v="0"/>
    <n v="0"/>
    <n v="0"/>
    <n v="0"/>
    <n v="0"/>
    <n v="0"/>
    <n v="0"/>
    <n v="-4401.0200000000004"/>
    <n v="0"/>
    <n v="-4079.75"/>
    <n v="-8480.77"/>
    <n v="-8480.769999999553"/>
  </r>
  <r>
    <x v="3"/>
    <x v="4"/>
    <x v="18"/>
    <m/>
    <x v="0"/>
    <n v="540101040009"/>
    <s v="Otros egresos                                                         "/>
    <n v="0.12"/>
    <n v="0.09"/>
    <n v="0.05"/>
    <n v="0.03"/>
    <n v="0.26"/>
    <n v="0.02"/>
    <n v="5.97"/>
    <n v="0.04"/>
    <n v="0.02"/>
    <n v="7.0000000000000007E-2"/>
    <n v="0.05"/>
    <n v="0.04"/>
    <n v="6.76"/>
    <n v="6.7599999979138374"/>
  </r>
  <r>
    <x v="3"/>
    <x v="4"/>
    <x v="18"/>
    <m/>
    <x v="0"/>
    <n v="540101040013"/>
    <s v="Dada de baja de invetarios                                            "/>
    <n v="0"/>
    <n v="0"/>
    <n v="55.74"/>
    <n v="33990.26"/>
    <n v="0"/>
    <n v="892.89"/>
    <n v="0"/>
    <n v="60691.9"/>
    <n v="0"/>
    <n v="0"/>
    <n v="0"/>
    <n v="0"/>
    <n v="95630.790000000008"/>
    <n v="95630.790000000969"/>
  </r>
  <r>
    <x v="4"/>
    <x v="1"/>
    <x v="5"/>
    <m/>
    <x v="0"/>
    <n v="520101010001"/>
    <s v="Sueldos                                                               "/>
    <n v="13941.67"/>
    <n v="13416.33"/>
    <n v="14728.34"/>
    <n v="14285"/>
    <n v="14268.33"/>
    <n v="13785"/>
    <n v="13648.33"/>
    <n v="14541.67"/>
    <n v="14500.83"/>
    <n v="13045.83"/>
    <n v="11166.67"/>
    <n v="12047.78"/>
    <n v="163375.78"/>
    <n v="163375.77999999933"/>
  </r>
  <r>
    <x v="4"/>
    <x v="1"/>
    <x v="5"/>
    <m/>
    <x v="0"/>
    <n v="520101010002"/>
    <s v="Sobretiempos                                                          "/>
    <n v="1279.73"/>
    <n v="1381.05"/>
    <n v="836.59"/>
    <n v="0"/>
    <n v="112.04"/>
    <n v="324.23"/>
    <n v="865.9"/>
    <n v="945.94"/>
    <n v="1182.6500000000001"/>
    <n v="1322.33"/>
    <n v="1242.95"/>
    <n v="961.72"/>
    <n v="10455.129999999999"/>
    <n v="10455.13000000082"/>
  </r>
  <r>
    <x v="4"/>
    <x v="1"/>
    <x v="5"/>
    <m/>
    <x v="0"/>
    <n v="520101010003"/>
    <s v="Comisiones                                                            "/>
    <n v="9221.43"/>
    <n v="7255.22"/>
    <n v="4871.3599999999997"/>
    <n v="3415.24"/>
    <n v="6724.91"/>
    <n v="5259.33"/>
    <n v="5849.28"/>
    <n v="5949.06"/>
    <n v="5558.87"/>
    <n v="4673.79"/>
    <n v="4697.55"/>
    <n v="2913.64"/>
    <n v="66389.680000000008"/>
    <n v="66389.679999999702"/>
  </r>
  <r>
    <x v="4"/>
    <x v="1"/>
    <x v="5"/>
    <m/>
    <x v="0"/>
    <n v="520101010004"/>
    <s v="Aporte Patronal 12.15%                                                "/>
    <n v="3224.81"/>
    <n v="2908.65"/>
    <n v="2577.2399999999998"/>
    <n v="2398.94"/>
    <n v="2712.53"/>
    <n v="2353.3000000000002"/>
    <n v="2655.95"/>
    <n v="2641.01"/>
    <n v="4419.7"/>
    <n v="2313.59"/>
    <n v="2078.52"/>
    <n v="1974.43"/>
    <n v="32258.670000000002"/>
    <n v="32258.669999998063"/>
  </r>
  <r>
    <x v="4"/>
    <x v="1"/>
    <x v="5"/>
    <m/>
    <x v="0"/>
    <n v="520101010005"/>
    <s v="Fondo de Reserva                                                      "/>
    <n v="1894.31"/>
    <n v="1827.81"/>
    <n v="1533.87"/>
    <n v="1490.3"/>
    <n v="1697.89"/>
    <n v="1436.89"/>
    <n v="1612.02"/>
    <n v="1511.88"/>
    <n v="2788.18"/>
    <n v="1420.29"/>
    <n v="1285.1600000000001"/>
    <n v="1072.26"/>
    <n v="19570.86"/>
    <n v="19570.860000001267"/>
  </r>
  <r>
    <x v="4"/>
    <x v="1"/>
    <x v="5"/>
    <m/>
    <x v="0"/>
    <n v="520101010006"/>
    <s v="Decimo Tercer Sueldo                                                  "/>
    <n v="2211.83"/>
    <n v="1994.97"/>
    <n v="1767.63"/>
    <n v="1645.37"/>
    <n v="1860.45"/>
    <n v="1614.06"/>
    <n v="1821.63"/>
    <n v="1811.4"/>
    <n v="3016.89"/>
    <n v="1586.86"/>
    <n v="1425.6"/>
    <n v="1318.81"/>
    <n v="22075.5"/>
    <n v="22075.500000001863"/>
  </r>
  <r>
    <x v="4"/>
    <x v="1"/>
    <x v="5"/>
    <m/>
    <x v="0"/>
    <n v="520101010007"/>
    <s v="Decimo Cuarto Sueldo                                                  "/>
    <n v="484.4"/>
    <n v="452.18"/>
    <n v="529.95000000000005"/>
    <n v="499.95"/>
    <n v="498.84"/>
    <n v="466.62"/>
    <n v="455.51"/>
    <n v="511.07"/>
    <n v="512.16999999999996"/>
    <n v="492.18"/>
    <n v="447.73"/>
    <n v="499.95"/>
    <n v="5850.55"/>
    <n v="5850.5499999970198"/>
  </r>
  <r>
    <x v="4"/>
    <x v="1"/>
    <x v="5"/>
    <m/>
    <x v="0"/>
    <n v="520101010008"/>
    <s v="Vacaciones                                                            "/>
    <n v="580.88"/>
    <n v="559.01"/>
    <n v="613.66"/>
    <n v="0"/>
    <n v="1189.73"/>
    <n v="574.37"/>
    <n v="568.66999999999996"/>
    <n v="605.9"/>
    <n v="602.52"/>
    <n v="543.58000000000004"/>
    <n v="465.28"/>
    <n v="11950"/>
    <n v="18253.599999999999"/>
    <n v="18253.599999999627"/>
  </r>
  <r>
    <x v="4"/>
    <x v="1"/>
    <x v="5"/>
    <m/>
    <x v="0"/>
    <n v="520101010009"/>
    <s v="Desahucio Ventas                                                      "/>
    <n v="398.1"/>
    <n v="398.1"/>
    <n v="398.1"/>
    <n v="398.1"/>
    <n v="398.1"/>
    <n v="398.1"/>
    <n v="504.97"/>
    <n v="504.97"/>
    <n v="504.97"/>
    <n v="504.97"/>
    <n v="504.97"/>
    <n v="910.71"/>
    <n v="5824.1600000000008"/>
    <n v="5824.1600000020117"/>
  </r>
  <r>
    <x v="4"/>
    <x v="1"/>
    <x v="5"/>
    <m/>
    <x v="0"/>
    <n v="520101010011"/>
    <s v="Bonificaciones Voluntarias Ventas                                     "/>
    <n v="2099"/>
    <n v="1887"/>
    <n v="775"/>
    <n v="2044"/>
    <n v="1220"/>
    <n v="0"/>
    <n v="1496"/>
    <n v="300"/>
    <n v="15000"/>
    <n v="0"/>
    <n v="0"/>
    <n v="0"/>
    <n v="24821"/>
    <n v="24821"/>
  </r>
  <r>
    <x v="4"/>
    <x v="1"/>
    <x v="5"/>
    <m/>
    <x v="0"/>
    <n v="520101010012"/>
    <s v="Jubilación Patronal Ventas                                            "/>
    <n v="1089.8800000000001"/>
    <n v="1089.8800000000001"/>
    <n v="1089.8800000000001"/>
    <n v="1089.8800000000001"/>
    <n v="1089.8800000000001"/>
    <n v="1089.8800000000001"/>
    <n v="1232.8599999999999"/>
    <n v="1232.8599999999999"/>
    <n v="1232.8599999999999"/>
    <n v="1232.8599999999999"/>
    <n v="1232.8599999999999"/>
    <n v="2078.25"/>
    <n v="14781.830000000002"/>
    <n v="14781.830000001937"/>
  </r>
  <r>
    <x v="4"/>
    <x v="1"/>
    <x v="6"/>
    <m/>
    <x v="0"/>
    <n v="520101020002"/>
    <s v="Alimentacion Ventas                                                   "/>
    <n v="975.26"/>
    <n v="351.44"/>
    <n v="404.89"/>
    <n v="187.5"/>
    <n v="26.5"/>
    <n v="637.30999999999995"/>
    <n v="763.11"/>
    <n v="466.55"/>
    <n v="587.69000000000005"/>
    <n v="1175.77"/>
    <n v="963.58"/>
    <n v="348.22"/>
    <n v="6887.8200000000006"/>
    <n v="6887.820000000298"/>
  </r>
  <r>
    <x v="4"/>
    <x v="1"/>
    <x v="6"/>
    <m/>
    <x v="0"/>
    <n v="520101020006"/>
    <s v="Capacitación y Seminarios Ventas                                      "/>
    <n v="0"/>
    <n v="0"/>
    <n v="760"/>
    <n v="0"/>
    <n v="0"/>
    <n v="154"/>
    <n v="272"/>
    <n v="550"/>
    <n v="0"/>
    <n v="405"/>
    <n v="0"/>
    <n v="0"/>
    <n v="2141"/>
    <n v="2141"/>
  </r>
  <r>
    <x v="4"/>
    <x v="1"/>
    <x v="6"/>
    <m/>
    <x v="0"/>
    <n v="520101020007"/>
    <s v="Agasajo al Personal Ventas                                            "/>
    <n v="0"/>
    <n v="0"/>
    <n v="0"/>
    <n v="0"/>
    <n v="0"/>
    <n v="0"/>
    <n v="0"/>
    <n v="0"/>
    <n v="0"/>
    <n v="0"/>
    <n v="0"/>
    <n v="66.66"/>
    <n v="66.66"/>
    <n v="66.660000000149012"/>
  </r>
  <r>
    <x v="4"/>
    <x v="1"/>
    <x v="7"/>
    <m/>
    <x v="0"/>
    <n v="520101030002"/>
    <s v="Promoción y Publicidad                                                "/>
    <n v="1178.52"/>
    <n v="938.13"/>
    <n v="1508.13"/>
    <n v="938.13"/>
    <n v="938.13"/>
    <n v="1508.13"/>
    <n v="1508.13"/>
    <n v="0"/>
    <n v="938.13"/>
    <n v="0"/>
    <n v="2000"/>
    <n v="132.5"/>
    <n v="11587.929999999998"/>
    <n v="11587.93000000529"/>
  </r>
  <r>
    <x v="4"/>
    <x v="1"/>
    <x v="7"/>
    <m/>
    <x v="0"/>
    <n v="520101030003"/>
    <s v="Gastos de Viaje Ventas                                                "/>
    <n v="781"/>
    <n v="1188"/>
    <n v="0"/>
    <n v="0"/>
    <n v="0"/>
    <n v="0"/>
    <n v="0"/>
    <n v="0"/>
    <n v="0"/>
    <n v="0"/>
    <n v="0"/>
    <n v="0"/>
    <n v="1969"/>
    <n v="1969"/>
  </r>
  <r>
    <x v="4"/>
    <x v="1"/>
    <x v="7"/>
    <m/>
    <x v="0"/>
    <n v="520101030004"/>
    <s v="Mant. Vehiculos Ventas                                                "/>
    <n v="146.36000000000001"/>
    <n v="388.05"/>
    <n v="0"/>
    <n v="0"/>
    <n v="0"/>
    <n v="346.5"/>
    <n v="0"/>
    <n v="0"/>
    <n v="87.11"/>
    <n v="0"/>
    <n v="171.5"/>
    <n v="0"/>
    <n v="1139.52"/>
    <n v="1139.519999999553"/>
  </r>
  <r>
    <x v="4"/>
    <x v="1"/>
    <x v="7"/>
    <m/>
    <x v="0"/>
    <n v="520101030005"/>
    <s v="Combustibles Ventas                                                   "/>
    <n v="1300.54"/>
    <n v="953.31"/>
    <n v="689.95"/>
    <n v="26.79"/>
    <n v="115.88"/>
    <n v="786.88"/>
    <n v="642.52"/>
    <n v="941.17"/>
    <n v="1019.57"/>
    <n v="774.9"/>
    <n v="784.88"/>
    <n v="733.95"/>
    <n v="8770.34"/>
    <n v="8770.339999999851"/>
  </r>
  <r>
    <x v="4"/>
    <x v="1"/>
    <x v="7"/>
    <m/>
    <x v="0"/>
    <n v="520101030006"/>
    <s v="Gastos de Exportación                                                 "/>
    <n v="6584.14"/>
    <n v="7344.64"/>
    <n v="2474.64"/>
    <n v="5579.44"/>
    <n v="7458.21"/>
    <n v="6357.14"/>
    <n v="9480.93"/>
    <n v="2412.5100000000002"/>
    <n v="4508.93"/>
    <n v="1803.55"/>
    <n v="6550"/>
    <n v="185.7"/>
    <n v="60739.83"/>
    <n v="60739.830000001937"/>
  </r>
  <r>
    <x v="4"/>
    <x v="1"/>
    <x v="7"/>
    <m/>
    <x v="0"/>
    <n v="520101030007"/>
    <s v="Atención a clientes                                                   "/>
    <n v="201.98"/>
    <n v="152.94999999999999"/>
    <n v="40.99"/>
    <n v="16"/>
    <n v="16"/>
    <n v="56.45"/>
    <n v="39.950000000000003"/>
    <n v="223.98"/>
    <n v="23.4"/>
    <n v="91.5"/>
    <n v="46.44"/>
    <n v="51.9"/>
    <n v="961.53999999999985"/>
    <n v="961.53999999910593"/>
  </r>
  <r>
    <x v="4"/>
    <x v="1"/>
    <x v="7"/>
    <m/>
    <x v="0"/>
    <n v="520101030008"/>
    <s v="Gastos Viaticos                                                       "/>
    <n v="372.5"/>
    <n v="714.17"/>
    <n v="372.49"/>
    <n v="0"/>
    <n v="0"/>
    <n v="10"/>
    <n v="31.01"/>
    <n v="218.88"/>
    <n v="260.17"/>
    <n v="8"/>
    <n v="228.07"/>
    <n v="6"/>
    <n v="2221.2900000000004"/>
    <n v="2221.2900000009686"/>
  </r>
  <r>
    <x v="4"/>
    <x v="1"/>
    <x v="7"/>
    <m/>
    <x v="0"/>
    <n v="520101030009"/>
    <s v="Telefonía celular ventas                                              "/>
    <n v="194.95"/>
    <n v="217.28"/>
    <n v="347.31"/>
    <n v="218.96"/>
    <n v="224.43"/>
    <n v="216.05"/>
    <n v="227.7"/>
    <n v="250.36"/>
    <n v="250.2"/>
    <n v="257.45"/>
    <n v="266.44"/>
    <n v="335.43"/>
    <n v="3006.5599999999995"/>
    <n v="3006.5599999967963"/>
  </r>
  <r>
    <x v="4"/>
    <x v="1"/>
    <x v="7"/>
    <m/>
    <x v="0"/>
    <n v="520101030010"/>
    <s v="Suministros, materiales y repuestos Ventas                            "/>
    <n v="0"/>
    <n v="0"/>
    <n v="0"/>
    <n v="0"/>
    <n v="0"/>
    <n v="0"/>
    <n v="124"/>
    <n v="0"/>
    <n v="0"/>
    <n v="0"/>
    <n v="0"/>
    <n v="0"/>
    <n v="124"/>
    <n v="124"/>
  </r>
  <r>
    <x v="4"/>
    <x v="1"/>
    <x v="7"/>
    <m/>
    <x v="0"/>
    <n v="520101030011"/>
    <s v="Suministros de oficina y comput ventas y diseño                       "/>
    <n v="309.87"/>
    <n v="0"/>
    <n v="54"/>
    <n v="0"/>
    <n v="0"/>
    <n v="0"/>
    <n v="848.81"/>
    <n v="545"/>
    <n v="5490"/>
    <n v="80.25"/>
    <n v="1031.49"/>
    <n v="108.68"/>
    <n v="8468.1"/>
    <n v="8468.0999999996275"/>
  </r>
  <r>
    <x v="4"/>
    <x v="1"/>
    <x v="7"/>
    <m/>
    <x v="0"/>
    <n v="520101030012"/>
    <s v="Movilizacion Ventas                                                   "/>
    <n v="0"/>
    <n v="0"/>
    <n v="12"/>
    <n v="0"/>
    <n v="0"/>
    <n v="0"/>
    <n v="0"/>
    <n v="0"/>
    <n v="0"/>
    <n v="0"/>
    <n v="10"/>
    <n v="0"/>
    <n v="22"/>
    <n v="22"/>
  </r>
  <r>
    <x v="4"/>
    <x v="1"/>
    <x v="7"/>
    <m/>
    <x v="0"/>
    <n v="520101030013"/>
    <s v="Obsequios y muestras a clientes (autoconsumo)                         "/>
    <n v="1332.98"/>
    <n v="0"/>
    <n v="330.08"/>
    <n v="0"/>
    <n v="39.07"/>
    <n v="0"/>
    <n v="362.69"/>
    <n v="172.57"/>
    <n v="25"/>
    <n v="107.44"/>
    <n v="29.64"/>
    <n v="273.08"/>
    <n v="2672.5499999999997"/>
    <n v="2672.5500000007451"/>
  </r>
  <r>
    <x v="4"/>
    <x v="1"/>
    <x v="7"/>
    <m/>
    <x v="0"/>
    <n v="520101030014"/>
    <s v="Gastos de depreciación de equipos de computación                      "/>
    <n v="395.23"/>
    <n v="395.23"/>
    <n v="395.23"/>
    <n v="276.70999999999998"/>
    <n v="276.70999999999998"/>
    <n v="276.70999999999998"/>
    <n v="276.70999999999998"/>
    <n v="276.70999999999998"/>
    <n v="276.70999999999998"/>
    <n v="276.70999999999998"/>
    <n v="236.93"/>
    <n v="229.13"/>
    <n v="3588.7200000000003"/>
    <n v="3588.7200000081211"/>
  </r>
  <r>
    <x v="4"/>
    <x v="1"/>
    <x v="7"/>
    <m/>
    <x v="0"/>
    <n v="520101030015"/>
    <s v="Seguros vehículos ventas                                              "/>
    <n v="86.74"/>
    <n v="17.350000000000001"/>
    <n v="0"/>
    <n v="0"/>
    <n v="0"/>
    <n v="0"/>
    <n v="0"/>
    <n v="0"/>
    <n v="0"/>
    <n v="0"/>
    <n v="0"/>
    <n v="0"/>
    <n v="104.09"/>
    <n v="104.08999999985099"/>
  </r>
  <r>
    <x v="4"/>
    <x v="1"/>
    <x v="7"/>
    <m/>
    <x v="0"/>
    <n v="520101030016"/>
    <s v="Mantenimiento  Instalaciones                                          "/>
    <n v="93.7"/>
    <n v="0"/>
    <n v="0"/>
    <n v="0"/>
    <n v="30"/>
    <n v="1740"/>
    <n v="1410.01"/>
    <n v="0"/>
    <n v="130"/>
    <n v="0"/>
    <n v="73.209999999999994"/>
    <n v="0"/>
    <n v="3476.92"/>
    <n v="3476.9199999999255"/>
  </r>
  <r>
    <x v="4"/>
    <x v="1"/>
    <x v="7"/>
    <m/>
    <x v="0"/>
    <n v="520101030017"/>
    <s v="Mantenimiento Muebles y equipos                                       "/>
    <n v="1015"/>
    <n v="0"/>
    <n v="0"/>
    <n v="0"/>
    <n v="3042"/>
    <n v="244.84"/>
    <n v="1012"/>
    <n v="1105"/>
    <n v="95"/>
    <n v="185"/>
    <n v="90"/>
    <n v="0"/>
    <n v="6788.84"/>
    <n v="6788.839999999851"/>
  </r>
  <r>
    <x v="4"/>
    <x v="1"/>
    <x v="7"/>
    <m/>
    <x v="0"/>
    <n v="520101030018"/>
    <s v="Gasto de Depreciacion Muebles y Enseres                               "/>
    <n v="19.47"/>
    <n v="19.47"/>
    <n v="19.47"/>
    <n v="19.47"/>
    <n v="19.47"/>
    <n v="19.47"/>
    <n v="19.47"/>
    <n v="19.47"/>
    <n v="19.47"/>
    <n v="19.47"/>
    <n v="19.47"/>
    <n v="16.16"/>
    <n v="230.32999999999998"/>
    <n v="230.33000000752509"/>
  </r>
  <r>
    <x v="4"/>
    <x v="1"/>
    <x v="7"/>
    <m/>
    <x v="0"/>
    <n v="520101030019"/>
    <s v="Gasto de Depreciacion de Vehiculos                                    "/>
    <n v="414.58"/>
    <n v="414.58"/>
    <n v="414.58"/>
    <n v="414.58"/>
    <n v="414.58"/>
    <n v="414.58"/>
    <n v="414.58"/>
    <n v="414.58"/>
    <n v="414.58"/>
    <n v="414.58"/>
    <n v="414.58"/>
    <n v="0"/>
    <n v="4560.38"/>
    <n v="4560.3800000008196"/>
  </r>
  <r>
    <x v="4"/>
    <x v="1"/>
    <x v="7"/>
    <m/>
    <x v="0"/>
    <n v="520101030020"/>
    <s v="Otros pagos bienes y servicios ventas                                 "/>
    <n v="150.27000000000001"/>
    <n v="74.900000000000006"/>
    <n v="17.86"/>
    <n v="2946.42"/>
    <n v="2095"/>
    <n v="176.22"/>
    <n v="231.3"/>
    <n v="2397.5700000000002"/>
    <n v="1718.12"/>
    <n v="511.35"/>
    <n v="938.25"/>
    <n v="384.81"/>
    <n v="11642.07"/>
    <n v="11642.070000000298"/>
  </r>
  <r>
    <x v="4"/>
    <x v="1"/>
    <x v="7"/>
    <m/>
    <x v="0"/>
    <n v="520101030021"/>
    <s v="Mant equipos de computo                                               "/>
    <n v="0"/>
    <n v="0"/>
    <n v="0"/>
    <n v="0"/>
    <n v="0"/>
    <n v="0"/>
    <n v="0"/>
    <n v="0"/>
    <n v="755"/>
    <n v="0"/>
    <n v="0"/>
    <n v="0"/>
    <n v="755"/>
    <n v="755"/>
  </r>
  <r>
    <x v="4"/>
    <x v="1"/>
    <x v="7"/>
    <m/>
    <x v="0"/>
    <n v="520101030022"/>
    <s v="Correo y Courrier                                                     "/>
    <n v="2526.67"/>
    <n v="1527.78"/>
    <n v="1506.02"/>
    <n v="739.26"/>
    <n v="37.96"/>
    <n v="5.76"/>
    <n v="4206.53"/>
    <n v="84.78"/>
    <n v="83.05"/>
    <n v="4303.97"/>
    <n v="570.66"/>
    <n v="2506.29"/>
    <n v="18098.73"/>
    <n v="18098.729999998584"/>
  </r>
  <r>
    <x v="4"/>
    <x v="1"/>
    <x v="7"/>
    <m/>
    <x v="0"/>
    <n v="520101030023"/>
    <s v="Iva No aplicado ( Gasto)                                              "/>
    <n v="659.94"/>
    <n v="332.38"/>
    <n v="415.92"/>
    <n v="505.17"/>
    <n v="764.51"/>
    <n v="552.29"/>
    <n v="2664.99"/>
    <n v="748.49"/>
    <n v="2961.1"/>
    <n v="2195.08"/>
    <n v="573.61"/>
    <n v="627.25"/>
    <n v="13000.73"/>
    <n v="13000.729999998584"/>
  </r>
  <r>
    <x v="4"/>
    <x v="1"/>
    <x v="7"/>
    <m/>
    <x v="0"/>
    <n v="520101030024"/>
    <s v="Seguros de Exportación                                                "/>
    <n v="570.25"/>
    <n v="570.25"/>
    <n v="570.25"/>
    <n v="570.25"/>
    <n v="570.25"/>
    <n v="0"/>
    <n v="6830.38"/>
    <n v="909.27"/>
    <n v="900.34"/>
    <n v="900.34"/>
    <n v="900.34"/>
    <n v="950.79"/>
    <n v="14242.710000000003"/>
    <n v="14242.709999999031"/>
  </r>
  <r>
    <x v="4"/>
    <x v="2"/>
    <x v="8"/>
    <m/>
    <x v="0"/>
    <n v="520201010001"/>
    <s v="Sueldos                                                               "/>
    <n v="21894.14"/>
    <n v="21331.38"/>
    <n v="20611.509999999998"/>
    <n v="19537.759999999998"/>
    <n v="19125.259999999998"/>
    <n v="20525.259999999998"/>
    <n v="21309.43"/>
    <n v="21171.09"/>
    <n v="20676.09"/>
    <n v="20271.09"/>
    <n v="20339.98"/>
    <n v="19317.75"/>
    <n v="246110.74"/>
    <n v="246110.74000000395"/>
  </r>
  <r>
    <x v="4"/>
    <x v="2"/>
    <x v="8"/>
    <m/>
    <x v="0"/>
    <n v="520201010002"/>
    <s v="Sobretiempos                                                          "/>
    <n v="1011.77"/>
    <n v="910.44"/>
    <n v="632.78"/>
    <n v="131.93"/>
    <n v="339.85"/>
    <n v="582.84"/>
    <n v="427.89"/>
    <n v="414.9"/>
    <n v="661.54"/>
    <n v="817.59"/>
    <n v="916.57"/>
    <n v="541.83000000000004"/>
    <n v="7389.9299999999994"/>
    <n v="7389.929999999702"/>
  </r>
  <r>
    <x v="4"/>
    <x v="2"/>
    <x v="8"/>
    <m/>
    <x v="0"/>
    <n v="520201010003"/>
    <s v="Aporte Patronal 12.15%                                                "/>
    <n v="2783.09"/>
    <n v="2702.4"/>
    <n v="2626.45"/>
    <n v="2389.9"/>
    <n v="2365.0500000000002"/>
    <n v="2564.6799999999998"/>
    <n v="2641.64"/>
    <n v="2609.27"/>
    <n v="2646.74"/>
    <n v="2668.68"/>
    <n v="2708.93"/>
    <n v="2573.5500000000002"/>
    <n v="31280.38"/>
    <n v="31280.379999995232"/>
  </r>
  <r>
    <x v="4"/>
    <x v="2"/>
    <x v="8"/>
    <m/>
    <x v="0"/>
    <n v="520201010004"/>
    <s v="Fondo de Reserva                                                      "/>
    <n v="1299.81"/>
    <n v="1407.93"/>
    <n v="1417.94"/>
    <n v="1363.53"/>
    <n v="1384.05"/>
    <n v="1540.66"/>
    <n v="1525.84"/>
    <n v="1581"/>
    <n v="1595.3"/>
    <n v="1607.45"/>
    <n v="1631.13"/>
    <n v="1605.85"/>
    <n v="17960.489999999998"/>
    <n v="17960.490000002086"/>
  </r>
  <r>
    <x v="4"/>
    <x v="2"/>
    <x v="8"/>
    <m/>
    <x v="0"/>
    <n v="520201010005"/>
    <s v="Decimo Tercer Sueldo                                                  "/>
    <n v="1908.82"/>
    <n v="1853.48"/>
    <n v="1801.38"/>
    <n v="1639.12"/>
    <n v="1622.08"/>
    <n v="1759.01"/>
    <n v="1765.88"/>
    <n v="1787.72"/>
    <n v="1767.01"/>
    <n v="1733.77"/>
    <n v="1743.67"/>
    <n v="1621.52"/>
    <n v="21003.460000000003"/>
    <n v="21003.460000000894"/>
  </r>
  <r>
    <x v="4"/>
    <x v="2"/>
    <x v="8"/>
    <m/>
    <x v="0"/>
    <n v="520201010006"/>
    <s v="Decimo Cuarto Sueldo                                                  "/>
    <n v="833.25"/>
    <n v="633.25"/>
    <n v="798.81"/>
    <n v="766.59"/>
    <n v="766.59"/>
    <n v="797.7"/>
    <n v="766.59"/>
    <n v="766.59"/>
    <n v="627.72"/>
    <n v="733.26"/>
    <n v="733.26"/>
    <n v="696.6"/>
    <n v="8920.2100000000009"/>
    <n v="8920.2100000008941"/>
  </r>
  <r>
    <x v="4"/>
    <x v="2"/>
    <x v="8"/>
    <m/>
    <x v="0"/>
    <n v="520201010007"/>
    <s v="Vacaciones                                                            "/>
    <n v="912.26"/>
    <n v="888.56"/>
    <n v="858.82"/>
    <n v="0"/>
    <n v="1926.89"/>
    <n v="1355.22"/>
    <n v="865.12"/>
    <n v="876.58"/>
    <n v="855.95"/>
    <n v="1331.71"/>
    <n v="833.66"/>
    <n v="18901.09"/>
    <n v="29605.86"/>
    <n v="29605.859999999404"/>
  </r>
  <r>
    <x v="4"/>
    <x v="2"/>
    <x v="8"/>
    <m/>
    <x v="0"/>
    <n v="520201010008"/>
    <s v="Desahucio Administración                                              "/>
    <n v="168.51"/>
    <n v="168.51"/>
    <n v="168.51"/>
    <n v="168.51"/>
    <n v="168.51"/>
    <n v="168.51"/>
    <n v="662.21"/>
    <n v="662.21"/>
    <n v="662.21"/>
    <n v="662.21"/>
    <n v="662.21"/>
    <n v="1484.91"/>
    <n v="5807.02"/>
    <n v="5807.0200000144541"/>
  </r>
  <r>
    <x v="4"/>
    <x v="2"/>
    <x v="8"/>
    <m/>
    <x v="0"/>
    <n v="520201010010"/>
    <s v="Bonificaciones Voluntarias Administración                             "/>
    <n v="0"/>
    <n v="0"/>
    <n v="372.5"/>
    <n v="0"/>
    <n v="0"/>
    <n v="0"/>
    <n v="0"/>
    <n v="0"/>
    <n v="0"/>
    <n v="0"/>
    <n v="0"/>
    <n v="0"/>
    <n v="372.5"/>
    <n v="372.5"/>
  </r>
  <r>
    <x v="4"/>
    <x v="2"/>
    <x v="8"/>
    <m/>
    <x v="0"/>
    <n v="520201010011"/>
    <s v="Jubilación Patronal Administración                                    "/>
    <n v="519.97"/>
    <n v="519.97"/>
    <n v="519.97"/>
    <n v="519.97"/>
    <n v="519.97"/>
    <n v="519.97"/>
    <n v="1238.25"/>
    <n v="1238.25"/>
    <n v="1238.25"/>
    <n v="1238.25"/>
    <n v="1238.25"/>
    <n v="1875.57"/>
    <n v="11186.64"/>
    <n v="11186.639999993145"/>
  </r>
  <r>
    <x v="4"/>
    <x v="2"/>
    <x v="6"/>
    <m/>
    <x v="0"/>
    <n v="520201020002"/>
    <s v="Alimentacion Administración                                           "/>
    <n v="923.77"/>
    <n v="987.51"/>
    <n v="831.63"/>
    <n v="1664.32"/>
    <n v="2978.14"/>
    <n v="567.85"/>
    <n v="768.03"/>
    <n v="1007.64"/>
    <n v="871.24"/>
    <n v="750.59"/>
    <n v="741.7"/>
    <n v="469.1"/>
    <n v="12561.52"/>
    <n v="12561.520000003278"/>
  </r>
  <r>
    <x v="4"/>
    <x v="2"/>
    <x v="6"/>
    <m/>
    <x v="0"/>
    <n v="520201020003"/>
    <s v="Movilizacion/Transp de Personal Administración                        "/>
    <n v="60"/>
    <n v="0"/>
    <n v="60"/>
    <n v="120"/>
    <n v="60"/>
    <n v="60"/>
    <n v="60"/>
    <n v="60"/>
    <n v="60"/>
    <n v="60"/>
    <n v="60"/>
    <n v="60"/>
    <n v="720"/>
    <n v="720"/>
  </r>
  <r>
    <x v="4"/>
    <x v="2"/>
    <x v="6"/>
    <m/>
    <x v="0"/>
    <n v="520201020004"/>
    <s v="Gastos Médicos ventas y administración                                "/>
    <n v="138.97999999999999"/>
    <n v="0"/>
    <n v="0"/>
    <n v="1284.3900000000001"/>
    <n v="1055.77"/>
    <n v="261.27"/>
    <n v="50.29"/>
    <n v="0"/>
    <n v="0"/>
    <n v="0"/>
    <n v="0"/>
    <n v="305.5"/>
    <n v="3096.2000000000003"/>
    <n v="3096.1999999992549"/>
  </r>
  <r>
    <x v="4"/>
    <x v="2"/>
    <x v="6"/>
    <m/>
    <x v="0"/>
    <n v="520201020006"/>
    <s v="Capacitación y Seminarios Administración                              "/>
    <n v="260"/>
    <n v="0"/>
    <n v="640"/>
    <n v="0"/>
    <n v="0"/>
    <n v="135"/>
    <n v="0"/>
    <n v="994"/>
    <n v="90"/>
    <n v="240"/>
    <n v="0"/>
    <n v="204"/>
    <n v="2563"/>
    <n v="2563"/>
  </r>
  <r>
    <x v="4"/>
    <x v="2"/>
    <x v="6"/>
    <m/>
    <x v="0"/>
    <n v="520201020007"/>
    <s v="Agasajo al Personal Administración                                    "/>
    <n v="0"/>
    <n v="0"/>
    <n v="0"/>
    <n v="0"/>
    <n v="0"/>
    <n v="0"/>
    <n v="0"/>
    <n v="0"/>
    <n v="0"/>
    <n v="0"/>
    <n v="0"/>
    <n v="31594.99"/>
    <n v="31594.99"/>
    <n v="31594.989999998361"/>
  </r>
  <r>
    <x v="4"/>
    <x v="2"/>
    <x v="9"/>
    <m/>
    <x v="0"/>
    <n v="520202010001"/>
    <s v="Honorarios Profesionales                                              "/>
    <n v="20170.12"/>
    <n v="13857.26"/>
    <n v="10300"/>
    <n v="10926.73"/>
    <n v="11829.18"/>
    <n v="14787.37"/>
    <n v="10853.8"/>
    <n v="10851.08"/>
    <n v="68132.679999999993"/>
    <n v="40202.35"/>
    <n v="56913.8"/>
    <n v="92230.77"/>
    <n v="361055.14"/>
    <n v="361055.14000000432"/>
  </r>
  <r>
    <x v="4"/>
    <x v="2"/>
    <x v="9"/>
    <m/>
    <x v="0"/>
    <n v="520202010002"/>
    <s v="Servicios de Contabilidad - Asesorias                                 "/>
    <n v="0"/>
    <n v="0"/>
    <n v="0"/>
    <n v="0"/>
    <n v="0"/>
    <n v="30"/>
    <n v="0"/>
    <n v="0"/>
    <n v="0"/>
    <n v="0"/>
    <n v="0"/>
    <n v="13000"/>
    <n v="13030"/>
    <n v="13030"/>
  </r>
  <r>
    <x v="4"/>
    <x v="2"/>
    <x v="9"/>
    <m/>
    <x v="0"/>
    <n v="520202010005"/>
    <s v="Auditorías                                                            "/>
    <n v="250"/>
    <n v="0"/>
    <n v="0"/>
    <n v="815"/>
    <n v="1690"/>
    <n v="0"/>
    <n v="0"/>
    <n v="3.4"/>
    <n v="0"/>
    <n v="0"/>
    <n v="3056.32"/>
    <n v="1700"/>
    <n v="7514.72"/>
    <n v="7514.7199999988079"/>
  </r>
  <r>
    <x v="4"/>
    <x v="2"/>
    <x v="10"/>
    <m/>
    <x v="0"/>
    <n v="520203010001"/>
    <s v="Mantenimiento de Edificios y oficinas Administración                  "/>
    <n v="180"/>
    <n v="1056.95"/>
    <n v="800"/>
    <n v="0"/>
    <n v="0"/>
    <n v="0"/>
    <n v="0"/>
    <n v="0"/>
    <n v="0"/>
    <n v="200"/>
    <n v="0"/>
    <n v="0"/>
    <n v="2236.9499999999998"/>
    <n v="2236.9499999992549"/>
  </r>
  <r>
    <x v="4"/>
    <x v="2"/>
    <x v="10"/>
    <m/>
    <x v="0"/>
    <n v="520203010002"/>
    <s v="Mantenimiento Instalaciones                                           "/>
    <n v="1024.97"/>
    <n v="567.14"/>
    <n v="0"/>
    <n v="0"/>
    <n v="45"/>
    <n v="0"/>
    <n v="150"/>
    <n v="881.12"/>
    <n v="0"/>
    <n v="0"/>
    <n v="0"/>
    <n v="760.61"/>
    <n v="3428.84"/>
    <n v="3428.839999999851"/>
  </r>
  <r>
    <x v="4"/>
    <x v="2"/>
    <x v="10"/>
    <m/>
    <x v="0"/>
    <n v="520203010003"/>
    <s v="Mant. Vehiculos Administracion                                        "/>
    <n v="768.95"/>
    <n v="422.05"/>
    <n v="10"/>
    <n v="325.63"/>
    <n v="178.23"/>
    <n v="69.84"/>
    <n v="1156.1500000000001"/>
    <n v="1616.99"/>
    <n v="1025.42"/>
    <n v="0"/>
    <n v="2644.7"/>
    <n v="0"/>
    <n v="8217.9599999999991"/>
    <n v="8217.9599999971688"/>
  </r>
  <r>
    <x v="4"/>
    <x v="2"/>
    <x v="10"/>
    <m/>
    <x v="0"/>
    <n v="520203010004"/>
    <s v="Mantenimiento Muebles y Equipos Administración                        "/>
    <n v="40"/>
    <n v="1135"/>
    <n v="380"/>
    <n v="158"/>
    <n v="3355"/>
    <n v="1380"/>
    <n v="320.97000000000003"/>
    <n v="30"/>
    <n v="2612.9"/>
    <n v="1002"/>
    <n v="1000"/>
    <n v="1178"/>
    <n v="12591.87"/>
    <n v="12591.869999997318"/>
  </r>
  <r>
    <x v="4"/>
    <x v="2"/>
    <x v="10"/>
    <m/>
    <x v="0"/>
    <n v="520203010005"/>
    <s v="Combustibles Administración                                           "/>
    <n v="724.56"/>
    <n v="783.93"/>
    <n v="443.33"/>
    <n v="637.54"/>
    <n v="209.51"/>
    <n v="682.1"/>
    <n v="360.97"/>
    <n v="579.79"/>
    <n v="647.84"/>
    <n v="692.13"/>
    <n v="683.49"/>
    <n v="504.36"/>
    <n v="6949.5499999999993"/>
    <n v="6949.5499999932945"/>
  </r>
  <r>
    <x v="4"/>
    <x v="2"/>
    <x v="10"/>
    <m/>
    <x v="0"/>
    <n v="520203010007"/>
    <s v="Matricula e impuestos  vehicular  Adm                                 "/>
    <n v="76.77"/>
    <n v="0"/>
    <n v="0"/>
    <n v="0"/>
    <n v="7514.19"/>
    <n v="153.31"/>
    <n v="-143.74"/>
    <n v="3836.65"/>
    <n v="180.99"/>
    <n v="0"/>
    <n v="0"/>
    <n v="0"/>
    <n v="11618.17"/>
    <n v="11618.169999998063"/>
  </r>
  <r>
    <x v="4"/>
    <x v="2"/>
    <x v="11"/>
    <m/>
    <x v="0"/>
    <n v="520204010001"/>
    <s v="Seguro Responsabilidad Civil                                          "/>
    <n v="10.88"/>
    <n v="0"/>
    <n v="0"/>
    <n v="0"/>
    <n v="0"/>
    <n v="0"/>
    <n v="0"/>
    <n v="0"/>
    <n v="0"/>
    <n v="0"/>
    <n v="0"/>
    <n v="0"/>
    <n v="10.88"/>
    <n v="10.879999998956919"/>
  </r>
  <r>
    <x v="4"/>
    <x v="2"/>
    <x v="11"/>
    <m/>
    <x v="0"/>
    <n v="520204010002"/>
    <s v="Seguro de Vehiculos                                                   "/>
    <n v="558.9"/>
    <n v="111.78"/>
    <n v="0"/>
    <n v="0"/>
    <n v="0"/>
    <n v="0"/>
    <n v="0"/>
    <n v="0"/>
    <n v="312.52"/>
    <n v="312.52"/>
    <n v="312.52"/>
    <n v="388"/>
    <n v="1996.2399999999998"/>
    <n v="1996.2399999983609"/>
  </r>
  <r>
    <x v="4"/>
    <x v="2"/>
    <x v="11"/>
    <m/>
    <x v="0"/>
    <n v="520204010003"/>
    <s v="Seguro de Contra Incendios                                            "/>
    <n v="148.62"/>
    <n v="29.72"/>
    <n v="0"/>
    <n v="0"/>
    <n v="0"/>
    <n v="0"/>
    <n v="0"/>
    <n v="0"/>
    <n v="0"/>
    <n v="0"/>
    <n v="0"/>
    <n v="0"/>
    <n v="178.34"/>
    <n v="178.33999999985099"/>
  </r>
  <r>
    <x v="4"/>
    <x v="2"/>
    <x v="11"/>
    <m/>
    <x v="0"/>
    <n v="520204010004"/>
    <s v="Seguro Contra Asalto y Robos                                          "/>
    <n v="14.62"/>
    <n v="0"/>
    <n v="0"/>
    <n v="0"/>
    <n v="0"/>
    <n v="0"/>
    <n v="0"/>
    <n v="0"/>
    <n v="0"/>
    <n v="0"/>
    <n v="0"/>
    <n v="0"/>
    <n v="14.62"/>
    <n v="14.620000001043081"/>
  </r>
  <r>
    <x v="4"/>
    <x v="2"/>
    <x v="11"/>
    <m/>
    <x v="0"/>
    <n v="520204010005"/>
    <s v="Seguro SENAE                                                          "/>
    <n v="0"/>
    <n v="0"/>
    <n v="0"/>
    <n v="0"/>
    <n v="0"/>
    <n v="1156.46"/>
    <n v="0"/>
    <n v="3190.36"/>
    <n v="1230.27"/>
    <n v="0"/>
    <n v="0"/>
    <n v="0"/>
    <n v="5577.09"/>
    <n v="5577.089999999851"/>
  </r>
  <r>
    <x v="4"/>
    <x v="2"/>
    <x v="11"/>
    <m/>
    <x v="0"/>
    <n v="520204010007"/>
    <s v="Otros seguros                                                         "/>
    <n v="130.47"/>
    <n v="0"/>
    <n v="0"/>
    <n v="35.54"/>
    <n v="17.77"/>
    <n v="111.22"/>
    <n v="0"/>
    <n v="0"/>
    <n v="35.54"/>
    <n v="131.52000000000001"/>
    <n v="0"/>
    <n v="0"/>
    <n v="462.06000000000006"/>
    <n v="462.05999999493361"/>
  </r>
  <r>
    <x v="4"/>
    <x v="2"/>
    <x v="12"/>
    <m/>
    <x v="0"/>
    <n v="520205010001"/>
    <s v="Gastos de Viaje Administración                                        "/>
    <n v="0"/>
    <n v="1343.54"/>
    <n v="151"/>
    <n v="-151"/>
    <n v="0"/>
    <n v="0"/>
    <n v="0"/>
    <n v="0"/>
    <n v="0"/>
    <n v="0"/>
    <n v="0"/>
    <n v="0"/>
    <n v="1343.54"/>
    <n v="1343.5399999991059"/>
  </r>
  <r>
    <x v="4"/>
    <x v="2"/>
    <x v="12"/>
    <m/>
    <x v="0"/>
    <n v="520205010002"/>
    <s v="Gastos de Gestión                                                     "/>
    <n v="11.6"/>
    <n v="79.5"/>
    <n v="10.4"/>
    <n v="0"/>
    <n v="0"/>
    <n v="0"/>
    <n v="0"/>
    <n v="0"/>
    <n v="46.5"/>
    <n v="98.91"/>
    <n v="929.83"/>
    <n v="2715.02"/>
    <n v="3891.76"/>
    <n v="3891.7599999979138"/>
  </r>
  <r>
    <x v="4"/>
    <x v="2"/>
    <x v="12"/>
    <m/>
    <x v="0"/>
    <n v="520205010003"/>
    <s v="Telefonía Celular                                                     "/>
    <n v="239.64"/>
    <n v="269.22000000000003"/>
    <n v="293.36"/>
    <n v="269.22000000000003"/>
    <n v="270"/>
    <n v="178.28"/>
    <n v="141.44999999999999"/>
    <n v="141.44999999999999"/>
    <n v="141.44999999999999"/>
    <n v="141.66999999999999"/>
    <n v="141.44999999999999"/>
    <n v="141.44999999999999"/>
    <n v="2368.64"/>
    <n v="2368.6399999968708"/>
  </r>
  <r>
    <x v="4"/>
    <x v="2"/>
    <x v="12"/>
    <m/>
    <x v="0"/>
    <n v="520205010004"/>
    <s v="Correo y Courrier                                                     "/>
    <n v="427.21"/>
    <n v="606.46"/>
    <n v="0"/>
    <n v="0"/>
    <n v="42.68"/>
    <n v="0"/>
    <n v="0"/>
    <n v="0"/>
    <n v="0"/>
    <n v="0"/>
    <n v="0"/>
    <n v="0"/>
    <n v="1076.3500000000001"/>
    <n v="1076.3500000014901"/>
  </r>
  <r>
    <x v="4"/>
    <x v="2"/>
    <x v="12"/>
    <m/>
    <x v="0"/>
    <n v="520205010005"/>
    <s v="Suministros de Oficina y Computación                                  "/>
    <n v="1227.1400000000001"/>
    <n v="186"/>
    <n v="454.79"/>
    <n v="549.9"/>
    <n v="1716.22"/>
    <n v="1304.56"/>
    <n v="1120.99"/>
    <n v="1403.91"/>
    <n v="1076.73"/>
    <n v="4381.5"/>
    <n v="330.5"/>
    <n v="737.19"/>
    <n v="14489.43"/>
    <n v="14489.429999995977"/>
  </r>
  <r>
    <x v="4"/>
    <x v="2"/>
    <x v="12"/>
    <m/>
    <x v="0"/>
    <n v="520205010006"/>
    <s v="Energía Eléctrica Administración                                      "/>
    <n v="1938.43"/>
    <n v="2376.41"/>
    <n v="1922.37"/>
    <n v="1814.15"/>
    <n v="2280.7399999999998"/>
    <n v="1870.98"/>
    <n v="2001.86"/>
    <n v="1825.12"/>
    <n v="1953.72"/>
    <n v="1824.92"/>
    <n v="2124.4499999999998"/>
    <n v="1788.8"/>
    <n v="23721.950000000004"/>
    <n v="23721.949999999255"/>
  </r>
  <r>
    <x v="4"/>
    <x v="2"/>
    <x v="12"/>
    <m/>
    <x v="0"/>
    <n v="520205010007"/>
    <s v="Agua Administración                                                   "/>
    <n v="179.01"/>
    <n v="184.35"/>
    <n v="216.94"/>
    <n v="83.32"/>
    <n v="256.58999999999997"/>
    <n v="340.78"/>
    <n v="95.14"/>
    <n v="79.510000000000005"/>
    <n v="119.49"/>
    <n v="220.07"/>
    <n v="196.58"/>
    <n v="301.37"/>
    <n v="2273.1499999999996"/>
    <n v="2273.1500000059605"/>
  </r>
  <r>
    <x v="4"/>
    <x v="2"/>
    <x v="12"/>
    <m/>
    <x v="0"/>
    <n v="520205010008"/>
    <s v="Telefonía Convencional                                                "/>
    <n v="1315.41"/>
    <n v="261.74"/>
    <n v="220.45"/>
    <n v="197.87"/>
    <n v="199.91"/>
    <n v="231.24"/>
    <n v="257.49"/>
    <n v="265.26"/>
    <n v="269.33999999999997"/>
    <n v="282.2"/>
    <n v="235.11"/>
    <n v="246"/>
    <n v="3982.02"/>
    <n v="3982.0199999958277"/>
  </r>
  <r>
    <x v="4"/>
    <x v="2"/>
    <x v="12"/>
    <m/>
    <x v="0"/>
    <n v="520205010009"/>
    <s v="Internet                                                              "/>
    <n v="0"/>
    <n v="1076"/>
    <n v="1076"/>
    <n v="1076"/>
    <n v="1076"/>
    <n v="1076"/>
    <n v="1076"/>
    <n v="1076"/>
    <n v="1076"/>
    <n v="1076"/>
    <n v="1076"/>
    <n v="1076"/>
    <n v="11836"/>
    <n v="11836"/>
  </r>
  <r>
    <x v="4"/>
    <x v="2"/>
    <x v="12"/>
    <m/>
    <x v="0"/>
    <n v="520205010010"/>
    <s v="Utiles de Limpieza/Cafeteria                                          "/>
    <n v="193.06"/>
    <n v="203.05"/>
    <n v="449.59"/>
    <n v="268.82"/>
    <n v="840.79"/>
    <n v="545.39"/>
    <n v="271.11"/>
    <n v="598.98"/>
    <n v="214.87"/>
    <n v="295.52"/>
    <n v="154.5"/>
    <n v="593.70000000000005"/>
    <n v="4629.38"/>
    <n v="4629.3799999989569"/>
  </r>
  <r>
    <x v="4"/>
    <x v="2"/>
    <x v="12"/>
    <m/>
    <x v="0"/>
    <n v="520205010011"/>
    <s v="Gastos Menores de activos Administración                              "/>
    <n v="218"/>
    <n v="0"/>
    <n v="0"/>
    <n v="0"/>
    <n v="0"/>
    <n v="51.49"/>
    <n v="150"/>
    <n v="0"/>
    <n v="0"/>
    <n v="0"/>
    <n v="0"/>
    <n v="0"/>
    <n v="419.49"/>
    <n v="419.48999999836087"/>
  </r>
  <r>
    <x v="4"/>
    <x v="2"/>
    <x v="12"/>
    <m/>
    <x v="0"/>
    <n v="520205010012"/>
    <s v="Donaciones                                                            "/>
    <n v="0"/>
    <n v="0"/>
    <n v="0"/>
    <n v="3000"/>
    <n v="0"/>
    <n v="0"/>
    <n v="0"/>
    <n v="0"/>
    <n v="0"/>
    <n v="0"/>
    <n v="267.41000000000003"/>
    <n v="0"/>
    <n v="3267.41"/>
    <n v="3267.410000000149"/>
  </r>
  <r>
    <x v="4"/>
    <x v="2"/>
    <x v="12"/>
    <m/>
    <x v="0"/>
    <n v="520205010013"/>
    <s v="Cuotas y Suscripciones                                                "/>
    <n v="877.5"/>
    <n v="877.5"/>
    <n v="877.5"/>
    <n v="927.5"/>
    <n v="877.5"/>
    <n v="877.5"/>
    <n v="877.5"/>
    <n v="977.5"/>
    <n v="877.5"/>
    <n v="877.5"/>
    <n v="877.5"/>
    <n v="877.5"/>
    <n v="10680"/>
    <n v="10680"/>
  </r>
  <r>
    <x v="4"/>
    <x v="2"/>
    <x v="12"/>
    <m/>
    <x v="0"/>
    <n v="520205010014"/>
    <s v="IVA no aplicado (gasto)                                               "/>
    <n v="6080.8"/>
    <n v="4781.93"/>
    <n v="3941.53"/>
    <n v="4517.18"/>
    <n v="5634.56"/>
    <n v="4683.75"/>
    <n v="6472.82"/>
    <n v="4292.8"/>
    <n v="15022.3"/>
    <n v="8439.33"/>
    <n v="11289.36"/>
    <n v="14351.51"/>
    <n v="89507.87000000001"/>
    <n v="89507.870000001043"/>
  </r>
  <r>
    <x v="4"/>
    <x v="2"/>
    <x v="12"/>
    <m/>
    <x v="0"/>
    <n v="520205010015"/>
    <s v="Suministros, materiales y repuestos Administración                    "/>
    <n v="348"/>
    <n v="136"/>
    <n v="0"/>
    <n v="0"/>
    <n v="0"/>
    <n v="19.38"/>
    <n v="586.94000000000005"/>
    <n v="0"/>
    <n v="100.41"/>
    <n v="0"/>
    <n v="1030.72"/>
    <n v="0"/>
    <n v="2221.4500000000003"/>
    <n v="2221.4499999992549"/>
  </r>
  <r>
    <x v="4"/>
    <x v="2"/>
    <x v="12"/>
    <m/>
    <x v="0"/>
    <n v="520205010016"/>
    <s v="Arriendo                                                              "/>
    <n v="15610.44"/>
    <n v="15633.92"/>
    <n v="15633.92"/>
    <n v="15633.92"/>
    <n v="15633.86"/>
    <n v="15633.8"/>
    <n v="15633.8"/>
    <n v="15633.8"/>
    <n v="15633.8"/>
    <n v="15633.8"/>
    <n v="15633.8"/>
    <n v="16153.8"/>
    <n v="188102.65999999997"/>
    <n v="188102.66000001132"/>
  </r>
  <r>
    <x v="4"/>
    <x v="2"/>
    <x v="12"/>
    <m/>
    <x v="0"/>
    <n v="520205010018"/>
    <s v="Multas e Intereses                                                    "/>
    <n v="0"/>
    <n v="0"/>
    <n v="0"/>
    <n v="0"/>
    <n v="1.56"/>
    <n v="120"/>
    <n v="0"/>
    <n v="424.57"/>
    <n v="240.57"/>
    <n v="40.57"/>
    <n v="108.21"/>
    <n v="262.92"/>
    <n v="1198.4000000000001"/>
    <n v="1198.4000000022352"/>
  </r>
  <r>
    <x v="4"/>
    <x v="2"/>
    <x v="12"/>
    <m/>
    <x v="0"/>
    <n v="520205010019"/>
    <s v="Otros costos de importación y producción                              "/>
    <n v="287.39"/>
    <n v="0"/>
    <n v="-53.68"/>
    <n v="0"/>
    <n v="0"/>
    <n v="0"/>
    <n v="0"/>
    <n v="0"/>
    <n v="0"/>
    <n v="348.64"/>
    <n v="0"/>
    <n v="0"/>
    <n v="582.34999999999991"/>
    <n v="582.35000000149012"/>
  </r>
  <r>
    <x v="4"/>
    <x v="2"/>
    <x v="12"/>
    <m/>
    <x v="0"/>
    <n v="520205010020"/>
    <s v="Ajustes de centavos                                                   "/>
    <n v="-0.54"/>
    <n v="0.8"/>
    <n v="-1.78"/>
    <n v="1.1000000000000001"/>
    <n v="0.24"/>
    <n v="-0.09"/>
    <n v="0.05"/>
    <n v="-0.11"/>
    <n v="0"/>
    <n v="0.08"/>
    <n v="0.11"/>
    <n v="15.07"/>
    <n v="14.93"/>
    <n v="14.929999999701977"/>
  </r>
  <r>
    <x v="4"/>
    <x v="2"/>
    <x v="12"/>
    <m/>
    <x v="0"/>
    <n v="520205010021"/>
    <s v="Gastos Legales                                                        "/>
    <n v="621"/>
    <n v="0"/>
    <n v="0"/>
    <n v="0"/>
    <n v="0"/>
    <n v="0"/>
    <n v="0"/>
    <n v="0"/>
    <n v="-621"/>
    <n v="1500"/>
    <n v="0"/>
    <n v="0"/>
    <n v="1500"/>
    <n v="1500"/>
  </r>
  <r>
    <x v="4"/>
    <x v="2"/>
    <x v="12"/>
    <m/>
    <x v="0"/>
    <n v="520205010022"/>
    <s v="Seguridad                                                             "/>
    <n v="2640"/>
    <n v="2640"/>
    <n v="2640"/>
    <n v="2699.58"/>
    <n v="2640"/>
    <n v="2640"/>
    <n v="2690.42"/>
    <n v="2640"/>
    <n v="2640"/>
    <n v="2640"/>
    <n v="2640"/>
    <n v="2640"/>
    <n v="31790"/>
    <n v="31790"/>
  </r>
  <r>
    <x v="4"/>
    <x v="2"/>
    <x v="12"/>
    <m/>
    <x v="0"/>
    <n v="520205010023"/>
    <s v="Gastos no Deducibles                                                  "/>
    <n v="35356.06"/>
    <n v="217.41"/>
    <n v="1274.93"/>
    <n v="928.96"/>
    <n v="574.89"/>
    <n v="269.67"/>
    <n v="69.88"/>
    <n v="5871.48"/>
    <n v="1562.11"/>
    <n v="1333.37"/>
    <n v="3177.61"/>
    <n v="18344.54"/>
    <n v="68980.91"/>
    <n v="68980.910000000149"/>
  </r>
  <r>
    <x v="4"/>
    <x v="2"/>
    <x v="12"/>
    <m/>
    <x v="0"/>
    <n v="520205010024"/>
    <s v="Gastos de licencias -software y mant ERP                              "/>
    <n v="76.430000000000007"/>
    <n v="76.430000000000007"/>
    <n v="76.430000000000007"/>
    <n v="176.43"/>
    <n v="4540.43"/>
    <n v="418.42"/>
    <n v="515.29999999999995"/>
    <n v="97.43"/>
    <n v="20498.03"/>
    <n v="76.430000000000007"/>
    <n v="76.430000000000007"/>
    <n v="1004.43"/>
    <n v="27632.620000000003"/>
    <n v="27632.620000001043"/>
  </r>
  <r>
    <x v="4"/>
    <x v="2"/>
    <x v="12"/>
    <m/>
    <x v="0"/>
    <n v="520205010026"/>
    <s v="Iva Facrtor de Proporcionalidad                                       "/>
    <n v="2217.0500000000002"/>
    <n v="2220.6"/>
    <n v="1650.31"/>
    <n v="8704.68"/>
    <n v="2658.44"/>
    <n v="3376.84"/>
    <n v="1972.51"/>
    <n v="2135.25"/>
    <n v="534.71"/>
    <n v="1047.02"/>
    <n v="1896.46"/>
    <n v="1752.49"/>
    <n v="30166.359999999997"/>
    <n v="30166.360000003129"/>
  </r>
  <r>
    <x v="4"/>
    <x v="2"/>
    <x v="12"/>
    <m/>
    <x v="0"/>
    <n v="520205010027"/>
    <s v="Promocion y Publicidad Administracion                                 "/>
    <n v="0"/>
    <n v="0"/>
    <n v="0"/>
    <n v="0"/>
    <n v="0"/>
    <n v="0"/>
    <n v="0"/>
    <n v="0"/>
    <n v="0"/>
    <n v="444"/>
    <n v="0"/>
    <n v="785"/>
    <n v="1229"/>
    <n v="1229"/>
  </r>
  <r>
    <x v="4"/>
    <x v="2"/>
    <x v="12"/>
    <m/>
    <x v="0"/>
    <n v="520205010028"/>
    <s v="Provision Ctas incobrables                                            "/>
    <n v="0"/>
    <n v="0"/>
    <n v="0"/>
    <n v="0"/>
    <n v="0"/>
    <n v="0"/>
    <n v="0"/>
    <n v="0"/>
    <n v="0"/>
    <n v="0"/>
    <n v="0"/>
    <n v="24295.58"/>
    <n v="24295.58"/>
    <n v="24295.579999998212"/>
  </r>
  <r>
    <x v="4"/>
    <x v="2"/>
    <x v="12"/>
    <m/>
    <x v="0"/>
    <n v="520205010029"/>
    <s v="Gastos de viaticos administración                                     "/>
    <n v="0"/>
    <n v="613"/>
    <n v="359.62"/>
    <n v="0"/>
    <n v="0"/>
    <n v="89"/>
    <n v="0"/>
    <n v="0"/>
    <n v="0"/>
    <n v="0"/>
    <n v="0"/>
    <n v="0"/>
    <n v="1061.6199999999999"/>
    <n v="1061.6200000010431"/>
  </r>
  <r>
    <x v="4"/>
    <x v="2"/>
    <x v="12"/>
    <m/>
    <x v="0"/>
    <n v="520205010030"/>
    <s v="Gasto Movilizacion Administración                                     "/>
    <n v="181.25"/>
    <n v="191"/>
    <n v="215"/>
    <n v="0"/>
    <n v="11.5"/>
    <n v="321"/>
    <n v="341"/>
    <n v="189.5"/>
    <n v="204.5"/>
    <n v="77.5"/>
    <n v="209"/>
    <n v="177.7"/>
    <n v="2118.9499999999998"/>
    <n v="2118.9499999992549"/>
  </r>
  <r>
    <x v="4"/>
    <x v="2"/>
    <x v="12"/>
    <m/>
    <x v="0"/>
    <n v="520205010031"/>
    <s v="Retenciones Asumidas                                                  "/>
    <n v="0"/>
    <n v="0"/>
    <n v="0"/>
    <n v="0"/>
    <n v="350"/>
    <n v="12.88"/>
    <n v="0"/>
    <n v="0"/>
    <n v="0"/>
    <n v="0"/>
    <n v="0"/>
    <n v="0"/>
    <n v="362.88"/>
    <n v="362.87999999895692"/>
  </r>
  <r>
    <x v="4"/>
    <x v="2"/>
    <x v="12"/>
    <m/>
    <x v="0"/>
    <n v="520205010035"/>
    <s v="Sistema de circuito cerrado                                           "/>
    <n v="91.67"/>
    <n v="91.67"/>
    <n v="91.67"/>
    <n v="91.67"/>
    <n v="91.67"/>
    <n v="91.67"/>
    <n v="91.67"/>
    <n v="0"/>
    <n v="0"/>
    <n v="91.67"/>
    <n v="91.67"/>
    <n v="91.67"/>
    <n v="916.69999999999982"/>
    <n v="916.70000001788139"/>
  </r>
  <r>
    <x v="4"/>
    <x v="2"/>
    <x v="12"/>
    <m/>
    <x v="0"/>
    <n v="520205010036"/>
    <s v="Otros pagos bienes y servicios administración                         "/>
    <n v="5905.65"/>
    <n v="1670.31"/>
    <n v="198.2"/>
    <n v="85"/>
    <n v="2770.08"/>
    <n v="1605.51"/>
    <n v="2837.37"/>
    <n v="1643.99"/>
    <n v="2298.14"/>
    <n v="1855.58"/>
    <n v="2846.76"/>
    <n v="6970.6"/>
    <n v="30687.190000000002"/>
    <n v="30687.189999997616"/>
  </r>
  <r>
    <x v="4"/>
    <x v="2"/>
    <x v="12"/>
    <m/>
    <x v="0"/>
    <n v="520205010037"/>
    <s v="Mant equipos de computo                                               "/>
    <n v="0"/>
    <n v="1014"/>
    <n v="0"/>
    <n v="0"/>
    <n v="0"/>
    <n v="0"/>
    <n v="0"/>
    <n v="0"/>
    <n v="0"/>
    <n v="0"/>
    <n v="9500"/>
    <n v="0"/>
    <n v="10514"/>
    <n v="10514"/>
  </r>
  <r>
    <x v="4"/>
    <x v="2"/>
    <x v="12"/>
    <m/>
    <x v="0"/>
    <n v="520205010039"/>
    <s v="Registros y derechos                                                  "/>
    <n v="360"/>
    <n v="0"/>
    <n v="0"/>
    <n v="0"/>
    <n v="0"/>
    <n v="0"/>
    <n v="0"/>
    <n v="0"/>
    <n v="0"/>
    <n v="0"/>
    <n v="0"/>
    <n v="384"/>
    <n v="744"/>
    <n v="744"/>
  </r>
  <r>
    <x v="4"/>
    <x v="2"/>
    <x v="12"/>
    <m/>
    <x v="0"/>
    <n v="520205010040"/>
    <s v="Obsequios y muestras a clientes (autoconsumo)                         "/>
    <n v="0"/>
    <n v="0"/>
    <n v="0"/>
    <n v="0"/>
    <n v="46.72"/>
    <n v="0"/>
    <n v="1232.04"/>
    <n v="63.44"/>
    <n v="6"/>
    <n v="8.2899999999999991"/>
    <n v="83.45"/>
    <n v="9495.5"/>
    <n v="10935.44"/>
    <n v="10935.439999997616"/>
  </r>
  <r>
    <x v="4"/>
    <x v="2"/>
    <x v="12"/>
    <m/>
    <x v="0"/>
    <n v="520205010041"/>
    <s v="Gastos de embarque por reexportacion                                  "/>
    <n v="0"/>
    <n v="0"/>
    <n v="0"/>
    <n v="250"/>
    <n v="0"/>
    <n v="0"/>
    <n v="0"/>
    <n v="0"/>
    <n v="0"/>
    <n v="0"/>
    <n v="0"/>
    <n v="0"/>
    <n v="250"/>
    <n v="250"/>
  </r>
  <r>
    <x v="4"/>
    <x v="2"/>
    <x v="13"/>
    <m/>
    <x v="0"/>
    <n v="520206010001"/>
    <s v="Impuestos  municipales                                                "/>
    <n v="3796.81"/>
    <n v="0"/>
    <n v="0"/>
    <n v="0"/>
    <n v="39364.51"/>
    <n v="0"/>
    <n v="0"/>
    <n v="0"/>
    <n v="0"/>
    <n v="9497.1200000000008"/>
    <n v="0"/>
    <n v="0"/>
    <n v="52658.44"/>
    <n v="52658.440000001341"/>
  </r>
  <r>
    <x v="4"/>
    <x v="2"/>
    <x v="13"/>
    <m/>
    <x v="0"/>
    <n v="520206010002"/>
    <s v="Impuesto Cuerpo de Bomberos                                           "/>
    <n v="0"/>
    <n v="0"/>
    <n v="0"/>
    <n v="0"/>
    <n v="0"/>
    <n v="414"/>
    <n v="0"/>
    <n v="0"/>
    <n v="0"/>
    <n v="0"/>
    <n v="0"/>
    <n v="0"/>
    <n v="414"/>
    <n v="414"/>
  </r>
  <r>
    <x v="4"/>
    <x v="2"/>
    <x v="13"/>
    <m/>
    <x v="0"/>
    <n v="520206010004"/>
    <s v="Contribuciones  Super de Compania                                     "/>
    <n v="0"/>
    <n v="0"/>
    <n v="0"/>
    <n v="0"/>
    <n v="0"/>
    <n v="0"/>
    <n v="15954.58"/>
    <n v="0"/>
    <n v="0"/>
    <n v="0"/>
    <n v="0"/>
    <n v="0"/>
    <n v="15954.58"/>
    <n v="15954.579999998212"/>
  </r>
  <r>
    <x v="4"/>
    <x v="2"/>
    <x v="13"/>
    <m/>
    <x v="0"/>
    <n v="520206010005"/>
    <s v="Contribucion Solca                                                    "/>
    <n v="0"/>
    <n v="0"/>
    <n v="0"/>
    <n v="0"/>
    <n v="0.17"/>
    <n v="0.09"/>
    <n v="0"/>
    <n v="0"/>
    <n v="0.05"/>
    <n v="0"/>
    <n v="0"/>
    <n v="0.92"/>
    <n v="1.23"/>
    <n v="1.2300000041723251"/>
  </r>
  <r>
    <x v="4"/>
    <x v="2"/>
    <x v="13"/>
    <m/>
    <x v="0"/>
    <n v="520206010006"/>
    <s v="Impuesto salida de divisa                                             "/>
    <n v="0"/>
    <n v="0"/>
    <n v="0"/>
    <n v="0"/>
    <n v="89.35"/>
    <n v="0"/>
    <n v="0"/>
    <n v="0"/>
    <n v="0"/>
    <n v="0"/>
    <n v="45.24"/>
    <n v="0"/>
    <n v="134.59"/>
    <n v="134.58999999985099"/>
  </r>
  <r>
    <x v="4"/>
    <x v="2"/>
    <x v="13"/>
    <m/>
    <x v="0"/>
    <n v="520206010007"/>
    <s v="Otros Impuestos                                                       "/>
    <n v="0"/>
    <n v="0"/>
    <n v="0"/>
    <n v="0"/>
    <n v="0"/>
    <n v="200"/>
    <n v="0"/>
    <n v="0"/>
    <n v="0"/>
    <n v="0"/>
    <n v="0"/>
    <n v="0"/>
    <n v="200"/>
    <n v="200"/>
  </r>
  <r>
    <x v="4"/>
    <x v="2"/>
    <x v="13"/>
    <m/>
    <x v="0"/>
    <n v="520206010008"/>
    <s v="Tasa de recoleccion de basura                                         "/>
    <n v="272.07"/>
    <n v="0"/>
    <n v="530.99"/>
    <n v="236.11"/>
    <n v="222.59"/>
    <n v="280.91000000000003"/>
    <n v="229.69"/>
    <n v="246.05"/>
    <n v="223.96"/>
    <n v="240.04"/>
    <n v="223.94"/>
    <n v="261.33999999999997"/>
    <n v="2967.69"/>
    <n v="2967.6900000013411"/>
  </r>
  <r>
    <x v="4"/>
    <x v="2"/>
    <x v="14"/>
    <m/>
    <x v="0"/>
    <n v="520207010001"/>
    <s v="Gastos de Depreciación de Edificios                                   "/>
    <n v="682.68"/>
    <n v="682.68"/>
    <n v="682.68"/>
    <n v="682.68"/>
    <n v="682.68"/>
    <n v="682.68"/>
    <n v="682.68"/>
    <n v="682.68"/>
    <n v="682.68"/>
    <n v="682.68"/>
    <n v="682.68"/>
    <n v="682.68"/>
    <n v="8192.1600000000017"/>
    <n v="8192.1599999964237"/>
  </r>
  <r>
    <x v="4"/>
    <x v="2"/>
    <x v="14"/>
    <m/>
    <x v="0"/>
    <n v="520207010003"/>
    <s v="Gastos de Depreciaciones de Muebles y Enseres                         "/>
    <n v="387.98"/>
    <n v="382.23"/>
    <n v="375.13"/>
    <n v="372.71"/>
    <n v="365.76"/>
    <n v="360.78"/>
    <n v="360.78"/>
    <n v="360.78"/>
    <n v="360.78"/>
    <n v="360.78"/>
    <n v="360.78"/>
    <n v="364.59"/>
    <n v="4413.079999999999"/>
    <n v="4413.0800000093877"/>
  </r>
  <r>
    <x v="4"/>
    <x v="2"/>
    <x v="14"/>
    <m/>
    <x v="0"/>
    <n v="520207010004"/>
    <s v="Gastos de Depreciación de Equipos de computacion                      "/>
    <n v="459.84"/>
    <n v="381.82"/>
    <n v="268.57"/>
    <n v="200.19"/>
    <n v="192.13"/>
    <n v="182.04"/>
    <n v="181.55"/>
    <n v="181.55"/>
    <n v="181.66"/>
    <n v="175.21"/>
    <n v="182.46"/>
    <n v="184.14"/>
    <n v="2771.16"/>
    <n v="2771.1600000038743"/>
  </r>
  <r>
    <x v="4"/>
    <x v="2"/>
    <x v="14"/>
    <m/>
    <x v="0"/>
    <n v="520207010005"/>
    <s v="Gastos de Depreciación de Vehiculos                                   "/>
    <n v="3255.45"/>
    <n v="3255.45"/>
    <n v="3255.45"/>
    <n v="3255.45"/>
    <n v="3255.45"/>
    <n v="3255.45"/>
    <n v="3104.5"/>
    <n v="2606.7199999999998"/>
    <n v="2443.67"/>
    <n v="2062.5"/>
    <n v="2062.5"/>
    <n v="2477.08"/>
    <n v="34289.670000000006"/>
    <n v="34289.669999994338"/>
  </r>
  <r>
    <x v="4"/>
    <x v="2"/>
    <x v="14"/>
    <m/>
    <x v="0"/>
    <n v="520207010006"/>
    <s v="Gastos de Depreciación de Otras propiedades, plantas y Equipos        "/>
    <n v="26.67"/>
    <n v="26.67"/>
    <n v="-86.13"/>
    <n v="-10.93"/>
    <n v="26.67"/>
    <n v="26.67"/>
    <n v="26.67"/>
    <n v="26.67"/>
    <n v="26.67"/>
    <n v="15.6"/>
    <n v="0"/>
    <n v="0"/>
    <n v="105.23000000000002"/>
    <n v="105.2300000153482"/>
  </r>
  <r>
    <x v="4"/>
    <x v="2"/>
    <x v="14"/>
    <m/>
    <x v="0"/>
    <n v="520207010007"/>
    <s v="Gastos depreciacion equipos de seguridad                              "/>
    <n v="8.7799999999999994"/>
    <n v="8.7799999999999994"/>
    <n v="8.7799999999999994"/>
    <n v="8.7799999999999994"/>
    <n v="8.7799999999999994"/>
    <n v="8.7799999999999994"/>
    <n v="8.7799999999999994"/>
    <n v="8.7799999999999994"/>
    <n v="8.7799999999999994"/>
    <n v="8.7799999999999994"/>
    <n v="8.7799999999999994"/>
    <n v="8.7799999999999994"/>
    <n v="105.36"/>
    <n v="105.36000001430511"/>
  </r>
  <r>
    <x v="4"/>
    <x v="3"/>
    <x v="15"/>
    <m/>
    <x v="0"/>
    <n v="520301010001"/>
    <s v="Intereses Bancarios                                                   "/>
    <n v="13499.06"/>
    <n v="9488.65"/>
    <n v="9492.1299999999992"/>
    <n v="8992.6200000000008"/>
    <n v="8183.49"/>
    <n v="6878.21"/>
    <n v="3128.57"/>
    <n v="0"/>
    <n v="0"/>
    <n v="0"/>
    <n v="0"/>
    <n v="19.649999999999999"/>
    <n v="59682.38"/>
    <n v="59682.379999995232"/>
  </r>
  <r>
    <x v="4"/>
    <x v="3"/>
    <x v="16"/>
    <m/>
    <x v="0"/>
    <n v="520301020001"/>
    <s v="Gastos Bancarios                                                      "/>
    <n v="1316.45"/>
    <n v="804.36"/>
    <n v="775.28"/>
    <n v="1202.29"/>
    <n v="1610.57"/>
    <n v="1172.4000000000001"/>
    <n v="1490.17"/>
    <n v="1211.9100000000001"/>
    <n v="1347.41"/>
    <n v="1046.93"/>
    <n v="836.11"/>
    <n v="1244.4100000000001"/>
    <n v="14058.29"/>
    <n v="14058.289999999106"/>
  </r>
  <r>
    <x v="4"/>
    <x v="3"/>
    <x v="16"/>
    <m/>
    <x v="0"/>
    <n v="520301020002"/>
    <s v="Diferencia en Cambio                                                  "/>
    <n v="0"/>
    <n v="0"/>
    <n v="0"/>
    <n v="0"/>
    <n v="0"/>
    <n v="0"/>
    <n v="0"/>
    <n v="-742.41"/>
    <n v="0"/>
    <n v="0"/>
    <n v="0"/>
    <n v="0"/>
    <n v="-742.41"/>
    <n v="-742.41000000014901"/>
  </r>
  <r>
    <x v="4"/>
    <x v="4"/>
    <x v="17"/>
    <m/>
    <x v="0"/>
    <n v="540101030008"/>
    <s v="Otros Intereses ganados                                               "/>
    <n v="0"/>
    <n v="0"/>
    <n v="0"/>
    <n v="0"/>
    <n v="0"/>
    <n v="0"/>
    <n v="0"/>
    <n v="-7.21"/>
    <n v="0"/>
    <n v="0"/>
    <n v="0"/>
    <n v="0"/>
    <n v="-7.21"/>
    <n v="-7.2100000008940697"/>
  </r>
  <r>
    <x v="4"/>
    <x v="4"/>
    <x v="17"/>
    <m/>
    <x v="0"/>
    <n v="540101030009"/>
    <s v="Ajustes                                                               "/>
    <n v="0"/>
    <n v="0"/>
    <n v="0"/>
    <n v="0"/>
    <n v="0"/>
    <n v="0"/>
    <n v="0"/>
    <n v="0"/>
    <n v="0"/>
    <n v="-1.6"/>
    <n v="0"/>
    <n v="0"/>
    <n v="-1.6"/>
    <n v="-1.6000000014901161"/>
  </r>
  <r>
    <x v="4"/>
    <x v="4"/>
    <x v="17"/>
    <m/>
    <x v="0"/>
    <n v="540101030010"/>
    <s v="Intereses ganados en bancos                                           "/>
    <n v="-61.25"/>
    <n v="-52.56"/>
    <n v="-35.18"/>
    <n v="-25.55"/>
    <n v="-400"/>
    <n v="-610"/>
    <n v="-781.12"/>
    <n v="-1143.33"/>
    <n v="-743.89"/>
    <n v="-31.11"/>
    <n v="0"/>
    <n v="-2037.49"/>
    <n v="-5921.48"/>
    <n v="-5921.4799999967217"/>
  </r>
  <r>
    <x v="4"/>
    <x v="4"/>
    <x v="17"/>
    <m/>
    <x v="0"/>
    <n v="540101030011"/>
    <s v="Otros ingresos                                                        "/>
    <n v="-108.16"/>
    <n v="-0.01"/>
    <n v="-0.06"/>
    <n v="-18.41"/>
    <n v="-1.94"/>
    <n v="-0.08"/>
    <n v="-8023.96"/>
    <n v="-0.79"/>
    <n v="-0.14000000000000001"/>
    <n v="-0.01"/>
    <n v="-14368.52"/>
    <n v="-511.64"/>
    <n v="-23033.72"/>
    <n v="-23033.720000002533"/>
  </r>
  <r>
    <x v="4"/>
    <x v="4"/>
    <x v="17"/>
    <m/>
    <x v="0"/>
    <n v="540101030012"/>
    <s v="Otros Ingresos  excento -Seguro                                       "/>
    <n v="0"/>
    <n v="0"/>
    <n v="0"/>
    <n v="0"/>
    <n v="0"/>
    <n v="0"/>
    <n v="0"/>
    <n v="0"/>
    <n v="0"/>
    <n v="0"/>
    <n v="0"/>
    <n v="-512.07000000000005"/>
    <n v="-512.07000000000005"/>
    <n v="-512.07000000029802"/>
  </r>
  <r>
    <x v="4"/>
    <x v="4"/>
    <x v="17"/>
    <m/>
    <x v="0"/>
    <n v="540101030013"/>
    <s v="Ingresos por Reembolso                                                "/>
    <n v="0"/>
    <n v="0"/>
    <n v="0"/>
    <n v="0"/>
    <n v="0"/>
    <n v="0"/>
    <n v="0"/>
    <n v="0"/>
    <n v="0"/>
    <n v="0"/>
    <n v="-3613.95"/>
    <n v="0"/>
    <n v="-3613.95"/>
    <n v="-3613.9499999992549"/>
  </r>
  <r>
    <x v="4"/>
    <x v="4"/>
    <x v="18"/>
    <m/>
    <x v="0"/>
    <n v="540101040009"/>
    <s v="Otros egresos                                                         "/>
    <n v="0.03"/>
    <n v="0.03"/>
    <n v="7.0000000000000007E-2"/>
    <n v="0.03"/>
    <n v="0.02"/>
    <n v="0.6"/>
    <n v="0.09"/>
    <n v="0.11"/>
    <n v="7.0000000000000007E-2"/>
    <n v="0.04"/>
    <n v="0.03"/>
    <n v="0.02"/>
    <n v="1.1400000000000001"/>
    <n v="1.1400000043213367"/>
  </r>
  <r>
    <x v="4"/>
    <x v="4"/>
    <x v="18"/>
    <m/>
    <x v="0"/>
    <n v="540101040013"/>
    <s v="Dada de baja de invetarios                                            "/>
    <n v="0"/>
    <n v="0"/>
    <n v="0"/>
    <n v="0"/>
    <n v="0"/>
    <n v="0"/>
    <n v="0"/>
    <n v="0"/>
    <n v="0"/>
    <n v="88485.3"/>
    <n v="75110.52"/>
    <n v="68091.95"/>
    <n v="231687.77000000002"/>
    <n v="231687.76999999955"/>
  </r>
  <r>
    <x v="5"/>
    <x v="4"/>
    <x v="18"/>
    <n v="2"/>
    <x v="1"/>
    <n v="52"/>
    <s v="GASTOS DE ADMINISTRACION &amp; VENTAS                                     "/>
    <n v="139080.07"/>
    <n v="121581.53"/>
    <n v="162258.78"/>
    <n v="127021.22"/>
    <n v="122952.25"/>
    <n v="166571.54999999999"/>
    <n v="172242.92"/>
    <n v="220752.74"/>
    <n v="172729.74"/>
    <n v="167418.65"/>
    <n v="618324.21"/>
    <n v="1028661.89"/>
    <n v="325625.36"/>
    <n v="3219595.5500000007"/>
  </r>
  <r>
    <x v="5"/>
    <x v="5"/>
    <x v="18"/>
    <n v="4"/>
    <x v="2"/>
    <n v="5201"/>
    <s v="GASTOS DE VENTA                                                       "/>
    <n v="31083.24"/>
    <n v="31727.87"/>
    <n v="33716.129999999997"/>
    <n v="36980.39"/>
    <n v="35434.410000000003"/>
    <n v="40568.18"/>
    <n v="36409.32"/>
    <n v="35834.089999999997"/>
    <n v="41534.03"/>
    <n v="49697.47"/>
    <n v="48540.86"/>
    <n v="37696.33"/>
    <n v="325625.36"/>
    <n v="459222.31999999657"/>
  </r>
  <r>
    <x v="5"/>
    <x v="5"/>
    <x v="18"/>
    <n v="6"/>
    <x v="3"/>
    <n v="520101"/>
    <s v="SUELDOS, SALARIOS Y DEMÁS REMUNERACIONES                              "/>
    <n v="31083.24"/>
    <n v="31727.87"/>
    <n v="33716.129999999997"/>
    <n v="36980.39"/>
    <n v="35434.410000000003"/>
    <n v="40568.18"/>
    <n v="36409.32"/>
    <n v="35834.089999999997"/>
    <n v="41534.03"/>
    <n v="49697.47"/>
    <n v="48540.86"/>
    <n v="37696.33"/>
    <n v="246069.68"/>
    <n v="459222.31999999657"/>
  </r>
  <r>
    <x v="5"/>
    <x v="5"/>
    <x v="5"/>
    <n v="8"/>
    <x v="4"/>
    <n v="52010101"/>
    <s v="GASTOS DE NOMINA DE VENTAS                                            "/>
    <n v="22437.95"/>
    <n v="25227.78"/>
    <n v="23708.29"/>
    <n v="28036.6"/>
    <n v="28690.34"/>
    <n v="32301.1"/>
    <n v="26150.03"/>
    <n v="27796.799999999999"/>
    <n v="32977.32"/>
    <n v="35314.879999999997"/>
    <n v="36721.160000000003"/>
    <n v="34258.639999999999"/>
    <n v="104343.03999999999"/>
    <n v="353620.89000000432"/>
  </r>
  <r>
    <x v="5"/>
    <x v="5"/>
    <x v="5"/>
    <n v="12"/>
    <x v="0"/>
    <n v="520101010001"/>
    <s v="Sueldos                                                               "/>
    <n v="11950"/>
    <n v="10483.33"/>
    <n v="10403.33"/>
    <n v="10950.04"/>
    <n v="11450.06"/>
    <n v="12062.55"/>
    <n v="11916.72"/>
    <n v="12219.01"/>
    <n v="12908"/>
    <n v="13033"/>
    <n v="13103"/>
    <n v="12958"/>
    <n v="12680.89"/>
    <n v="143437.03999999538"/>
  </r>
  <r>
    <x v="5"/>
    <x v="5"/>
    <x v="5"/>
    <n v="12"/>
    <x v="0"/>
    <n v="520101010002"/>
    <s v="Sobretiempos                                                          "/>
    <n v="765.19"/>
    <n v="659.19"/>
    <n v="924.88"/>
    <n v="1168.47"/>
    <n v="1524.12"/>
    <n v="1247.67"/>
    <n v="1519.48"/>
    <n v="1928.85"/>
    <n v="2943.04"/>
    <n v="2961.1"/>
    <n v="2572.0100000000002"/>
    <n v="2632.46"/>
    <n v="61678.47"/>
    <n v="20846.460000008345"/>
  </r>
  <r>
    <x v="5"/>
    <x v="5"/>
    <x v="5"/>
    <n v="12"/>
    <x v="0"/>
    <n v="520101010003"/>
    <s v="Comisiones                                                            "/>
    <n v="2938.41"/>
    <n v="6797.67"/>
    <n v="5729.52"/>
    <n v="8123.86"/>
    <n v="7819.83"/>
    <n v="10689.05"/>
    <n v="5305.5"/>
    <n v="5938.92"/>
    <n v="8335.7099999999991"/>
    <n v="9802.83"/>
    <n v="11221.09"/>
    <n v="9463.76"/>
    <n v="21715.16"/>
    <n v="92166.150000002235"/>
  </r>
  <r>
    <x v="5"/>
    <x v="5"/>
    <x v="5"/>
    <n v="12"/>
    <x v="0"/>
    <n v="520101010004"/>
    <s v="Aporte Patronal 12.15%                                                "/>
    <n v="1956.12"/>
    <n v="2233.96"/>
    <n v="2094.2199999999998"/>
    <n v="2390.7199999999998"/>
    <n v="2526.52"/>
    <n v="2857.31"/>
    <n v="2288.62"/>
    <n v="2428.9899999999998"/>
    <n v="2938.7"/>
    <n v="3134.33"/>
    <n v="3250.29"/>
    <n v="3114.47"/>
    <n v="11736.3"/>
    <n v="31214.249999992549"/>
  </r>
  <r>
    <x v="5"/>
    <x v="5"/>
    <x v="5"/>
    <n v="12"/>
    <x v="0"/>
    <n v="520101010005"/>
    <s v="Fondo de Reserva                                                      "/>
    <n v="1136.4000000000001"/>
    <n v="1223.47"/>
    <n v="1224.29"/>
    <n v="1295.3699999999999"/>
    <n v="1346.74"/>
    <n v="1673.88"/>
    <n v="1222.6400000000001"/>
    <n v="1230.3900000000001"/>
    <n v="1383.12"/>
    <n v="1778.58"/>
    <n v="1890.21"/>
    <n v="1741.72"/>
    <n v="14825.23"/>
    <n v="17146.809999994934"/>
  </r>
  <r>
    <x v="5"/>
    <x v="5"/>
    <x v="5"/>
    <n v="12"/>
    <x v="0"/>
    <n v="520101010006"/>
    <s v="Decimo Tercer Sueldo                                                  "/>
    <n v="1293.3800000000001"/>
    <n v="1483.94"/>
    <n v="1417.07"/>
    <n v="1686.9"/>
    <n v="1732.84"/>
    <n v="1959.73"/>
    <n v="1561.84"/>
    <n v="1673.94"/>
    <n v="2015.59"/>
    <n v="2149.7800000000002"/>
    <n v="2229.3000000000002"/>
    <n v="2087.88"/>
    <n v="5037.28"/>
    <n v="21292.190000001341"/>
  </r>
  <r>
    <x v="5"/>
    <x v="5"/>
    <x v="5"/>
    <n v="12"/>
    <x v="0"/>
    <n v="520101010007"/>
    <s v="Decimo Cuarto Sueldo                                                  "/>
    <n v="491.06"/>
    <n v="499.95"/>
    <n v="499.95"/>
    <n v="549.95000000000005"/>
    <n v="564.39"/>
    <n v="562.16"/>
    <n v="592.16999999999996"/>
    <n v="618.83000000000004"/>
    <n v="666.6"/>
    <n v="666.6"/>
    <n v="666.6"/>
    <n v="1011.6"/>
    <n v="3398.19"/>
    <n v="7389.8600000031292"/>
  </r>
  <r>
    <x v="5"/>
    <x v="5"/>
    <x v="5"/>
    <n v="12"/>
    <x v="0"/>
    <n v="520101010008"/>
    <s v="Vacaciones                                                            "/>
    <n v="492.36"/>
    <n v="431.24"/>
    <n v="0"/>
    <n v="456.26"/>
    <n v="477.09"/>
    <n v="0"/>
    <n v="494.31"/>
    <n v="509.12"/>
    <n v="537.80999999999995"/>
    <n v="539.91"/>
    <n v="539.91"/>
    <n v="0"/>
    <n v="2735.6"/>
    <n v="4478.0099999979138"/>
  </r>
  <r>
    <x v="5"/>
    <x v="5"/>
    <x v="5"/>
    <n v="12"/>
    <x v="0"/>
    <n v="520101010009"/>
    <s v="Desahucio Ventas                                                      "/>
    <n v="369.61"/>
    <n v="369.61"/>
    <n v="369.61"/>
    <n v="369.61"/>
    <n v="314.29000000000002"/>
    <n v="314.29000000000002"/>
    <n v="314.29000000000002"/>
    <n v="314.29000000000002"/>
    <n v="314.29000000000002"/>
    <n v="314.29000000000002"/>
    <n v="314.29000000000002"/>
    <n v="314.29000000000002"/>
    <n v="7919.52"/>
    <n v="3992.7599999904633"/>
  </r>
  <r>
    <x v="5"/>
    <x v="5"/>
    <x v="5"/>
    <n v="12"/>
    <x v="0"/>
    <n v="520101010012"/>
    <s v="Jubilación Patronal Ventas                                            "/>
    <n v="1045.42"/>
    <n v="1045.42"/>
    <n v="1045.42"/>
    <n v="1045.42"/>
    <n v="934.46"/>
    <n v="934.46"/>
    <n v="934.46"/>
    <n v="934.46"/>
    <n v="934.46"/>
    <n v="934.46"/>
    <n v="934.46"/>
    <n v="934.46"/>
    <n v="10162"/>
    <n v="11657.360000014305"/>
  </r>
  <r>
    <x v="5"/>
    <x v="5"/>
    <x v="6"/>
    <n v="8"/>
    <x v="4"/>
    <n v="52010102"/>
    <s v="OTRAS GASTOS DE PERSONAL                                              "/>
    <n v="1047.71"/>
    <n v="1142.04"/>
    <n v="1410.41"/>
    <n v="1242.23"/>
    <n v="382.83"/>
    <n v="1202.9000000000001"/>
    <n v="955.13"/>
    <n v="999.07"/>
    <n v="754.7"/>
    <n v="1288.73"/>
    <n v="668.18"/>
    <n v="1026.03"/>
    <n v="9253.67"/>
    <n v="12119.959999997169"/>
  </r>
  <r>
    <x v="5"/>
    <x v="5"/>
    <x v="6"/>
    <n v="12"/>
    <x v="0"/>
    <n v="520101020002"/>
    <s v="Alimentacion Ventas                                                   "/>
    <n v="1047.71"/>
    <n v="531.74"/>
    <n v="1364.88"/>
    <n v="1017.23"/>
    <n v="382.83"/>
    <n v="1202.9000000000001"/>
    <n v="955.13"/>
    <n v="999.07"/>
    <n v="727.2"/>
    <n v="1288.73"/>
    <n v="668.18"/>
    <n v="1026.03"/>
    <n v="792.5"/>
    <n v="11211.629999995232"/>
  </r>
  <r>
    <x v="5"/>
    <x v="5"/>
    <x v="6"/>
    <n v="12"/>
    <x v="0"/>
    <n v="520101020006"/>
    <s v="Capacitación y Seminarios Ventas                                      "/>
    <n v="0"/>
    <n v="540"/>
    <n v="0"/>
    <n v="225"/>
    <n v="0"/>
    <n v="0"/>
    <n v="0"/>
    <n v="0"/>
    <n v="27.5"/>
    <n v="0"/>
    <n v="0"/>
    <n v="0"/>
    <n v="115.83"/>
    <n v="792.5"/>
  </r>
  <r>
    <x v="5"/>
    <x v="5"/>
    <x v="6"/>
    <n v="12"/>
    <x v="0"/>
    <n v="520101020008"/>
    <s v="Otros gastos de personal Ventas                                       "/>
    <n v="0"/>
    <n v="70.3"/>
    <n v="45.53"/>
    <n v="0"/>
    <n v="0"/>
    <n v="0"/>
    <n v="0"/>
    <n v="0"/>
    <n v="0"/>
    <n v="0"/>
    <n v="0"/>
    <n v="0"/>
    <n v="69393.679999999993"/>
    <n v="115.83000000193715"/>
  </r>
  <r>
    <x v="5"/>
    <x v="5"/>
    <x v="7"/>
    <n v="8"/>
    <x v="4"/>
    <n v="52010103"/>
    <s v="GASTOS  GENERALES  DE VENTA                                           "/>
    <n v="7597.58"/>
    <n v="5358.05"/>
    <n v="8597.43"/>
    <n v="7701.56"/>
    <n v="6361.24"/>
    <n v="7064.18"/>
    <n v="9304.16"/>
    <n v="7038.22"/>
    <n v="7802.01"/>
    <n v="13093.86"/>
    <n v="11151.52"/>
    <n v="2411.66"/>
    <n v="5720"/>
    <n v="93481.469999995083"/>
  </r>
  <r>
    <x v="5"/>
    <x v="5"/>
    <x v="7"/>
    <n v="12"/>
    <x v="0"/>
    <n v="520101030002"/>
    <s v="Promoción y Publicidad                                                "/>
    <n v="0"/>
    <n v="397.5"/>
    <n v="397.5"/>
    <n v="397.5"/>
    <n v="397.5"/>
    <n v="397.5"/>
    <n v="397.5"/>
    <n v="397.5"/>
    <n v="2937.5"/>
    <n v="0"/>
    <n v="1500"/>
    <n v="0"/>
    <n v="1593.51"/>
    <n v="7220"/>
  </r>
  <r>
    <x v="5"/>
    <x v="5"/>
    <x v="7"/>
    <n v="12"/>
    <x v="0"/>
    <n v="520101030003"/>
    <s v="Gastos de Viaje Ventas                                                "/>
    <n v="0"/>
    <n v="10"/>
    <n v="0"/>
    <n v="0"/>
    <n v="0"/>
    <n v="0"/>
    <n v="1247"/>
    <n v="336.51"/>
    <n v="0"/>
    <n v="0"/>
    <n v="0"/>
    <n v="80"/>
    <n v="4770.29"/>
    <n v="1673.5100000016391"/>
  </r>
  <r>
    <x v="5"/>
    <x v="5"/>
    <x v="7"/>
    <n v="12"/>
    <x v="0"/>
    <n v="520101030004"/>
    <s v="Mant. Vehiculos Ventas                                                "/>
    <n v="1713.37"/>
    <n v="74.14"/>
    <n v="251.6"/>
    <n v="0"/>
    <n v="0"/>
    <n v="412.85"/>
    <n v="433.42"/>
    <n v="462.94"/>
    <n v="1421.97"/>
    <n v="0"/>
    <n v="0"/>
    <n v="69.66"/>
    <n v="8803.16"/>
    <n v="4839.9500000067055"/>
  </r>
  <r>
    <x v="5"/>
    <x v="5"/>
    <x v="7"/>
    <n v="12"/>
    <x v="0"/>
    <n v="520101030005"/>
    <s v="Combustibles Ventas                                                   "/>
    <n v="675.7"/>
    <n v="910.22"/>
    <n v="1096.4100000000001"/>
    <n v="1050.46"/>
    <n v="920.29"/>
    <n v="1006.26"/>
    <n v="851.65"/>
    <n v="996.94"/>
    <n v="866.83"/>
    <n v="1077.55"/>
    <n v="921.36"/>
    <n v="1140.52"/>
    <n v="822.58"/>
    <n v="11514.189999997616"/>
  </r>
  <r>
    <x v="5"/>
    <x v="5"/>
    <x v="7"/>
    <n v="12"/>
    <x v="0"/>
    <n v="520101030007"/>
    <s v="Atención a clientes                                                   "/>
    <n v="68.180000000000007"/>
    <n v="105.16"/>
    <n v="385.74"/>
    <n v="29.8"/>
    <n v="16"/>
    <n v="57.25"/>
    <n v="80"/>
    <n v="16"/>
    <n v="64.45"/>
    <n v="42.9"/>
    <n v="0"/>
    <n v="52.49"/>
    <n v="591.86"/>
    <n v="917.96999999508262"/>
  </r>
  <r>
    <x v="5"/>
    <x v="5"/>
    <x v="7"/>
    <n v="12"/>
    <x v="0"/>
    <n v="520101030008"/>
    <s v="Gastos Viaticos                                                       "/>
    <n v="225.87"/>
    <n v="0"/>
    <n v="365.99"/>
    <n v="0"/>
    <n v="0"/>
    <n v="0"/>
    <n v="0"/>
    <n v="0"/>
    <n v="0"/>
    <n v="0"/>
    <n v="0"/>
    <n v="0"/>
    <n v="2247.15"/>
    <n v="591.85999999940395"/>
  </r>
  <r>
    <x v="5"/>
    <x v="5"/>
    <x v="7"/>
    <n v="12"/>
    <x v="0"/>
    <n v="520101030009"/>
    <s v="Telefonía celular ventas                                              "/>
    <n v="224.36"/>
    <n v="218.45"/>
    <n v="224.24"/>
    <n v="213.87"/>
    <n v="212.87"/>
    <n v="218.47"/>
    <n v="218.45"/>
    <n v="261.64999999999998"/>
    <n v="227.53"/>
    <n v="227.26"/>
    <n v="227.26"/>
    <n v="228.14"/>
    <n v="1956.62"/>
    <n v="2702.5500000007451"/>
  </r>
  <r>
    <x v="5"/>
    <x v="5"/>
    <x v="7"/>
    <n v="12"/>
    <x v="0"/>
    <n v="520101030011"/>
    <s v="Suministros de oficina y comput ventas y diseño                       "/>
    <n v="0"/>
    <n v="392.36"/>
    <n v="0"/>
    <n v="630.26"/>
    <n v="410"/>
    <n v="20"/>
    <n v="0"/>
    <n v="187"/>
    <n v="29"/>
    <n v="987.12"/>
    <n v="0"/>
    <n v="0"/>
    <n v="158.25"/>
    <n v="2655.7400000020862"/>
  </r>
  <r>
    <x v="5"/>
    <x v="5"/>
    <x v="7"/>
    <n v="12"/>
    <x v="0"/>
    <n v="520101030012"/>
    <s v="Movilizacion Ventas                                                   "/>
    <n v="0"/>
    <n v="0"/>
    <n v="30"/>
    <n v="0"/>
    <n v="19.5"/>
    <n v="0"/>
    <n v="46.5"/>
    <n v="17.399999999999999"/>
    <n v="33.85"/>
    <n v="11"/>
    <n v="39.5"/>
    <n v="14.4"/>
    <n v="586.74"/>
    <n v="212.14999999850988"/>
  </r>
  <r>
    <x v="5"/>
    <x v="5"/>
    <x v="7"/>
    <n v="12"/>
    <x v="0"/>
    <n v="520101030013"/>
    <s v="Obsequios y muestras a clientes (autoconsumo)                         "/>
    <n v="136.05000000000001"/>
    <n v="246.26"/>
    <n v="0"/>
    <n v="0"/>
    <n v="126.86"/>
    <n v="19.82"/>
    <n v="0"/>
    <n v="57.75"/>
    <n v="0"/>
    <n v="913.64"/>
    <n v="0"/>
    <n v="0"/>
    <n v="1526.52"/>
    <n v="1500.3800000026822"/>
  </r>
  <r>
    <x v="5"/>
    <x v="5"/>
    <x v="7"/>
    <n v="12"/>
    <x v="0"/>
    <n v="520101030014"/>
    <s v="Gastos de depreciación de equipos de computación                      "/>
    <n v="229.13"/>
    <n v="229.13"/>
    <n v="229.13"/>
    <n v="229.13"/>
    <n v="163.5"/>
    <n v="143.75"/>
    <n v="143.75"/>
    <n v="79.5"/>
    <n v="79.5"/>
    <n v="79.5"/>
    <n v="79.5"/>
    <n v="79.5"/>
    <n v="231.25"/>
    <n v="1765.0199999958277"/>
  </r>
  <r>
    <x v="5"/>
    <x v="5"/>
    <x v="7"/>
    <n v="12"/>
    <x v="0"/>
    <n v="520101030015"/>
    <s v="Seguros vehículos ventas                                              "/>
    <n v="0"/>
    <n v="0"/>
    <n v="0"/>
    <n v="0"/>
    <n v="0"/>
    <n v="0"/>
    <n v="0"/>
    <n v="0"/>
    <n v="231.25"/>
    <n v="0"/>
    <n v="0"/>
    <n v="0"/>
    <n v="2392.83"/>
    <n v="231.25"/>
  </r>
  <r>
    <x v="5"/>
    <x v="5"/>
    <x v="7"/>
    <n v="12"/>
    <x v="0"/>
    <n v="520101030016"/>
    <s v="Mantenimiento  Instalaciones                                          "/>
    <n v="21.43"/>
    <n v="0"/>
    <n v="0"/>
    <n v="0"/>
    <n v="0"/>
    <n v="0"/>
    <n v="2336.73"/>
    <n v="3.87"/>
    <n v="30.8"/>
    <n v="0"/>
    <n v="0"/>
    <n v="0"/>
    <n v="2828"/>
    <n v="2392.8300000019372"/>
  </r>
  <r>
    <x v="5"/>
    <x v="5"/>
    <x v="7"/>
    <n v="12"/>
    <x v="0"/>
    <n v="520101030017"/>
    <s v="Mantenimiento Muebles y equipos                                       "/>
    <n v="0"/>
    <n v="1263"/>
    <n v="60"/>
    <n v="30"/>
    <n v="0"/>
    <n v="35"/>
    <n v="1058"/>
    <n v="100"/>
    <n v="282"/>
    <n v="0"/>
    <n v="1002"/>
    <n v="0"/>
    <n v="145.44"/>
    <n v="3830"/>
  </r>
  <r>
    <x v="5"/>
    <x v="5"/>
    <x v="7"/>
    <n v="12"/>
    <x v="0"/>
    <n v="520101030018"/>
    <s v="Gasto de Depreciacion Muebles y Enseres                               "/>
    <n v="16.16"/>
    <n v="16.16"/>
    <n v="16.16"/>
    <n v="16.16"/>
    <n v="16.16"/>
    <n v="16.16"/>
    <n v="16.16"/>
    <n v="16.16"/>
    <n v="16.16"/>
    <n v="16.16"/>
    <n v="16.16"/>
    <n v="16.16"/>
    <n v="1875.43"/>
    <n v="193.92000000178814"/>
  </r>
  <r>
    <x v="5"/>
    <x v="5"/>
    <x v="7"/>
    <n v="12"/>
    <x v="0"/>
    <n v="520101030020"/>
    <s v="Otros pagos bienes y servicios ventas                                 "/>
    <n v="187.3"/>
    <n v="147.44"/>
    <n v="46.93"/>
    <n v="374.74"/>
    <n v="221.37"/>
    <n v="112.2"/>
    <n v="295.17"/>
    <n v="103.21"/>
    <n v="214.71"/>
    <n v="7109.28"/>
    <n v="588.92999999999995"/>
    <n v="182.25"/>
    <n v="3006"/>
    <n v="9583.5300000049174"/>
  </r>
  <r>
    <x v="5"/>
    <x v="5"/>
    <x v="7"/>
    <n v="12"/>
    <x v="0"/>
    <n v="520101030021"/>
    <s v="Mant equipos de computo                                               "/>
    <n v="0"/>
    <n v="0"/>
    <n v="1002"/>
    <n v="1002"/>
    <n v="0"/>
    <n v="1002"/>
    <n v="0"/>
    <n v="0"/>
    <n v="0"/>
    <n v="0"/>
    <n v="0"/>
    <n v="0"/>
    <n v="18078.18"/>
    <n v="3006"/>
  </r>
  <r>
    <x v="5"/>
    <x v="5"/>
    <x v="7"/>
    <n v="12"/>
    <x v="0"/>
    <n v="520101030022"/>
    <s v="Correo y Courrier                                                     "/>
    <n v="3022.19"/>
    <n v="0"/>
    <n v="3152.15"/>
    <n v="2339.58"/>
    <n v="2581.42"/>
    <n v="1897.41"/>
    <n v="1645.05"/>
    <n v="1487.01"/>
    <n v="466.77"/>
    <n v="2025.14"/>
    <n v="106"/>
    <n v="433.66"/>
    <n v="5749.79"/>
    <n v="19156.380000002682"/>
  </r>
  <r>
    <x v="5"/>
    <x v="5"/>
    <x v="7"/>
    <n v="12"/>
    <x v="0"/>
    <n v="520101030023"/>
    <s v="Iva No aplicado ( Gasto)                                              "/>
    <n v="127.05"/>
    <n v="289.33"/>
    <n v="280.69"/>
    <n v="379.62"/>
    <n v="267.33"/>
    <n v="717.09"/>
    <n v="426.68"/>
    <n v="2406.6799999999998"/>
    <n v="791.59"/>
    <n v="433.52"/>
    <n v="6670.81"/>
    <n v="114.88"/>
    <n v="6310.08"/>
    <n v="12905.269999995828"/>
  </r>
  <r>
    <x v="5"/>
    <x v="5"/>
    <x v="7"/>
    <n v="12"/>
    <x v="0"/>
    <n v="520101030024"/>
    <s v="Seguros de Exportación                                                "/>
    <n v="950.79"/>
    <n v="1058.9000000000001"/>
    <n v="1058.8900000000001"/>
    <n v="1008.44"/>
    <n v="1008.44"/>
    <n v="1008.42"/>
    <n v="108.1"/>
    <n v="108.1"/>
    <n v="108.1"/>
    <n v="170.79"/>
    <n v="0"/>
    <n v="0"/>
    <n v="1073477.78"/>
    <n v="6588.9700000062585"/>
  </r>
  <r>
    <x v="5"/>
    <x v="6"/>
    <x v="7"/>
    <n v="4"/>
    <x v="2"/>
    <n v="5202"/>
    <s v="GASTOS DE ADMINISTRATIVOS                                             "/>
    <n v="106614.97"/>
    <n v="89193.03"/>
    <n v="127376.4"/>
    <n v="89190.36"/>
    <n v="87014.35"/>
    <n v="124989.64"/>
    <n v="122647.89"/>
    <n v="162347.75"/>
    <n v="129859.05"/>
    <n v="116839.18"/>
    <n v="568694.32999999996"/>
    <n v="989537.48"/>
    <n v="288699.03999999998"/>
    <n v="2714304.4299999997"/>
  </r>
  <r>
    <x v="5"/>
    <x v="6"/>
    <x v="7"/>
    <n v="6"/>
    <x v="3"/>
    <n v="520201"/>
    <s v="SUELDOS, SALARIOS Y DEMÁS REMUNERACIONES                              "/>
    <n v="28946.67"/>
    <n v="29221.01"/>
    <n v="29387.03"/>
    <n v="33007.51"/>
    <n v="31189.42"/>
    <n v="32161.87"/>
    <n v="36561.33"/>
    <n v="36661.980000000003"/>
    <n v="32563.83"/>
    <n v="34281.93"/>
    <n v="36082.449999999997"/>
    <n v="126970.17"/>
    <n v="267536.23"/>
    <n v="487035.20000000671"/>
  </r>
  <r>
    <x v="5"/>
    <x v="6"/>
    <x v="8"/>
    <n v="8"/>
    <x v="4"/>
    <n v="52020101"/>
    <s v="GASTOS DE NOMINA DE ADMINISTRACION                                    "/>
    <n v="27869.17"/>
    <n v="27998.44"/>
    <n v="28485.08"/>
    <n v="30748.9"/>
    <n v="29760.62"/>
    <n v="30170.49"/>
    <n v="31263.71"/>
    <n v="31311.119999999999"/>
    <n v="31279.4"/>
    <n v="32923.08"/>
    <n v="33571.07"/>
    <n v="32094.85"/>
    <n v="184275.26"/>
    <n v="367475.9299999997"/>
  </r>
  <r>
    <x v="5"/>
    <x v="6"/>
    <x v="8"/>
    <n v="12"/>
    <x v="0"/>
    <n v="520201010001"/>
    <s v="Sueldos                                                               "/>
    <n v="18884.419999999998"/>
    <n v="18739.98"/>
    <n v="19774.830000000002"/>
    <n v="20855.54"/>
    <n v="20411.09"/>
    <n v="21601.13"/>
    <n v="21234.42"/>
    <n v="21456.09"/>
    <n v="21317.759999999998"/>
    <n v="22050.03"/>
    <n v="22760.43"/>
    <n v="22483.759999999998"/>
    <n v="5187.07"/>
    <n v="251569.48000000417"/>
  </r>
  <r>
    <x v="5"/>
    <x v="6"/>
    <x v="8"/>
    <n v="12"/>
    <x v="0"/>
    <n v="520201010002"/>
    <s v="Sobretiempos                                                          "/>
    <n v="419.84"/>
    <n v="696.14"/>
    <n v="645.19000000000005"/>
    <n v="594.32000000000005"/>
    <n v="496.98"/>
    <n v="433.17"/>
    <n v="796.17"/>
    <n v="649.80999999999995"/>
    <n v="455.45"/>
    <n v="919.65"/>
    <n v="1095.23"/>
    <n v="964.49"/>
    <n v="23806.09"/>
    <n v="8166.4400000013411"/>
  </r>
  <r>
    <x v="5"/>
    <x v="6"/>
    <x v="8"/>
    <n v="12"/>
    <x v="0"/>
    <n v="520201010003"/>
    <s v="Aporte Patronal 12.15%                                                "/>
    <n v="2453.88"/>
    <n v="2428.89"/>
    <n v="2456.2800000000002"/>
    <n v="2736.48"/>
    <n v="2540.33"/>
    <n v="2681.88"/>
    <n v="2785.12"/>
    <n v="2685.88"/>
    <n v="3037.35"/>
    <n v="3005.28"/>
    <n v="2912.68"/>
    <n v="2848.92"/>
    <n v="14777.31"/>
    <n v="32572.970000002533"/>
  </r>
  <r>
    <x v="5"/>
    <x v="6"/>
    <x v="8"/>
    <n v="12"/>
    <x v="0"/>
    <n v="520201010004"/>
    <s v="Fondo de Reserva                                                      "/>
    <n v="1504.2"/>
    <n v="1511.09"/>
    <n v="1671.69"/>
    <n v="1668.15"/>
    <n v="1668.79"/>
    <n v="1660.82"/>
    <n v="1710.03"/>
    <n v="1700.33"/>
    <n v="1682.21"/>
    <n v="1712.39"/>
    <n v="1704.69"/>
    <n v="1693.06"/>
    <n v="15605.93"/>
    <n v="19887.449999999255"/>
  </r>
  <r>
    <x v="5"/>
    <x v="6"/>
    <x v="8"/>
    <n v="12"/>
    <x v="0"/>
    <n v="520201010005"/>
    <s v="Decimo Tercer Sueldo                                                  "/>
    <n v="1586.46"/>
    <n v="1611.14"/>
    <n v="1684.69"/>
    <n v="1768.22"/>
    <n v="1742.32"/>
    <n v="1742.85"/>
    <n v="1813.67"/>
    <n v="1842.15"/>
    <n v="1814.43"/>
    <n v="1899.26"/>
    <n v="1987.98"/>
    <n v="1954.02"/>
    <n v="6424.93"/>
    <n v="21447.190000005066"/>
  </r>
  <r>
    <x v="5"/>
    <x v="6"/>
    <x v="8"/>
    <n v="12"/>
    <x v="0"/>
    <n v="520201010006"/>
    <s v="Decimo Cuarto Sueldo                                                  "/>
    <n v="709.94"/>
    <n v="699.93"/>
    <n v="717.71"/>
    <n v="732.15"/>
    <n v="699.93"/>
    <n v="699.93"/>
    <n v="699.93"/>
    <n v="732.15"/>
    <n v="733.26"/>
    <n v="762.14"/>
    <n v="811.03"/>
    <n v="799.92"/>
    <n v="5918.04"/>
    <n v="8798.0200000032783"/>
  </r>
  <r>
    <x v="5"/>
    <x v="6"/>
    <x v="8"/>
    <n v="12"/>
    <x v="0"/>
    <n v="520201010007"/>
    <s v="Vacaciones                                                            "/>
    <n v="775.74"/>
    <n v="776.58"/>
    <n v="0"/>
    <n v="859.35"/>
    <n v="850.47"/>
    <n v="0"/>
    <n v="873.66"/>
    <n v="894"/>
    <n v="888.24"/>
    <n v="1073.6600000000001"/>
    <n v="948.35"/>
    <n v="0"/>
    <n v="3587.44"/>
    <n v="7940.0499999970198"/>
  </r>
  <r>
    <x v="5"/>
    <x v="6"/>
    <x v="8"/>
    <n v="12"/>
    <x v="0"/>
    <n v="520201010008"/>
    <s v="Desahucio Administración                                              "/>
    <n v="484.7"/>
    <n v="484.7"/>
    <n v="484.7"/>
    <n v="484.7"/>
    <n v="412.16"/>
    <n v="412.16"/>
    <n v="412.16"/>
    <n v="412.16"/>
    <n v="412.16"/>
    <n v="412.13"/>
    <n v="412.13"/>
    <n v="412.13"/>
    <n v="7954.16"/>
    <n v="5235.9899999946356"/>
  </r>
  <r>
    <x v="5"/>
    <x v="6"/>
    <x v="8"/>
    <n v="12"/>
    <x v="0"/>
    <n v="520201010010"/>
    <s v="Bonificaciones Voluntarias Administración                             "/>
    <n v="0"/>
    <n v="0"/>
    <n v="0"/>
    <n v="0"/>
    <n v="0"/>
    <n v="0"/>
    <n v="0"/>
    <n v="0"/>
    <n v="0"/>
    <n v="150"/>
    <n v="0"/>
    <n v="0"/>
    <n v="21162.81"/>
    <n v="150"/>
  </r>
  <r>
    <x v="5"/>
    <x v="6"/>
    <x v="8"/>
    <n v="12"/>
    <x v="0"/>
    <n v="520201010011"/>
    <s v="Jubilación Patronal Administración                                    "/>
    <n v="1049.99"/>
    <n v="1049.99"/>
    <n v="1049.99"/>
    <n v="1049.99"/>
    <n v="938.55"/>
    <n v="938.55"/>
    <n v="938.55"/>
    <n v="938.55"/>
    <n v="938.54"/>
    <n v="938.54"/>
    <n v="938.55"/>
    <n v="938.55"/>
    <n v="7482.32"/>
    <n v="11708.339999996126"/>
  </r>
  <r>
    <x v="5"/>
    <x v="6"/>
    <x v="6"/>
    <n v="8"/>
    <x v="4"/>
    <n v="52020102"/>
    <s v="OTRAS GASTOS DE PERSONAL                                              "/>
    <n v="1077.5"/>
    <n v="1222.57"/>
    <n v="901.95"/>
    <n v="2258.61"/>
    <n v="1428.8"/>
    <n v="1991.38"/>
    <n v="5297.62"/>
    <n v="5350.86"/>
    <n v="1284.43"/>
    <n v="1358.85"/>
    <n v="2511.38"/>
    <n v="94875.32"/>
    <n v="548.64"/>
    <n v="119559.26999999955"/>
  </r>
  <r>
    <x v="5"/>
    <x v="6"/>
    <x v="6"/>
    <n v="12"/>
    <x v="0"/>
    <n v="520201020002"/>
    <s v="Alimentacion Administración                                           "/>
    <n v="952.5"/>
    <n v="903.26"/>
    <n v="556.95000000000005"/>
    <n v="714.43"/>
    <n v="480.75"/>
    <n v="1084.47"/>
    <n v="738.86"/>
    <n v="879.83"/>
    <n v="830.82"/>
    <n v="819.17"/>
    <n v="884.98"/>
    <n v="833.44"/>
    <n v="10411.85"/>
    <n v="9679.4600000008941"/>
  </r>
  <r>
    <x v="5"/>
    <x v="6"/>
    <x v="6"/>
    <n v="12"/>
    <x v="0"/>
    <n v="520201020003"/>
    <s v="Movilizacion/Transp de Personal Administración                        "/>
    <n v="60"/>
    <n v="60"/>
    <n v="60"/>
    <n v="60"/>
    <n v="60"/>
    <n v="60"/>
    <n v="60"/>
    <n v="60"/>
    <n v="60"/>
    <n v="68.64"/>
    <n v="60"/>
    <n v="60"/>
    <n v="2720"/>
    <n v="728.64000000059605"/>
  </r>
  <r>
    <x v="5"/>
    <x v="6"/>
    <x v="6"/>
    <n v="12"/>
    <x v="0"/>
    <n v="520201020004"/>
    <s v="Gastos Médicos ventas y administración                                "/>
    <n v="65"/>
    <n v="79.31"/>
    <n v="45"/>
    <n v="749.18"/>
    <n v="293.05"/>
    <n v="246.91"/>
    <n v="4413.76"/>
    <n v="4411.03"/>
    <n v="108.61"/>
    <n v="156.04"/>
    <n v="0"/>
    <n v="536.95000000000005"/>
    <n v="148246.1"/>
    <n v="11104.839999999851"/>
  </r>
  <r>
    <x v="5"/>
    <x v="6"/>
    <x v="6"/>
    <n v="12"/>
    <x v="0"/>
    <n v="520201020005"/>
    <s v="Uniformes personal ventas y administrativo                            "/>
    <n v="0"/>
    <n v="0"/>
    <n v="0"/>
    <n v="0"/>
    <n v="0"/>
    <n v="0"/>
    <n v="0"/>
    <n v="0"/>
    <n v="0"/>
    <n v="0"/>
    <n v="0"/>
    <n v="4929.8"/>
    <n v="148246.1"/>
    <n v="4929.8000000007451"/>
  </r>
  <r>
    <x v="5"/>
    <x v="6"/>
    <x v="6"/>
    <n v="12"/>
    <x v="0"/>
    <n v="520201020006"/>
    <s v="Capacitación y Seminarios Administración                              "/>
    <n v="0"/>
    <n v="180"/>
    <n v="240"/>
    <n v="735"/>
    <n v="595"/>
    <n v="600"/>
    <n v="85"/>
    <n v="0"/>
    <n v="285"/>
    <n v="315"/>
    <n v="1520"/>
    <n v="5442.18"/>
    <n v="144647.76"/>
    <n v="9997.179999999702"/>
  </r>
  <r>
    <x v="5"/>
    <x v="6"/>
    <x v="6"/>
    <n v="12"/>
    <x v="0"/>
    <n v="520201020007"/>
    <s v="Agasajo al Personal Administración                                    "/>
    <n v="0"/>
    <n v="0"/>
    <n v="0"/>
    <n v="0"/>
    <n v="0"/>
    <n v="0"/>
    <n v="0"/>
    <n v="0"/>
    <n v="0"/>
    <n v="0"/>
    <n v="0"/>
    <n v="83072.95"/>
    <n v="3598.34"/>
    <n v="83072.949999999255"/>
  </r>
  <r>
    <x v="5"/>
    <x v="6"/>
    <x v="6"/>
    <n v="12"/>
    <x v="0"/>
    <n v="520201020008"/>
    <s v="Otros gastos de personal Administración                               "/>
    <n v="0"/>
    <n v="0"/>
    <n v="0"/>
    <n v="0"/>
    <n v="0"/>
    <n v="0"/>
    <n v="0"/>
    <n v="0"/>
    <n v="0"/>
    <n v="0"/>
    <n v="46.4"/>
    <n v="0"/>
    <n v="37770.379999999997"/>
    <n v="46.399999998509884"/>
  </r>
  <r>
    <x v="5"/>
    <x v="6"/>
    <x v="6"/>
    <n v="6"/>
    <x v="3"/>
    <n v="520202"/>
    <s v="HONORARIOS, COMISIONES Y DIETAS                                       "/>
    <n v="19998.330000000002"/>
    <n v="12496.56"/>
    <n v="13345.99"/>
    <n v="13412.3"/>
    <n v="16547.38"/>
    <n v="14830.69"/>
    <n v="16394.79"/>
    <n v="12588.62"/>
    <n v="16037.9"/>
    <n v="28481.5"/>
    <n v="390136.09"/>
    <n v="699272.99"/>
    <n v="37770.379999999997"/>
    <n v="1253543.1399999931"/>
  </r>
  <r>
    <x v="5"/>
    <x v="6"/>
    <x v="9"/>
    <n v="8"/>
    <x v="4"/>
    <n v="52020201"/>
    <s v="HONORARIOS                                                            "/>
    <n v="19998.330000000002"/>
    <n v="12496.56"/>
    <n v="13345.99"/>
    <n v="13412.3"/>
    <n v="16547.38"/>
    <n v="14830.69"/>
    <n v="16394.79"/>
    <n v="12588.62"/>
    <n v="16037.9"/>
    <n v="28481.5"/>
    <n v="390136.09"/>
    <n v="699272.99"/>
    <n v="1000"/>
    <n v="1253543.1399999931"/>
  </r>
  <r>
    <x v="5"/>
    <x v="6"/>
    <x v="9"/>
    <n v="12"/>
    <x v="0"/>
    <n v="520202010001"/>
    <s v="Honorarios Profesionales                                              "/>
    <n v="19998.330000000002"/>
    <n v="10243.219999999999"/>
    <n v="12530.99"/>
    <n v="13412.3"/>
    <n v="16547.38"/>
    <n v="14830.69"/>
    <n v="16114.79"/>
    <n v="12588.62"/>
    <n v="16037.9"/>
    <n v="28231.5"/>
    <n v="390136.09"/>
    <n v="698622.99"/>
    <n v="1083"/>
    <n v="1249294.7999999933"/>
  </r>
  <r>
    <x v="5"/>
    <x v="6"/>
    <x v="9"/>
    <n v="12"/>
    <x v="0"/>
    <n v="520202010005"/>
    <s v="Auditorías                                                            "/>
    <n v="0"/>
    <n v="2253.34"/>
    <n v="815"/>
    <n v="0"/>
    <n v="0"/>
    <n v="0"/>
    <n v="280"/>
    <n v="0"/>
    <n v="0"/>
    <n v="250"/>
    <n v="0"/>
    <n v="650"/>
    <n v="10647.09"/>
    <n v="4248.339999999851"/>
  </r>
  <r>
    <x v="5"/>
    <x v="6"/>
    <x v="9"/>
    <n v="6"/>
    <x v="3"/>
    <n v="520203"/>
    <s v="MANTENIMIENTO Y REPARACIONES                                          "/>
    <n v="2304.4299999999998"/>
    <n v="2109.16"/>
    <n v="4205.75"/>
    <n v="4408.82"/>
    <n v="7426.64"/>
    <n v="4842.0600000000004"/>
    <n v="3958.44"/>
    <n v="4134.38"/>
    <n v="3202.81"/>
    <n v="3568.5"/>
    <n v="13739.51"/>
    <n v="7516.09"/>
    <n v="10394.83"/>
    <n v="61416.589999999851"/>
  </r>
  <r>
    <x v="5"/>
    <x v="6"/>
    <x v="10"/>
    <n v="8"/>
    <x v="4"/>
    <n v="52020301"/>
    <s v="MANTENIMIENTO                                                         "/>
    <n v="2304.4299999999998"/>
    <n v="2109.16"/>
    <n v="4205.75"/>
    <n v="4408.82"/>
    <n v="7426.64"/>
    <n v="4842.0600000000004"/>
    <n v="3958.44"/>
    <n v="4134.38"/>
    <n v="3202.81"/>
    <n v="3568.5"/>
    <n v="13739.51"/>
    <n v="7516.09"/>
    <n v="6336.77"/>
    <n v="61416.589999999851"/>
  </r>
  <r>
    <x v="5"/>
    <x v="6"/>
    <x v="10"/>
    <n v="12"/>
    <x v="0"/>
    <n v="520203010001"/>
    <s v="Mantenimiento de Edificios y oficinas Administración                  "/>
    <n v="0"/>
    <n v="0"/>
    <n v="1000"/>
    <n v="0"/>
    <n v="0"/>
    <n v="0"/>
    <n v="0"/>
    <n v="0"/>
    <n v="0"/>
    <n v="0"/>
    <n v="0"/>
    <n v="0"/>
    <n v="8308.69"/>
    <n v="1000"/>
  </r>
  <r>
    <x v="5"/>
    <x v="6"/>
    <x v="10"/>
    <n v="12"/>
    <x v="0"/>
    <n v="520203010002"/>
    <s v="Mantenimiento Instalaciones                                           "/>
    <n v="0"/>
    <n v="0"/>
    <n v="30"/>
    <n v="850"/>
    <n v="0"/>
    <n v="120"/>
    <n v="0"/>
    <n v="0"/>
    <n v="0"/>
    <n v="113"/>
    <n v="6400"/>
    <n v="0"/>
    <n v="31205.4"/>
    <n v="7513"/>
  </r>
  <r>
    <x v="5"/>
    <x v="6"/>
    <x v="10"/>
    <n v="12"/>
    <x v="0"/>
    <n v="520203010003"/>
    <s v="Mant. Vehiculos Administracion                                        "/>
    <n v="1351.18"/>
    <n v="0"/>
    <n v="1733.51"/>
    <n v="1671.43"/>
    <n v="1680.47"/>
    <n v="87"/>
    <n v="2910.08"/>
    <n v="1125.03"/>
    <n v="88.39"/>
    <n v="705.14"/>
    <n v="580.76"/>
    <n v="900"/>
    <n v="31205.4"/>
    <n v="12832.990000002086"/>
  </r>
  <r>
    <x v="5"/>
    <x v="6"/>
    <x v="10"/>
    <n v="12"/>
    <x v="0"/>
    <n v="520203010004"/>
    <s v="Mantenimiento Muebles y Equipos Administración                        "/>
    <n v="420"/>
    <n v="1644.97"/>
    <n v="425"/>
    <n v="1075"/>
    <n v="6.86"/>
    <n v="2110"/>
    <n v="90"/>
    <n v="2187"/>
    <n v="1434"/>
    <n v="1470.8"/>
    <n v="5590"/>
    <n v="6129.5"/>
    <n v="7672.15"/>
    <n v="22583.129999998957"/>
  </r>
  <r>
    <x v="5"/>
    <x v="6"/>
    <x v="10"/>
    <n v="12"/>
    <x v="0"/>
    <n v="520203010005"/>
    <s v="Combustibles Administración                                           "/>
    <n v="533.25"/>
    <n v="464.19"/>
    <n v="1017.24"/>
    <n v="812.39"/>
    <n v="570.92999999999995"/>
    <n v="683.36"/>
    <n v="958.36"/>
    <n v="654.85"/>
    <n v="549.30999999999995"/>
    <n v="1279.56"/>
    <n v="810.68"/>
    <n v="486.59"/>
    <n v="3997.8"/>
    <n v="8820.7099999971688"/>
  </r>
  <r>
    <x v="5"/>
    <x v="6"/>
    <x v="10"/>
    <n v="12"/>
    <x v="0"/>
    <n v="520203010007"/>
    <s v="Matricula e impuestos  vehicular  Adm                                 "/>
    <n v="0"/>
    <n v="0"/>
    <n v="0"/>
    <n v="0"/>
    <n v="5168.38"/>
    <n v="1841.7"/>
    <n v="0"/>
    <n v="167.5"/>
    <n v="1131.1099999999999"/>
    <n v="0"/>
    <n v="358.07"/>
    <n v="0"/>
    <n v="19535.45"/>
    <n v="8666.7599999979138"/>
  </r>
  <r>
    <x v="5"/>
    <x v="6"/>
    <x v="10"/>
    <n v="6"/>
    <x v="3"/>
    <n v="520204"/>
    <s v="SEGUROS Y REASEGUROS                                                  "/>
    <n v="403.09"/>
    <n v="958.7"/>
    <n v="3770.52"/>
    <n v="2534.5100000000002"/>
    <n v="2201.9899999999998"/>
    <n v="1016.01"/>
    <n v="3559.53"/>
    <n v="15004.79"/>
    <n v="1465.01"/>
    <n v="3093.62"/>
    <n v="1.55"/>
    <n v="866.6"/>
    <n v="465429.27"/>
    <n v="34875.920000005513"/>
  </r>
  <r>
    <x v="5"/>
    <x v="6"/>
    <x v="11"/>
    <n v="8"/>
    <x v="4"/>
    <n v="52020401"/>
    <s v="SEGUROS Y REASEGUROS                                                  "/>
    <n v="403.09"/>
    <n v="958.7"/>
    <n v="3770.52"/>
    <n v="2534.5100000000002"/>
    <n v="2201.9899999999998"/>
    <n v="1016.01"/>
    <n v="3559.53"/>
    <n v="15004.79"/>
    <n v="1465.01"/>
    <n v="3093.62"/>
    <n v="1.55"/>
    <n v="866.6"/>
    <n v="465429.27"/>
    <n v="34875.920000005513"/>
  </r>
  <r>
    <x v="5"/>
    <x v="6"/>
    <x v="11"/>
    <n v="12"/>
    <x v="0"/>
    <n v="520204010002"/>
    <s v="Seguro de Vehiculos                                                   "/>
    <n v="403.09"/>
    <n v="958.7"/>
    <n v="958.7"/>
    <n v="958.7"/>
    <n v="998.24"/>
    <n v="998.24"/>
    <n v="998.24"/>
    <n v="998.24"/>
    <n v="1100.82"/>
    <n v="1970.03"/>
    <n v="0"/>
    <n v="0"/>
    <n v="996"/>
    <n v="10342.999999992549"/>
  </r>
  <r>
    <x v="5"/>
    <x v="6"/>
    <x v="11"/>
    <n v="12"/>
    <x v="0"/>
    <n v="520204010004"/>
    <s v="Seguro Contra Asalto y Robos                                          "/>
    <n v="0"/>
    <n v="0"/>
    <n v="2811.82"/>
    <n v="0"/>
    <n v="1185.98"/>
    <n v="0"/>
    <n v="0"/>
    <n v="0"/>
    <n v="0"/>
    <n v="0"/>
    <n v="0"/>
    <n v="0"/>
    <n v="12345.6"/>
    <n v="3997.8000000007451"/>
  </r>
  <r>
    <x v="5"/>
    <x v="6"/>
    <x v="11"/>
    <n v="12"/>
    <x v="0"/>
    <n v="520204010007"/>
    <s v="Otros seguros                                                         "/>
    <n v="0"/>
    <n v="0"/>
    <n v="0"/>
    <n v="1575.81"/>
    <n v="17.77"/>
    <n v="17.77"/>
    <n v="2561.29"/>
    <n v="14006.55"/>
    <n v="364.19"/>
    <n v="1123.5899999999999"/>
    <n v="1.55"/>
    <n v="866.6"/>
    <n v="1606.17"/>
    <n v="20535.120000001043"/>
  </r>
  <r>
    <x v="5"/>
    <x v="6"/>
    <x v="11"/>
    <n v="6"/>
    <x v="3"/>
    <n v="520205"/>
    <s v="OTROS GASTOS DE ADMINISTRACION                                        "/>
    <n v="46845.36"/>
    <n v="40520.269999999997"/>
    <n v="72227.839999999997"/>
    <n v="30057.5"/>
    <n v="25258.639999999999"/>
    <n v="50038.42"/>
    <n v="56860.44"/>
    <n v="67986.11"/>
    <n v="55675.42"/>
    <n v="40916.800000000003"/>
    <n v="123374.36"/>
    <n v="149368.84"/>
    <n v="3.84"/>
    <n v="759130.00000000373"/>
  </r>
  <r>
    <x v="5"/>
    <x v="6"/>
    <x v="12"/>
    <n v="8"/>
    <x v="4"/>
    <n v="52020501"/>
    <s v="OTROS GASTOS                                                          "/>
    <n v="46845.36"/>
    <n v="40520.269999999997"/>
    <n v="72227.839999999997"/>
    <n v="30057.5"/>
    <n v="25258.639999999999"/>
    <n v="50038.42"/>
    <n v="56860.44"/>
    <n v="67986.11"/>
    <n v="55675.42"/>
    <n v="40916.800000000003"/>
    <n v="123374.36"/>
    <n v="149368.84"/>
    <n v="10675.69"/>
    <n v="759130.00000000373"/>
  </r>
  <r>
    <x v="5"/>
    <x v="6"/>
    <x v="12"/>
    <n v="12"/>
    <x v="0"/>
    <n v="520205010001"/>
    <s v="Gastos de Viaje Administración                                        "/>
    <n v="0"/>
    <n v="0"/>
    <n v="0"/>
    <n v="0"/>
    <n v="0"/>
    <n v="0"/>
    <n v="996"/>
    <n v="0"/>
    <n v="0"/>
    <n v="0"/>
    <n v="0"/>
    <n v="2680.33"/>
    <n v="18380.16"/>
    <n v="3676.3299999982119"/>
  </r>
  <r>
    <x v="5"/>
    <x v="6"/>
    <x v="12"/>
    <n v="12"/>
    <x v="0"/>
    <n v="520205010002"/>
    <s v="Gastos de Gestión                                                     "/>
    <n v="878.62"/>
    <n v="576.11"/>
    <n v="2279.38"/>
    <n v="783.71"/>
    <n v="1108.1400000000001"/>
    <n v="1316.92"/>
    <n v="3451.26"/>
    <n v="1000.47"/>
    <n v="950.99"/>
    <n v="970.36"/>
    <n v="1760.46"/>
    <n v="2560.37"/>
    <n v="714.98"/>
    <n v="17636.790000002831"/>
  </r>
  <r>
    <x v="5"/>
    <x v="6"/>
    <x v="12"/>
    <n v="12"/>
    <x v="0"/>
    <n v="520205010003"/>
    <s v="Telefonía Celular                                                     "/>
    <n v="141.66999999999999"/>
    <n v="150.82"/>
    <n v="150.6"/>
    <n v="144.63999999999999"/>
    <n v="134.22999999999999"/>
    <n v="144.26"/>
    <n v="150.38"/>
    <n v="246.3"/>
    <n v="192.89"/>
    <n v="150.38"/>
    <n v="141.44999999999999"/>
    <n v="218.86"/>
    <n v="2571.64"/>
    <n v="1966.4800000041723"/>
  </r>
  <r>
    <x v="5"/>
    <x v="6"/>
    <x v="12"/>
    <n v="12"/>
    <x v="0"/>
    <n v="520205010004"/>
    <s v="Correo y Courrier                                                     "/>
    <n v="3.84"/>
    <n v="0"/>
    <n v="0"/>
    <n v="0"/>
    <n v="0"/>
    <n v="0"/>
    <n v="0"/>
    <n v="0"/>
    <n v="0"/>
    <n v="0"/>
    <n v="0"/>
    <n v="0"/>
    <n v="10760"/>
    <n v="3.8399999998509884"/>
  </r>
  <r>
    <x v="5"/>
    <x v="6"/>
    <x v="12"/>
    <n v="12"/>
    <x v="0"/>
    <n v="520205010005"/>
    <s v="Suministros de Oficina y Computación                                  "/>
    <n v="327.84"/>
    <n v="245.54"/>
    <n v="65"/>
    <n v="1168.43"/>
    <n v="3589.86"/>
    <n v="763.43"/>
    <n v="885.08"/>
    <n v="2645.95"/>
    <n v="984.56"/>
    <n v="4112.76"/>
    <n v="1256.92"/>
    <n v="607.20000000000005"/>
    <n v="1581.97"/>
    <n v="16652.569999996573"/>
  </r>
  <r>
    <x v="5"/>
    <x v="6"/>
    <x v="12"/>
    <n v="12"/>
    <x v="0"/>
    <n v="520205010006"/>
    <s v="Energía Eléctrica Administración                                      "/>
    <n v="1669.52"/>
    <n v="1733.9"/>
    <n v="1534.4"/>
    <n v="2103.4499999999998"/>
    <n v="2084.5700000000002"/>
    <n v="2174.15"/>
    <n v="0"/>
    <n v="4845.18"/>
    <n v="2234.9899999999998"/>
    <n v="2653.41"/>
    <n v="2451.9699999999998"/>
    <n v="0"/>
    <n v="102.68"/>
    <n v="23485.539999991655"/>
  </r>
  <r>
    <x v="5"/>
    <x v="6"/>
    <x v="12"/>
    <n v="12"/>
    <x v="0"/>
    <n v="520205010007"/>
    <s v="Agua Administración                                                   "/>
    <n v="78.739999999999995"/>
    <n v="63.49"/>
    <n v="48.62"/>
    <n v="53.59"/>
    <n v="48.18"/>
    <n v="87.58"/>
    <n v="55.06"/>
    <n v="120.04"/>
    <n v="94.31"/>
    <n v="65.37"/>
    <n v="69.260000000000005"/>
    <n v="66.540000000000006"/>
    <n v="817.97"/>
    <n v="850.77999999374151"/>
  </r>
  <r>
    <x v="5"/>
    <x v="6"/>
    <x v="12"/>
    <n v="12"/>
    <x v="0"/>
    <n v="520205010008"/>
    <s v="Telefonía Convencional                                                "/>
    <n v="245.24"/>
    <n v="271.08999999999997"/>
    <n v="271.02"/>
    <n v="295.07"/>
    <n v="257"/>
    <n v="266.52"/>
    <n v="241.53"/>
    <n v="215.76"/>
    <n v="237.78"/>
    <n v="270.63"/>
    <n v="237.47"/>
    <n v="280.25"/>
    <n v="11438.3"/>
    <n v="3089.359999999404"/>
  </r>
  <r>
    <x v="5"/>
    <x v="6"/>
    <x v="12"/>
    <n v="12"/>
    <x v="0"/>
    <n v="520205010009"/>
    <s v="Internet                                                              "/>
    <n v="1076"/>
    <n v="1076"/>
    <n v="1076"/>
    <n v="1076"/>
    <n v="1076"/>
    <n v="1076"/>
    <n v="1076"/>
    <n v="1076"/>
    <n v="1076"/>
    <n v="1076"/>
    <n v="1076"/>
    <n v="1076"/>
    <n v="66156.63"/>
    <n v="12912"/>
  </r>
  <r>
    <x v="5"/>
    <x v="6"/>
    <x v="12"/>
    <n v="12"/>
    <x v="0"/>
    <n v="520205010010"/>
    <s v="Utiles de Limpieza/Cafeteria                                          "/>
    <n v="206.43"/>
    <n v="81.06"/>
    <n v="41.51"/>
    <n v="327.68"/>
    <n v="77.900000000000006"/>
    <n v="306.42"/>
    <n v="67.680000000000007"/>
    <n v="366.09"/>
    <n v="85.77"/>
    <n v="289.10000000000002"/>
    <n v="79.02"/>
    <n v="0"/>
    <n v="862.78"/>
    <n v="1928.660000000149"/>
  </r>
  <r>
    <x v="5"/>
    <x v="6"/>
    <x v="12"/>
    <n v="12"/>
    <x v="0"/>
    <n v="520205010011"/>
    <s v="Gastos Menores de activos Administración                              "/>
    <n v="102.68"/>
    <n v="0"/>
    <n v="0"/>
    <n v="0"/>
    <n v="0"/>
    <n v="0"/>
    <n v="0"/>
    <n v="0"/>
    <n v="0"/>
    <n v="0"/>
    <n v="0"/>
    <n v="0"/>
    <n v="150246"/>
    <n v="102.67999999970198"/>
  </r>
  <r>
    <x v="5"/>
    <x v="6"/>
    <x v="12"/>
    <n v="12"/>
    <x v="0"/>
    <n v="520205010012"/>
    <s v="Donaciones                                                            "/>
    <n v="0"/>
    <n v="0"/>
    <n v="0"/>
    <n v="0"/>
    <n v="0"/>
    <n v="0"/>
    <n v="287.97000000000003"/>
    <n v="530"/>
    <n v="0"/>
    <n v="0"/>
    <n v="1140.6199999999999"/>
    <n v="0"/>
    <n v="1973.09"/>
    <n v="1958.589999999851"/>
  </r>
  <r>
    <x v="5"/>
    <x v="6"/>
    <x v="12"/>
    <n v="12"/>
    <x v="0"/>
    <n v="520205010013"/>
    <s v="Cuotas y Suscripciones                                                "/>
    <n v="1061.3800000000001"/>
    <n v="2778.06"/>
    <n v="1048.56"/>
    <n v="951.56"/>
    <n v="951.56"/>
    <n v="951.56"/>
    <n v="951.56"/>
    <n v="1051.56"/>
    <n v="913.09"/>
    <n v="903.5"/>
    <n v="780"/>
    <n v="780"/>
    <n v="46.33"/>
    <n v="13122.38999998942"/>
  </r>
  <r>
    <x v="5"/>
    <x v="6"/>
    <x v="12"/>
    <n v="12"/>
    <x v="0"/>
    <n v="520205010014"/>
    <s v="IVA no aplicado (gasto)                                               "/>
    <n v="8616.9699999999993"/>
    <n v="5760.84"/>
    <n v="5764.49"/>
    <n v="4199.91"/>
    <n v="4069.8"/>
    <n v="12830.42"/>
    <n v="6812.08"/>
    <n v="7326.58"/>
    <n v="7217.54"/>
    <n v="7992.5"/>
    <n v="50763.09"/>
    <n v="92595.55"/>
    <n v="23760"/>
    <n v="213949.76999999583"/>
  </r>
  <r>
    <x v="5"/>
    <x v="6"/>
    <x v="12"/>
    <n v="12"/>
    <x v="0"/>
    <n v="520205010015"/>
    <s v="Suministros, materiales y repuestos Administración                    "/>
    <n v="789.33"/>
    <n v="54.06"/>
    <n v="0"/>
    <n v="0"/>
    <n v="15.73"/>
    <n v="0"/>
    <n v="0"/>
    <n v="3.66"/>
    <n v="0"/>
    <n v="0"/>
    <n v="0"/>
    <n v="0"/>
    <n v="38249.61"/>
    <n v="862.77999999374151"/>
  </r>
  <r>
    <x v="5"/>
    <x v="6"/>
    <x v="12"/>
    <n v="12"/>
    <x v="0"/>
    <n v="520205010016"/>
    <s v="Arriendo                                                              "/>
    <n v="15000"/>
    <n v="15000"/>
    <n v="15000"/>
    <n v="1500"/>
    <n v="0"/>
    <n v="15000"/>
    <n v="28746"/>
    <n v="15000"/>
    <n v="30000"/>
    <n v="15000"/>
    <n v="15000"/>
    <n v="15000"/>
    <n v="39024.78"/>
    <n v="180246"/>
  </r>
  <r>
    <x v="5"/>
    <x v="6"/>
    <x v="12"/>
    <n v="12"/>
    <x v="0"/>
    <n v="520205010018"/>
    <s v="Multas e Intereses                                                    "/>
    <n v="200.92"/>
    <n v="1026.1199999999999"/>
    <n v="0"/>
    <n v="0"/>
    <n v="305.88"/>
    <n v="0"/>
    <n v="0"/>
    <n v="216.93"/>
    <n v="0"/>
    <n v="282.64"/>
    <n v="0"/>
    <n v="0"/>
    <n v="49921.52"/>
    <n v="2032.4900000020862"/>
  </r>
  <r>
    <x v="5"/>
    <x v="6"/>
    <x v="12"/>
    <n v="12"/>
    <x v="0"/>
    <n v="520205010020"/>
    <s v="Ajustes de centavos                                                   "/>
    <n v="-26.58"/>
    <n v="-0.17"/>
    <n v="-0.13"/>
    <n v="-0.18"/>
    <n v="-0.5"/>
    <n v="73.16"/>
    <n v="0.1"/>
    <n v="-4.58"/>
    <n v="5.23"/>
    <n v="0.2"/>
    <n v="1.43"/>
    <n v="81.53"/>
    <n v="396.8"/>
    <n v="129.50999999791384"/>
  </r>
  <r>
    <x v="5"/>
    <x v="6"/>
    <x v="12"/>
    <n v="12"/>
    <x v="0"/>
    <n v="520205010022"/>
    <s v="Seguridad                                                             "/>
    <n v="2640"/>
    <n v="2640"/>
    <n v="2640"/>
    <n v="2640"/>
    <n v="2640"/>
    <n v="2640"/>
    <n v="2640"/>
    <n v="2640"/>
    <n v="2640"/>
    <n v="2640"/>
    <n v="3751.62"/>
    <n v="2640"/>
    <n v="2238.94"/>
    <n v="32791.619999997318"/>
  </r>
  <r>
    <x v="5"/>
    <x v="6"/>
    <x v="12"/>
    <n v="12"/>
    <x v="0"/>
    <n v="520205010023"/>
    <s v="Gastos no Deducibles                                                  "/>
    <n v="463.04"/>
    <n v="435.41"/>
    <n v="35080.14"/>
    <n v="469.83"/>
    <n v="589.61"/>
    <n v="515.78"/>
    <n v="312.49"/>
    <n v="170.76"/>
    <n v="179.55"/>
    <n v="206.49"/>
    <n v="1046.5"/>
    <n v="404.98"/>
    <n v="0.68"/>
    <n v="39874.579999990761"/>
  </r>
  <r>
    <x v="5"/>
    <x v="6"/>
    <x v="12"/>
    <n v="12"/>
    <x v="0"/>
    <n v="520205010024"/>
    <s v="Gastos de licencias -software y mant ERP                              "/>
    <n v="8199.98"/>
    <n v="4848.01"/>
    <n v="3311.78"/>
    <n v="3637.17"/>
    <n v="4656.1099999999997"/>
    <n v="4346.68"/>
    <n v="2620.89"/>
    <n v="2703.4"/>
    <n v="3828.36"/>
    <n v="872.4"/>
    <n v="728"/>
    <n v="4076"/>
    <n v="14258.8"/>
    <n v="43828.779999993742"/>
  </r>
  <r>
    <x v="5"/>
    <x v="6"/>
    <x v="12"/>
    <n v="12"/>
    <x v="0"/>
    <n v="520205010026"/>
    <s v="Iva Facrtor de Proporcionalidad                                       "/>
    <n v="1828.22"/>
    <n v="1741.4"/>
    <n v="2428.98"/>
    <n v="8102.49"/>
    <n v="1769.76"/>
    <n v="4756.05"/>
    <n v="6939.73"/>
    <n v="22354.89"/>
    <n v="2388.7800000000002"/>
    <n v="0"/>
    <n v="0"/>
    <n v="0"/>
    <n v="142"/>
    <n v="52310.299999989569"/>
  </r>
  <r>
    <x v="5"/>
    <x v="6"/>
    <x v="12"/>
    <n v="12"/>
    <x v="0"/>
    <n v="520205010027"/>
    <s v="Promocion y Publicidad Administracion                                 "/>
    <n v="0"/>
    <n v="0"/>
    <n v="197"/>
    <n v="199.8"/>
    <n v="0"/>
    <n v="0"/>
    <n v="0"/>
    <n v="0"/>
    <n v="0"/>
    <n v="0"/>
    <n v="0"/>
    <n v="0"/>
    <n v="6156.31"/>
    <n v="396.79999999701977"/>
  </r>
  <r>
    <x v="5"/>
    <x v="6"/>
    <x v="12"/>
    <n v="12"/>
    <x v="0"/>
    <n v="520205010030"/>
    <s v="Gasto Movilizacion Administración                                     "/>
    <n v="33"/>
    <n v="192"/>
    <n v="211.5"/>
    <n v="104.3"/>
    <n v="180"/>
    <n v="855.89"/>
    <n v="188.85"/>
    <n v="233.9"/>
    <n v="229"/>
    <n v="212"/>
    <n v="56.5"/>
    <n v="46.1"/>
    <n v="64165.21"/>
    <n v="2543.0399999991059"/>
  </r>
  <r>
    <x v="5"/>
    <x v="6"/>
    <x v="12"/>
    <n v="12"/>
    <x v="0"/>
    <n v="520205010036"/>
    <s v="Otros pagos bienes y servicios administración                         "/>
    <n v="640.51"/>
    <n v="1729.33"/>
    <n v="936.99"/>
    <n v="1782.55"/>
    <n v="692.25"/>
    <n v="1933.6"/>
    <n v="437.78"/>
    <n v="3402.18"/>
    <n v="2416.58"/>
    <n v="1485.14"/>
    <n v="43034.05"/>
    <n v="25991.13"/>
    <n v="64165.21"/>
    <n v="84482.089999996126"/>
  </r>
  <r>
    <x v="5"/>
    <x v="6"/>
    <x v="12"/>
    <n v="12"/>
    <x v="0"/>
    <n v="520205010037"/>
    <s v="Mant equipos de computo                                               "/>
    <n v="0"/>
    <n v="0"/>
    <n v="142"/>
    <n v="0"/>
    <n v="0"/>
    <n v="0"/>
    <n v="0"/>
    <n v="0"/>
    <n v="0"/>
    <n v="0"/>
    <n v="0"/>
    <n v="0"/>
    <n v="44346"/>
    <n v="142"/>
  </r>
  <r>
    <x v="5"/>
    <x v="6"/>
    <x v="12"/>
    <n v="12"/>
    <x v="0"/>
    <n v="520205010039"/>
    <s v="Registros y derechos                                                  "/>
    <n v="0"/>
    <n v="0"/>
    <n v="0"/>
    <n v="0"/>
    <n v="0"/>
    <n v="0"/>
    <n v="0"/>
    <n v="0"/>
    <n v="0"/>
    <n v="0"/>
    <n v="0"/>
    <n v="264"/>
    <n v="1638"/>
    <n v="264"/>
  </r>
  <r>
    <x v="5"/>
    <x v="6"/>
    <x v="12"/>
    <n v="12"/>
    <x v="0"/>
    <n v="520205010040"/>
    <s v="Obsequios y muestras a clientes (autoconsumo)                         "/>
    <n v="2668.01"/>
    <n v="117.2"/>
    <n v="0"/>
    <n v="517.5"/>
    <n v="1012.56"/>
    <n v="0"/>
    <n v="0"/>
    <n v="1841.04"/>
    <n v="0"/>
    <n v="1733.92"/>
    <n v="0"/>
    <n v="0"/>
    <n v="15627.28"/>
    <n v="7890.2300000041723"/>
  </r>
  <r>
    <x v="5"/>
    <x v="6"/>
    <x v="12"/>
    <n v="6"/>
    <x v="3"/>
    <n v="520206"/>
    <s v="IMPUESTOS, CONTRIBUCIONES Y OTROS                                     "/>
    <n v="4399.82"/>
    <n v="204.51"/>
    <n v="787.75"/>
    <n v="2118.1999999999998"/>
    <n v="258.75"/>
    <n v="18016.45"/>
    <n v="267.89999999999998"/>
    <n v="20972.12"/>
    <n v="15915.71"/>
    <n v="1499.19"/>
    <n v="376.78"/>
    <n v="629.80999999999995"/>
    <n v="2.14"/>
    <n v="65446.990000002086"/>
  </r>
  <r>
    <x v="5"/>
    <x v="6"/>
    <x v="13"/>
    <n v="8"/>
    <x v="4"/>
    <n v="52020601"/>
    <s v="IMPUESTOS Y CONTRIBUCIONES                                            "/>
    <n v="4399.82"/>
    <n v="204.51"/>
    <n v="787.75"/>
    <n v="2118.1999999999998"/>
    <n v="258.75"/>
    <n v="18016.45"/>
    <n v="267.89999999999998"/>
    <n v="20972.12"/>
    <n v="15915.71"/>
    <n v="1499.19"/>
    <n v="376.78"/>
    <n v="629.80999999999995"/>
    <n v="272"/>
    <n v="65446.990000002086"/>
  </r>
  <r>
    <x v="5"/>
    <x v="6"/>
    <x v="13"/>
    <n v="12"/>
    <x v="0"/>
    <n v="520206010001"/>
    <s v="Impuestos  municipales                                                "/>
    <n v="3932.52"/>
    <n v="0"/>
    <n v="550"/>
    <n v="1854.84"/>
    <n v="0"/>
    <n v="17346.060000000001"/>
    <n v="0"/>
    <n v="20662.580000000002"/>
    <n v="0"/>
    <n v="0"/>
    <n v="344.23"/>
    <n v="0"/>
    <n v="2279.79"/>
    <n v="44690.230000004172"/>
  </r>
  <r>
    <x v="5"/>
    <x v="6"/>
    <x v="13"/>
    <n v="12"/>
    <x v="0"/>
    <n v="520206010002"/>
    <s v="Impuesto Cuerpo de Bomberos                                           "/>
    <n v="0"/>
    <n v="0"/>
    <n v="0"/>
    <n v="0"/>
    <n v="0"/>
    <n v="414"/>
    <n v="0"/>
    <n v="0"/>
    <n v="0"/>
    <n v="1224"/>
    <n v="0"/>
    <n v="0"/>
    <n v="37962.379999999997"/>
    <n v="1638"/>
  </r>
  <r>
    <x v="5"/>
    <x v="6"/>
    <x v="13"/>
    <n v="12"/>
    <x v="0"/>
    <n v="520206010004"/>
    <s v="Contribuciones  Super de Compania                                     "/>
    <n v="0"/>
    <n v="0"/>
    <n v="0"/>
    <n v="0"/>
    <n v="0"/>
    <n v="0"/>
    <n v="0"/>
    <n v="0"/>
    <n v="15627.28"/>
    <n v="0"/>
    <n v="0"/>
    <n v="0"/>
    <n v="37962.379999999997"/>
    <n v="15627.280000001192"/>
  </r>
  <r>
    <x v="5"/>
    <x v="6"/>
    <x v="13"/>
    <n v="12"/>
    <x v="0"/>
    <n v="520206010005"/>
    <s v="Contribucion Solca                                                    "/>
    <n v="0.38"/>
    <n v="0"/>
    <n v="0.69"/>
    <n v="0"/>
    <n v="0"/>
    <n v="0"/>
    <n v="0.31"/>
    <n v="0.76"/>
    <n v="0"/>
    <n v="0"/>
    <n v="0.05"/>
    <n v="0"/>
    <n v="6144.12"/>
    <n v="2.1899999976158142"/>
  </r>
  <r>
    <x v="5"/>
    <x v="6"/>
    <x v="13"/>
    <n v="12"/>
    <x v="0"/>
    <n v="520206010006"/>
    <s v="Impuesto salida de divisa                                             "/>
    <n v="247.5"/>
    <n v="0"/>
    <n v="24.5"/>
    <n v="0"/>
    <n v="0"/>
    <n v="0"/>
    <n v="0"/>
    <n v="0"/>
    <n v="0"/>
    <n v="0"/>
    <n v="32.5"/>
    <n v="0"/>
    <n v="3056.07"/>
    <n v="304.5"/>
  </r>
  <r>
    <x v="5"/>
    <x v="6"/>
    <x v="13"/>
    <n v="12"/>
    <x v="0"/>
    <n v="520206010008"/>
    <s v="Tasa de recoleccion de basura                                         "/>
    <n v="219.42"/>
    <n v="204.51"/>
    <n v="212.56"/>
    <n v="263.36"/>
    <n v="258.75"/>
    <n v="256.39"/>
    <n v="267.58999999999997"/>
    <n v="308.77999999999997"/>
    <n v="288.43"/>
    <n v="275.19"/>
    <n v="0"/>
    <n v="629.80999999999995"/>
    <n v="1047.51"/>
    <n v="3184.7900000065565"/>
  </r>
  <r>
    <x v="5"/>
    <x v="6"/>
    <x v="13"/>
    <n v="6"/>
    <x v="3"/>
    <n v="520207"/>
    <s v="DEPRECIACIONES:                                                       "/>
    <n v="3717.27"/>
    <n v="3682.82"/>
    <n v="3651.52"/>
    <n v="3651.52"/>
    <n v="4131.53"/>
    <n v="4084.14"/>
    <n v="5045.46"/>
    <n v="4999.75"/>
    <n v="4998.37"/>
    <n v="4997.6400000000003"/>
    <n v="4983.59"/>
    <n v="4912.9799999999996"/>
    <n v="27635.66"/>
    <n v="52856.590000011027"/>
  </r>
  <r>
    <x v="5"/>
    <x v="6"/>
    <x v="14"/>
    <n v="8"/>
    <x v="4"/>
    <n v="52020701"/>
    <s v="PROPIEDADES, PLANTA Y EQUIPO                                          "/>
    <n v="3717.27"/>
    <n v="3682.82"/>
    <n v="3651.52"/>
    <n v="3651.52"/>
    <n v="4131.53"/>
    <n v="4084.14"/>
    <n v="5045.46"/>
    <n v="4999.75"/>
    <n v="4998.37"/>
    <n v="4997.6400000000003"/>
    <n v="4983.59"/>
    <n v="4912.9799999999996"/>
    <n v="79.02"/>
    <n v="52856.590000011027"/>
  </r>
  <r>
    <x v="5"/>
    <x v="6"/>
    <x v="14"/>
    <n v="12"/>
    <x v="0"/>
    <n v="520207010001"/>
    <s v="Gastos de Depreciación de Edificios                                   "/>
    <n v="682.68"/>
    <n v="682.68"/>
    <n v="682.68"/>
    <n v="682.68"/>
    <n v="682.68"/>
    <n v="682.68"/>
    <n v="682.68"/>
    <n v="682.68"/>
    <n v="682.68"/>
    <n v="682.68"/>
    <n v="682.68"/>
    <n v="682.68"/>
    <n v="42874.76"/>
    <n v="8192.1599999964237"/>
  </r>
  <r>
    <x v="5"/>
    <x v="6"/>
    <x v="14"/>
    <n v="12"/>
    <x v="0"/>
    <n v="520207010003"/>
    <s v="Gastos de Depreciaciones de Muebles y Enseres                         "/>
    <n v="364.59"/>
    <n v="363.76"/>
    <n v="362.09"/>
    <n v="362.09"/>
    <n v="386.87"/>
    <n v="339.48"/>
    <n v="296.97000000000003"/>
    <n v="290.8"/>
    <n v="289.42"/>
    <n v="288.69"/>
    <n v="287.55"/>
    <n v="228.74"/>
    <n v="42874.76"/>
    <n v="3861.0499999970198"/>
  </r>
  <r>
    <x v="5"/>
    <x v="6"/>
    <x v="14"/>
    <n v="12"/>
    <x v="0"/>
    <n v="520207010004"/>
    <s v="Gastos de Depreciación de Equipos de computacion                      "/>
    <n v="184.14"/>
    <n v="150.52000000000001"/>
    <n v="120.89"/>
    <n v="120.89"/>
    <n v="120.89"/>
    <n v="120.89"/>
    <n v="102.79"/>
    <n v="63.25"/>
    <n v="63.25"/>
    <n v="63.25"/>
    <n v="50.34"/>
    <n v="38.54"/>
    <n v="6.98"/>
    <n v="1199.6400000080466"/>
  </r>
  <r>
    <x v="5"/>
    <x v="6"/>
    <x v="14"/>
    <n v="12"/>
    <x v="0"/>
    <n v="520207010005"/>
    <s v="Gastos de Depreciación de Vehiculos                                   "/>
    <n v="2477.08"/>
    <n v="2477.08"/>
    <n v="2477.08"/>
    <n v="2477.08"/>
    <n v="2932.31"/>
    <n v="2932.31"/>
    <n v="3954.24"/>
    <n v="3954.24"/>
    <n v="3954.24"/>
    <n v="3954.24"/>
    <n v="3954.24"/>
    <n v="3954.24"/>
    <n v="6.98"/>
    <n v="39498.380000010133"/>
  </r>
  <r>
    <x v="5"/>
    <x v="6"/>
    <x v="14"/>
    <n v="12"/>
    <x v="0"/>
    <n v="520207010007"/>
    <s v="Gastos depreciacion equipos de seguridad                              "/>
    <n v="8.7799999999999994"/>
    <n v="8.7799999999999994"/>
    <n v="8.7799999999999994"/>
    <n v="8.7799999999999994"/>
    <n v="8.7799999999999994"/>
    <n v="8.7799999999999994"/>
    <n v="8.7799999999999994"/>
    <n v="8.7799999999999994"/>
    <n v="8.7799999999999994"/>
    <n v="8.7799999999999994"/>
    <n v="8.7799999999999994"/>
    <n v="8.7799999999999994"/>
    <n v="42867.78"/>
    <n v="105.36000001430511"/>
  </r>
  <r>
    <x v="5"/>
    <x v="7"/>
    <x v="14"/>
    <n v="4"/>
    <x v="2"/>
    <n v="5203"/>
    <s v="GASTOS  FINANCIEROS                                                   "/>
    <n v="1381.86"/>
    <n v="660.63"/>
    <n v="1166.25"/>
    <n v="850.47"/>
    <n v="503.49"/>
    <n v="1013.73"/>
    <n v="13185.71"/>
    <n v="22570.9"/>
    <n v="1336.66"/>
    <n v="882"/>
    <n v="1089.02"/>
    <n v="1428.08"/>
    <n v="9280.76"/>
    <n v="46068.79999999702"/>
  </r>
  <r>
    <x v="5"/>
    <x v="7"/>
    <x v="14"/>
    <n v="6"/>
    <x v="3"/>
    <n v="520301"/>
    <s v="GASTOS FINANCIEROS                                                    "/>
    <n v="1381.86"/>
    <n v="660.63"/>
    <n v="1166.25"/>
    <n v="850.47"/>
    <n v="503.49"/>
    <n v="1013.73"/>
    <n v="13185.71"/>
    <n v="22570.9"/>
    <n v="1336.66"/>
    <n v="882"/>
    <n v="1089.02"/>
    <n v="1428.08"/>
    <n v="33587.019999999997"/>
    <n v="46068.79999999702"/>
  </r>
  <r>
    <x v="5"/>
    <x v="7"/>
    <x v="16"/>
    <n v="8"/>
    <x v="4"/>
    <n v="52030102"/>
    <s v="OTROS GASTOS FINANCIEROS                                              "/>
    <n v="1381.86"/>
    <n v="660.63"/>
    <n v="1166.25"/>
    <n v="850.47"/>
    <n v="503.49"/>
    <n v="1013.73"/>
    <n v="13185.71"/>
    <n v="22570.9"/>
    <n v="1336.66"/>
    <n v="882"/>
    <n v="1089.02"/>
    <n v="1428.08"/>
    <n v="171598.44"/>
    <n v="46068.79999999702"/>
  </r>
  <r>
    <x v="5"/>
    <x v="7"/>
    <x v="16"/>
    <n v="12"/>
    <x v="0"/>
    <n v="520301020001"/>
    <s v="Gastos Bancarios                                                      "/>
    <n v="1381.86"/>
    <n v="660.63"/>
    <n v="1166.25"/>
    <n v="850.47"/>
    <n v="503.49"/>
    <n v="1013.73"/>
    <n v="908.51"/>
    <n v="1261.08"/>
    <n v="1336.66"/>
    <n v="882"/>
    <n v="1089.02"/>
    <n v="1428.08"/>
    <n v="171598.44"/>
    <n v="12481.779999993742"/>
  </r>
  <r>
    <x v="5"/>
    <x v="7"/>
    <x v="16"/>
    <n v="12"/>
    <x v="0"/>
    <n v="520301020002"/>
    <s v="Diferencia en Cambio                                                  "/>
    <n v="0"/>
    <n v="0"/>
    <n v="0"/>
    <n v="0"/>
    <n v="0"/>
    <n v="0"/>
    <n v="12277.2"/>
    <n v="21309.82"/>
    <n v="0"/>
    <n v="0"/>
    <n v="0"/>
    <n v="0"/>
    <n v="171598.44"/>
    <n v="33587.020000003278"/>
  </r>
  <r>
    <x v="5"/>
    <x v="7"/>
    <x v="16"/>
    <n v="2"/>
    <x v="1"/>
    <n v="54"/>
    <s v="OTROS INGRESOS Y EGRESOS                                              "/>
    <n v="-3.63"/>
    <n v="0.61"/>
    <n v="-60.75"/>
    <n v="101470.03"/>
    <n v="-0.04"/>
    <n v="75769.070000000007"/>
    <n v="0.41"/>
    <n v="-3.26"/>
    <n v="-490.03"/>
    <n v="-109.12"/>
    <n v="-53.06"/>
    <n v="0.06"/>
    <n v="-8444.84"/>
    <n v="176520.28999999911"/>
  </r>
  <r>
    <x v="5"/>
    <x v="8"/>
    <x v="16"/>
    <n v="4"/>
    <x v="2"/>
    <n v="5401"/>
    <s v="OTROS INGRESOS                                                        "/>
    <n v="-3.63"/>
    <n v="0.61"/>
    <n v="-60.75"/>
    <n v="101470.03"/>
    <n v="-0.04"/>
    <n v="75769.070000000007"/>
    <n v="0.41"/>
    <n v="-3.26"/>
    <n v="-490.03"/>
    <n v="-109.12"/>
    <n v="-53.06"/>
    <n v="0.06"/>
    <n v="-620.73"/>
    <n v="176520.28999999911"/>
  </r>
  <r>
    <x v="5"/>
    <x v="8"/>
    <x v="16"/>
    <n v="6"/>
    <x v="3"/>
    <n v="540101"/>
    <s v="OTROS INGRESOS                                                        "/>
    <n v="-3.63"/>
    <n v="0.61"/>
    <n v="-60.75"/>
    <n v="101470.03"/>
    <n v="-0.04"/>
    <n v="75769.070000000007"/>
    <n v="0.41"/>
    <n v="-3.26"/>
    <n v="-490.03"/>
    <n v="-109.12"/>
    <n v="-53.06"/>
    <n v="0.06"/>
    <n v="-5083.9399999999996"/>
    <n v="176520.28999999911"/>
  </r>
  <r>
    <x v="5"/>
    <x v="8"/>
    <x v="17"/>
    <n v="8"/>
    <x v="4"/>
    <n v="54010103"/>
    <s v="OTROS INGRESOS                                                        "/>
    <n v="-3.66"/>
    <n v="-0.91"/>
    <n v="-60.86"/>
    <n v="-657.4"/>
    <n v="-0.09"/>
    <n v="-2144.14"/>
    <n v="-0.42"/>
    <n v="-3.32"/>
    <n v="-490.07"/>
    <n v="-109.23"/>
    <n v="-53.6"/>
    <n v="-0.55000000000000004"/>
    <n v="-3246.17"/>
    <n v="-3524.2499999925494"/>
  </r>
  <r>
    <x v="5"/>
    <x v="8"/>
    <x v="17"/>
    <n v="12"/>
    <x v="0"/>
    <n v="540101030008"/>
    <s v="Otros Intereses ganados                                               "/>
    <n v="0"/>
    <n v="0"/>
    <n v="0"/>
    <n v="-620.73"/>
    <n v="0"/>
    <n v="0"/>
    <n v="0"/>
    <n v="0"/>
    <n v="0"/>
    <n v="0"/>
    <n v="0"/>
    <n v="0"/>
    <n v="506"/>
    <n v="-620.72999999672174"/>
  </r>
  <r>
    <x v="5"/>
    <x v="8"/>
    <x v="17"/>
    <n v="12"/>
    <x v="0"/>
    <n v="540101030011"/>
    <s v="Otros ingresos                                                        "/>
    <n v="-3.66"/>
    <n v="-0.91"/>
    <n v="-60.86"/>
    <n v="-36.67"/>
    <n v="-0.09"/>
    <n v="-2144.14"/>
    <n v="-0.42"/>
    <n v="-3.32"/>
    <n v="-996.07"/>
    <n v="-109.23"/>
    <n v="-53.6"/>
    <n v="-0.55000000000000004"/>
    <n v="180043.28"/>
    <n v="-3409.5199999958277"/>
  </r>
  <r>
    <x v="5"/>
    <x v="8"/>
    <x v="17"/>
    <n v="12"/>
    <x v="0"/>
    <n v="540101030012"/>
    <s v="Otros Ingresos  excento -Seguro                                       "/>
    <n v="0"/>
    <n v="0"/>
    <n v="0"/>
    <n v="0"/>
    <n v="0"/>
    <n v="0"/>
    <n v="0"/>
    <n v="0"/>
    <n v="506"/>
    <n v="0"/>
    <n v="0"/>
    <n v="0"/>
    <n v="4.45"/>
    <n v="506"/>
  </r>
  <r>
    <x v="5"/>
    <x v="8"/>
    <x v="18"/>
    <n v="8"/>
    <x v="4"/>
    <n v="54010104"/>
    <s v="OTROS EGRESOS                                                         "/>
    <n v="0.03"/>
    <n v="1.52"/>
    <n v="0.11"/>
    <n v="102127.43"/>
    <n v="0.05"/>
    <n v="77913.210000000006"/>
    <n v="0.83"/>
    <n v="0.06"/>
    <n v="0.04"/>
    <n v="0.11"/>
    <n v="0.54"/>
    <n v="0.61"/>
    <n v="180038.83"/>
    <n v="180044.53999999911"/>
  </r>
  <r>
    <x v="5"/>
    <x v="8"/>
    <x v="18"/>
    <n v="12"/>
    <x v="0"/>
    <n v="540101040009"/>
    <s v="Otros egresos                                                         "/>
    <n v="0.03"/>
    <n v="1.52"/>
    <n v="0.11"/>
    <n v="0.43"/>
    <n v="0.05"/>
    <n v="1.38"/>
    <n v="0.83"/>
    <n v="0.06"/>
    <n v="0.04"/>
    <n v="0.11"/>
    <n v="0.54"/>
    <n v="0.61"/>
    <n v="48000"/>
    <n v="5.7100000008940697"/>
  </r>
  <r>
    <x v="5"/>
    <x v="8"/>
    <x v="18"/>
    <n v="12"/>
    <x v="0"/>
    <n v="540101040013"/>
    <s v="Dada de baja de invetarios                                            "/>
    <n v="0"/>
    <n v="0"/>
    <n v="0"/>
    <n v="102127"/>
    <n v="0"/>
    <n v="77911.83"/>
    <n v="0"/>
    <n v="0"/>
    <n v="0"/>
    <n v="0"/>
    <n v="0"/>
    <n v="0"/>
    <n v="48001"/>
    <n v="180038.82999999821"/>
  </r>
  <r>
    <x v="5"/>
    <x v="8"/>
    <x v="18"/>
    <n v="2"/>
    <x v="1"/>
    <n v="91"/>
    <s v="CUENTAS DE ORDEN DEUDORAS                                             "/>
    <n v="0"/>
    <n v="0"/>
    <n v="0"/>
    <n v="0"/>
    <n v="0"/>
    <n v="48000"/>
    <n v="0"/>
    <n v="0"/>
    <n v="0"/>
    <n v="0"/>
    <n v="0"/>
    <n v="0"/>
    <n v="48002"/>
    <n v="48000"/>
  </r>
  <r>
    <x v="5"/>
    <x v="9"/>
    <x v="18"/>
    <n v="4"/>
    <x v="2"/>
    <n v="9101"/>
    <s v="CUENTAS DE ORDEN DEUDORAS                                             "/>
    <n v="0"/>
    <n v="0"/>
    <n v="0"/>
    <n v="0"/>
    <n v="0"/>
    <n v="48000"/>
    <n v="0"/>
    <n v="0"/>
    <n v="0"/>
    <n v="0"/>
    <n v="0"/>
    <n v="0"/>
    <n v="48003"/>
    <n v="48000"/>
  </r>
  <r>
    <x v="5"/>
    <x v="9"/>
    <x v="18"/>
    <n v="6"/>
    <x v="3"/>
    <n v="910101"/>
    <s v="CUENTAS DE ORDEN DEUDORAS                                             "/>
    <n v="0"/>
    <n v="0"/>
    <n v="0"/>
    <n v="0"/>
    <n v="0"/>
    <n v="48000"/>
    <n v="0"/>
    <n v="0"/>
    <n v="0"/>
    <n v="0"/>
    <n v="0"/>
    <n v="0"/>
    <n v="48004"/>
    <n v="48000"/>
  </r>
  <r>
    <x v="5"/>
    <x v="9"/>
    <x v="18"/>
    <n v="10"/>
    <x v="5"/>
    <n v="9101010001"/>
    <s v="Cheques recibidos en garantía                                         "/>
    <n v="0"/>
    <n v="0"/>
    <n v="0"/>
    <n v="0"/>
    <n v="0"/>
    <n v="48000"/>
    <n v="0"/>
    <n v="0"/>
    <n v="0"/>
    <n v="0"/>
    <n v="0"/>
    <n v="0"/>
    <n v="48005"/>
    <n v="48000"/>
  </r>
  <r>
    <x v="5"/>
    <x v="9"/>
    <x v="18"/>
    <n v="2"/>
    <x v="1"/>
    <n v="92"/>
    <s v="CUENTAS DE ORDEN ACREEDORAS                                           "/>
    <n v="0"/>
    <n v="0"/>
    <n v="0"/>
    <n v="0"/>
    <n v="0"/>
    <n v="-48000"/>
    <n v="0"/>
    <n v="0"/>
    <n v="0"/>
    <n v="0"/>
    <n v="0"/>
    <n v="0"/>
    <n v="48006"/>
    <n v="-48000"/>
  </r>
  <r>
    <x v="5"/>
    <x v="10"/>
    <x v="18"/>
    <n v="4"/>
    <x v="2"/>
    <n v="9201"/>
    <s v="CUENTAS DE ORDEN ACREEDORAS                                           "/>
    <n v="0"/>
    <n v="0"/>
    <n v="0"/>
    <n v="0"/>
    <n v="0"/>
    <n v="-48000"/>
    <n v="0"/>
    <n v="0"/>
    <n v="0"/>
    <n v="0"/>
    <n v="0"/>
    <n v="0"/>
    <n v="48007"/>
    <n v="-48000"/>
  </r>
  <r>
    <x v="5"/>
    <x v="10"/>
    <x v="18"/>
    <n v="6"/>
    <x v="3"/>
    <n v="920101"/>
    <s v="CUENTAS DE ORDEN ACREEDORAS                                           "/>
    <n v="0"/>
    <n v="0"/>
    <n v="0"/>
    <n v="0"/>
    <n v="0"/>
    <n v="-48000"/>
    <n v="0"/>
    <n v="0"/>
    <n v="0"/>
    <n v="0"/>
    <n v="0"/>
    <n v="0"/>
    <n v="48008"/>
    <n v="-48000"/>
  </r>
  <r>
    <x v="5"/>
    <x v="10"/>
    <x v="18"/>
    <n v="10"/>
    <x v="5"/>
    <n v="9201010001"/>
    <s v="Acreedores por cheques recibidos en garantía                          "/>
    <n v="0"/>
    <n v="0"/>
    <n v="0"/>
    <n v="0"/>
    <n v="0"/>
    <n v="-48000"/>
    <n v="0"/>
    <n v="0"/>
    <n v="0"/>
    <n v="0"/>
    <n v="0"/>
    <n v="0"/>
    <n v="48009"/>
    <n v="-48000"/>
  </r>
  <r>
    <x v="6"/>
    <x v="11"/>
    <x v="33"/>
    <m/>
    <x v="6"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3D6F7C-3CCE-4790-80D2-18080A568DD0}" name="TablaDinámica2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11:B30" firstHeaderRow="1" firstDataRow="1" firstDataCol="1" rowPageCount="2" colPageCount="1"/>
  <pivotFields count="21">
    <pivotField axis="axisPage" multipleItemSelectionAllowed="1" showAll="0">
      <items count="8">
        <item h="1" x="0"/>
        <item h="1" x="1"/>
        <item h="1" x="2"/>
        <item h="1" x="3"/>
        <item h="1" x="4"/>
        <item x="5"/>
        <item h="1" x="6"/>
        <item t="default"/>
      </items>
    </pivotField>
    <pivotField axis="axisRow" showAll="0">
      <items count="13">
        <item h="1" x="0"/>
        <item x="2"/>
        <item x="1"/>
        <item x="3"/>
        <item x="6"/>
        <item x="5"/>
        <item x="8"/>
        <item x="7"/>
        <item x="4"/>
        <item h="1" x="11"/>
        <item h="1" x="9"/>
        <item h="1" x="10"/>
        <item t="default"/>
      </items>
    </pivotField>
    <pivotField axis="axisRow" showAll="0">
      <items count="35">
        <item x="1"/>
        <item x="21"/>
        <item x="5"/>
        <item x="7"/>
        <item x="22"/>
        <item x="19"/>
        <item x="23"/>
        <item x="12"/>
        <item x="9"/>
        <item x="27"/>
        <item x="8"/>
        <item x="13"/>
        <item x="29"/>
        <item x="15"/>
        <item x="0"/>
        <item x="24"/>
        <item x="6"/>
        <item x="14"/>
        <item x="10"/>
        <item x="20"/>
        <item x="3"/>
        <item x="2"/>
        <item x="4"/>
        <item x="32"/>
        <item x="18"/>
        <item x="26"/>
        <item x="30"/>
        <item x="16"/>
        <item x="31"/>
        <item x="17"/>
        <item x="28"/>
        <item x="25"/>
        <item x="11"/>
        <item x="33"/>
        <item t="default"/>
      </items>
    </pivotField>
    <pivotField showAll="0"/>
    <pivotField axis="axisPage" multipleItemSelectionAllowed="1" showAll="0">
      <items count="8">
        <item h="1" x="1"/>
        <item h="1" x="2"/>
        <item h="1" x="3"/>
        <item h="1" x="4"/>
        <item x="0"/>
        <item h="1" x="6"/>
        <item h="1"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2">
    <field x="1"/>
    <field x="2"/>
  </rowFields>
  <rowItems count="19">
    <i>
      <x v="4"/>
    </i>
    <i r="1">
      <x v="7"/>
    </i>
    <i r="1">
      <x v="8"/>
    </i>
    <i r="1">
      <x v="10"/>
    </i>
    <i r="1">
      <x v="11"/>
    </i>
    <i r="1">
      <x v="16"/>
    </i>
    <i r="1">
      <x v="17"/>
    </i>
    <i r="1">
      <x v="18"/>
    </i>
    <i r="1">
      <x v="32"/>
    </i>
    <i>
      <x v="5"/>
    </i>
    <i r="1">
      <x v="2"/>
    </i>
    <i r="1">
      <x v="3"/>
    </i>
    <i r="1">
      <x v="16"/>
    </i>
    <i>
      <x v="6"/>
    </i>
    <i r="1">
      <x v="24"/>
    </i>
    <i r="1">
      <x v="29"/>
    </i>
    <i>
      <x v="7"/>
    </i>
    <i r="1">
      <x v="27"/>
    </i>
    <i t="grand">
      <x/>
    </i>
  </rowItems>
  <colItems count="1">
    <i/>
  </colItems>
  <pageFields count="2">
    <pageField fld="4" hier="-1"/>
    <pageField fld="0" hier="-1"/>
  </pageFields>
  <dataFields count="1">
    <dataField name="Suma de Acum YTD" fld="20" baseField="0" baseItem="0"/>
  </dataFields>
  <formats count="3">
    <format dxfId="2">
      <pivotArea dataOnly="0" labelOnly="1" outline="0" fieldPosition="0">
        <references count="1">
          <reference field="0" count="0"/>
        </references>
      </pivotArea>
    </format>
    <format dxfId="1">
      <pivotArea outline="0" collapsedLevelsAreSubtotals="1" fieldPosition="0"/>
    </format>
    <format dxfId="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38D395-ECAB-4AAF-81B4-866C48342937}" name="TablaDinámica1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D11:E31" firstHeaderRow="1" firstDataRow="1" firstDataCol="1" rowPageCount="2" colPageCount="1"/>
  <pivotFields count="21">
    <pivotField axis="axisPage" multipleItemSelectionAllowed="1" showAll="0">
      <items count="8">
        <item h="1" x="0"/>
        <item h="1" x="1"/>
        <item h="1" x="2"/>
        <item h="1" x="3"/>
        <item x="4"/>
        <item h="1" x="5"/>
        <item h="1" x="6"/>
        <item t="default"/>
      </items>
    </pivotField>
    <pivotField axis="axisRow" showAll="0">
      <items count="13">
        <item h="1" x="0"/>
        <item x="2"/>
        <item x="1"/>
        <item x="4"/>
        <item x="3"/>
        <item x="6"/>
        <item x="5"/>
        <item x="8"/>
        <item h="1" x="11"/>
        <item x="7"/>
        <item h="1" x="9"/>
        <item h="1" x="10"/>
        <item t="default"/>
      </items>
    </pivotField>
    <pivotField axis="axisRow" showAll="0" sortType="descending">
      <items count="35">
        <item x="1"/>
        <item x="21"/>
        <item x="7"/>
        <item x="22"/>
        <item x="8"/>
        <item x="19"/>
        <item x="5"/>
        <item x="23"/>
        <item x="9"/>
        <item x="27"/>
        <item x="13"/>
        <item x="29"/>
        <item x="15"/>
        <item x="0"/>
        <item x="24"/>
        <item x="10"/>
        <item x="20"/>
        <item x="6"/>
        <item x="3"/>
        <item x="2"/>
        <item x="4"/>
        <item x="32"/>
        <item x="18"/>
        <item x="26"/>
        <item x="12"/>
        <item x="30"/>
        <item x="16"/>
        <item x="31"/>
        <item x="17"/>
        <item x="28"/>
        <item x="14"/>
        <item x="25"/>
        <item x="11"/>
        <item x="3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axis="axisPage" multipleItemSelectionAllowed="1" showAll="0">
      <items count="8">
        <item h="1" x="1"/>
        <item h="1" x="2"/>
        <item h="1" x="3"/>
        <item h="1" x="4"/>
        <item x="0"/>
        <item h="1" x="6"/>
        <item h="1"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2">
    <field x="1"/>
    <field x="2"/>
  </rowFields>
  <rowItems count="20">
    <i>
      <x v="1"/>
    </i>
    <i r="1">
      <x v="24"/>
    </i>
    <i r="1">
      <x v="8"/>
    </i>
    <i r="1">
      <x v="4"/>
    </i>
    <i r="1">
      <x v="10"/>
    </i>
    <i r="1">
      <x v="17"/>
    </i>
    <i r="1">
      <x v="30"/>
    </i>
    <i r="1">
      <x v="15"/>
    </i>
    <i r="1">
      <x v="32"/>
    </i>
    <i>
      <x v="2"/>
    </i>
    <i r="1">
      <x v="6"/>
    </i>
    <i r="1">
      <x v="2"/>
    </i>
    <i r="1">
      <x v="17"/>
    </i>
    <i>
      <x v="3"/>
    </i>
    <i r="1">
      <x v="22"/>
    </i>
    <i r="1">
      <x v="28"/>
    </i>
    <i>
      <x v="4"/>
    </i>
    <i r="1">
      <x v="12"/>
    </i>
    <i r="1">
      <x v="26"/>
    </i>
    <i t="grand">
      <x/>
    </i>
  </rowItems>
  <colItems count="1">
    <i/>
  </colItems>
  <pageFields count="2">
    <pageField fld="4" hier="-1"/>
    <pageField fld="0" hier="-1"/>
  </pageFields>
  <dataFields count="1">
    <dataField name="Suma de Acum YTD" fld="20" baseField="0" baseItem="0"/>
  </dataFields>
  <formats count="3">
    <format dxfId="5">
      <pivotArea dataOnly="0" labelOnly="1" outline="0" fieldPosition="0">
        <references count="1">
          <reference field="0" count="0"/>
        </references>
      </pivotArea>
    </format>
    <format dxfId="4">
      <pivotArea outline="0" collapsedLevelsAreSubtotals="1" fieldPosition="0"/>
    </format>
    <format dxfId="3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B012272-0F26-4EB5-9D76-EDD97A352B03}" name="Tabla2" displayName="Tabla2" ref="C8:P17" totalsRowShown="0" headerRowDxfId="8" tableBorderDxfId="7">
  <autoFilter ref="C8:P17" xr:uid="{FB012272-0F26-4EB5-9D76-EDD97A352B03}"/>
  <tableColumns count="14">
    <tableColumn id="1" xr3:uid="{A4270979-D287-413E-A679-162B829E2D81}" name="Columna1" dataDxfId="6"/>
    <tableColumn id="2" xr3:uid="{F9324C4F-4EB3-47E2-B288-BE6C66C10478}" name="2020"/>
    <tableColumn id="3" xr3:uid="{37BBBB7C-259C-41FE-B187-5049A939302E}" name="enero"/>
    <tableColumn id="4" xr3:uid="{EDC0B279-35FF-44C7-8076-590BB9D1549F}" name="febrero"/>
    <tableColumn id="5" xr3:uid="{D6C62FDC-4ED3-451E-9269-151C2695E9B8}" name="marzo"/>
    <tableColumn id="6" xr3:uid="{CD970DF7-2909-4B83-B0AF-C2070432F69E}" name="abril"/>
    <tableColumn id="7" xr3:uid="{86C9E000-0343-4B6C-B04B-2E1026FA86E5}" name="mayo"/>
    <tableColumn id="8" xr3:uid="{FB0A7FBF-E7B7-4277-B777-645DBA8475CB}" name="junio"/>
    <tableColumn id="9" xr3:uid="{901E7B6D-88B6-4234-B10A-E0873DD2CF20}" name="julio"/>
    <tableColumn id="10" xr3:uid="{28066D27-C106-4324-ABFD-55B53AB538E9}" name="agosto"/>
    <tableColumn id="11" xr3:uid="{1E4C2726-E007-4A7B-BDB8-04CFCAC61E73}" name="Septiembre"/>
    <tableColumn id="12" xr3:uid="{4E62A67C-A63A-4D34-ACAA-4E1A4A67433F}" name="Octubre"/>
    <tableColumn id="13" xr3:uid="{BA2473AA-2067-43B7-A1EB-59C348FD601B}" name="Noviembre"/>
    <tableColumn id="14" xr3:uid="{9B3D916E-70EA-4480-A966-79D9C08E794E}" name="Diciembre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8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5E26F-BEEB-4BCF-9431-C01B0D96C5A7}">
  <dimension ref="A1:R1"/>
  <sheetViews>
    <sheetView topLeftCell="A19" workbookViewId="0">
      <selection activeCell="J2" sqref="J2"/>
    </sheetView>
  </sheetViews>
  <sheetFormatPr baseColWidth="10" defaultRowHeight="15" x14ac:dyDescent="0.25"/>
  <sheetData>
    <row r="1" spans="1:18" ht="21" thickBot="1" x14ac:dyDescent="0.35">
      <c r="A1" s="398" t="s">
        <v>0</v>
      </c>
      <c r="B1" s="399"/>
      <c r="C1" s="399"/>
      <c r="D1" s="399"/>
      <c r="E1" s="399"/>
      <c r="F1" s="399"/>
      <c r="G1" s="399"/>
      <c r="H1" s="399"/>
      <c r="I1" s="399"/>
      <c r="J1" s="399"/>
      <c r="K1" s="399"/>
      <c r="L1" s="399"/>
      <c r="M1" s="399"/>
      <c r="N1" s="399"/>
      <c r="O1" s="399"/>
      <c r="P1" s="399"/>
      <c r="Q1" s="399"/>
      <c r="R1" s="400"/>
    </row>
  </sheetData>
  <mergeCells count="1">
    <mergeCell ref="A1:R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36ADB-9D75-4772-910B-41A3CB15D9AF}">
  <dimension ref="A1:L17"/>
  <sheetViews>
    <sheetView workbookViewId="0">
      <selection sqref="A1:XFD1048576"/>
    </sheetView>
  </sheetViews>
  <sheetFormatPr baseColWidth="10" defaultRowHeight="15" x14ac:dyDescent="0.25"/>
  <cols>
    <col min="1" max="1" width="20.28515625" bestFit="1" customWidth="1"/>
    <col min="3" max="3" width="8.85546875" bestFit="1" customWidth="1"/>
    <col min="4" max="4" width="11.85546875" customWidth="1"/>
    <col min="5" max="5" width="10.85546875" customWidth="1"/>
    <col min="6" max="6" width="1.85546875" customWidth="1"/>
    <col min="7" max="7" width="20.28515625" bestFit="1" customWidth="1"/>
    <col min="9" max="9" width="7.85546875" bestFit="1" customWidth="1"/>
    <col min="12" max="12" width="2.28515625" customWidth="1"/>
  </cols>
  <sheetData>
    <row r="1" spans="1:12" x14ac:dyDescent="0.25">
      <c r="B1" s="255">
        <f>+[1]Cabecera!C6</f>
        <v>57</v>
      </c>
      <c r="C1" s="256">
        <f>+B1+2</f>
        <v>59</v>
      </c>
      <c r="D1" s="256">
        <f>+C1+1</f>
        <v>60</v>
      </c>
      <c r="E1" s="256">
        <f>+D1+1</f>
        <v>61</v>
      </c>
      <c r="F1" s="3"/>
      <c r="G1" s="255"/>
      <c r="H1" s="255">
        <f>+[1]Cabecera!C7</f>
        <v>117</v>
      </c>
      <c r="I1" s="256">
        <f>+H1+2</f>
        <v>119</v>
      </c>
      <c r="J1" s="256">
        <f>+I1+1</f>
        <v>120</v>
      </c>
      <c r="K1" s="256">
        <f>+J1+1</f>
        <v>121</v>
      </c>
      <c r="L1" s="3"/>
    </row>
    <row r="2" spans="1:12" x14ac:dyDescent="0.25">
      <c r="B2" s="3"/>
      <c r="C2" s="3"/>
      <c r="D2" s="3"/>
      <c r="E2" s="3"/>
      <c r="F2" s="3"/>
      <c r="G2" s="3"/>
      <c r="H2" s="3"/>
      <c r="I2" s="3"/>
      <c r="J2" s="3"/>
      <c r="K2" s="3"/>
      <c r="L2" s="3"/>
    </row>
    <row r="4" spans="1:12" ht="15.75" thickBot="1" x14ac:dyDescent="0.3"/>
    <row r="5" spans="1:12" ht="16.5" thickBot="1" x14ac:dyDescent="0.3">
      <c r="A5" s="434" t="s">
        <v>132</v>
      </c>
      <c r="B5" s="435"/>
      <c r="C5" s="435"/>
      <c r="D5" s="435"/>
      <c r="E5" s="435"/>
      <c r="F5" s="435"/>
      <c r="G5" s="435"/>
      <c r="H5" s="435"/>
      <c r="I5" s="435"/>
      <c r="J5" s="435"/>
      <c r="K5" s="436"/>
    </row>
    <row r="6" spans="1:12" x14ac:dyDescent="0.25">
      <c r="A6" s="437"/>
      <c r="B6" s="438"/>
      <c r="C6" s="257"/>
      <c r="D6" s="257"/>
      <c r="E6" s="257"/>
      <c r="F6" s="257"/>
      <c r="G6" s="257"/>
      <c r="H6" s="257"/>
      <c r="I6" s="257"/>
      <c r="J6" s="257"/>
      <c r="K6" s="257"/>
    </row>
    <row r="7" spans="1:12" ht="15.75" thickBot="1" x14ac:dyDescent="0.3">
      <c r="A7" s="437" t="s">
        <v>3</v>
      </c>
      <c r="B7" s="438"/>
      <c r="C7" s="257"/>
      <c r="D7" s="257"/>
      <c r="E7" s="257"/>
      <c r="F7" s="257"/>
      <c r="G7" s="257"/>
      <c r="H7" s="257"/>
      <c r="I7" s="257"/>
      <c r="J7" s="257"/>
      <c r="K7" s="257"/>
    </row>
    <row r="8" spans="1:12" ht="16.5" thickBot="1" x14ac:dyDescent="0.3">
      <c r="A8" s="439">
        <f>+[1]Cabecera!B6</f>
        <v>44171</v>
      </c>
      <c r="B8" s="440"/>
      <c r="C8" s="440"/>
      <c r="D8" s="440"/>
      <c r="E8" s="441"/>
      <c r="F8" s="258"/>
      <c r="G8" s="439">
        <f>+[1]Cabecera!B7</f>
        <v>44531</v>
      </c>
      <c r="H8" s="440"/>
      <c r="I8" s="440"/>
      <c r="J8" s="440"/>
      <c r="K8" s="441"/>
    </row>
    <row r="9" spans="1:12" ht="15.75" thickBot="1" x14ac:dyDescent="0.3">
      <c r="A9" s="257"/>
      <c r="B9" s="259"/>
      <c r="C9" s="260"/>
      <c r="D9" s="257"/>
      <c r="E9" s="257"/>
      <c r="F9" s="257"/>
      <c r="G9" s="257"/>
      <c r="H9" s="257"/>
      <c r="I9" s="257"/>
      <c r="J9" s="257"/>
      <c r="K9" s="257"/>
    </row>
    <row r="10" spans="1:12" ht="26.25" thickBot="1" x14ac:dyDescent="0.3">
      <c r="A10" s="261" t="s">
        <v>133</v>
      </c>
      <c r="B10" s="262" t="s">
        <v>134</v>
      </c>
      <c r="C10" s="263" t="s">
        <v>135</v>
      </c>
      <c r="D10" s="263" t="s">
        <v>136</v>
      </c>
      <c r="E10" s="264" t="s">
        <v>137</v>
      </c>
      <c r="F10" s="265"/>
      <c r="G10" s="261" t="s">
        <v>133</v>
      </c>
      <c r="H10" s="262" t="s">
        <v>134</v>
      </c>
      <c r="I10" s="263" t="s">
        <v>135</v>
      </c>
      <c r="J10" s="263" t="s">
        <v>136</v>
      </c>
      <c r="K10" s="264" t="s">
        <v>137</v>
      </c>
    </row>
    <row r="11" spans="1:12" x14ac:dyDescent="0.25">
      <c r="A11" s="266" t="s">
        <v>138</v>
      </c>
      <c r="B11" s="267">
        <f>IF(ISNA(VLOOKUP($A11,base83,+B$1,FALSE))=FALSE,VLOOKUP($A11,base83,+B$1,FALSE),0)/1000</f>
        <v>2213.59</v>
      </c>
      <c r="C11" s="267">
        <f t="shared" ref="C11:E15" si="0">IF(ISNA(VLOOKUP($A11,base83,+C$1,FALSE))=FALSE,VLOOKUP($A11,base83,+C$1,FALSE),0)</f>
        <v>42</v>
      </c>
      <c r="D11" s="267">
        <f t="shared" si="0"/>
        <v>248007</v>
      </c>
      <c r="E11" s="268">
        <f t="shared" si="0"/>
        <v>0.11</v>
      </c>
      <c r="F11" s="257"/>
      <c r="G11" s="266" t="s">
        <v>138</v>
      </c>
      <c r="H11" s="267">
        <f>IF(ISNA(VLOOKUP($A11,base83,+H$1,FALSE))=FALSE,VLOOKUP($A11,base83,+H$1,FALSE),0)/1000</f>
        <v>1846.4839999999999</v>
      </c>
      <c r="I11" s="267">
        <f t="shared" ref="I11:K15" si="1">IF(ISNA(VLOOKUP($A11,base83,+I$1,FALSE))=FALSE,VLOOKUP($A11,base83,+I$1,FALSE),0)</f>
        <v>35</v>
      </c>
      <c r="J11" s="267">
        <f t="shared" si="1"/>
        <v>64900</v>
      </c>
      <c r="K11" s="268">
        <f t="shared" si="1"/>
        <v>0.04</v>
      </c>
    </row>
    <row r="12" spans="1:12" x14ac:dyDescent="0.25">
      <c r="A12" s="266" t="s">
        <v>139</v>
      </c>
      <c r="B12" s="267">
        <f>IF(ISNA(VLOOKUP($A12,base83,+B$1,FALSE))=FALSE,VLOOKUP($A12,base83,+B$1,FALSE),0)/1000</f>
        <v>1627.3820000000001</v>
      </c>
      <c r="C12" s="267">
        <f t="shared" si="0"/>
        <v>144</v>
      </c>
      <c r="D12" s="267">
        <f t="shared" si="0"/>
        <v>170080</v>
      </c>
      <c r="E12" s="268">
        <f t="shared" si="0"/>
        <v>0.1</v>
      </c>
      <c r="F12" s="257"/>
      <c r="G12" s="266" t="s">
        <v>139</v>
      </c>
      <c r="H12" s="267">
        <f>IF(ISNA(VLOOKUP($A12,base83,+H$1,FALSE))=FALSE,VLOOKUP($A12,base83,+H$1,FALSE),0)/1000</f>
        <v>1376.6890000000001</v>
      </c>
      <c r="I12" s="267">
        <f t="shared" si="1"/>
        <v>93</v>
      </c>
      <c r="J12" s="267">
        <f t="shared" si="1"/>
        <v>185442</v>
      </c>
      <c r="K12" s="268">
        <f t="shared" si="1"/>
        <v>0.13</v>
      </c>
    </row>
    <row r="13" spans="1:12" x14ac:dyDescent="0.25">
      <c r="A13" s="266" t="s">
        <v>140</v>
      </c>
      <c r="B13" s="267">
        <f>IF(ISNA(VLOOKUP($A13,base83,+B$1,FALSE))=FALSE,VLOOKUP($A13,base83,+B$1,FALSE),0)/1000</f>
        <v>438.91300000000001</v>
      </c>
      <c r="C13" s="267">
        <f t="shared" si="0"/>
        <v>105</v>
      </c>
      <c r="D13" s="267">
        <f t="shared" si="0"/>
        <v>21270</v>
      </c>
      <c r="E13" s="268">
        <f t="shared" si="0"/>
        <v>0.05</v>
      </c>
      <c r="F13" s="257"/>
      <c r="G13" s="266" t="s">
        <v>140</v>
      </c>
      <c r="H13" s="267">
        <f>IF(ISNA(VLOOKUP($A13,base83,+H$1,FALSE))=FALSE,VLOOKUP($A13,base83,+H$1,FALSE),0)/1000</f>
        <v>384.49099999999999</v>
      </c>
      <c r="I13" s="267">
        <f t="shared" si="1"/>
        <v>75</v>
      </c>
      <c r="J13" s="267">
        <f t="shared" si="1"/>
        <v>16492</v>
      </c>
      <c r="K13" s="268">
        <f t="shared" si="1"/>
        <v>0.04</v>
      </c>
    </row>
    <row r="14" spans="1:12" x14ac:dyDescent="0.25">
      <c r="A14" s="266" t="s">
        <v>141</v>
      </c>
      <c r="B14" s="267">
        <f>IF(ISNA(VLOOKUP($A14,base83,+B$1,FALSE))=FALSE,VLOOKUP($A14,base83,+B$1,FALSE),0)/1000</f>
        <v>54.844999999999999</v>
      </c>
      <c r="C14" s="267">
        <f t="shared" si="0"/>
        <v>40</v>
      </c>
      <c r="D14" s="267">
        <f t="shared" si="0"/>
        <v>2412</v>
      </c>
      <c r="E14" s="268">
        <f t="shared" si="0"/>
        <v>0.04</v>
      </c>
      <c r="F14" s="257"/>
      <c r="G14" s="266" t="s">
        <v>141</v>
      </c>
      <c r="H14" s="267">
        <f>IF(ISNA(VLOOKUP($A14,base83,+H$1,FALSE))=FALSE,VLOOKUP($A14,base83,+H$1,FALSE),0)/1000</f>
        <v>88.149000000000001</v>
      </c>
      <c r="I14" s="267">
        <f t="shared" si="1"/>
        <v>50</v>
      </c>
      <c r="J14" s="267">
        <f t="shared" si="1"/>
        <v>1046</v>
      </c>
      <c r="K14" s="268">
        <f t="shared" si="1"/>
        <v>0.01</v>
      </c>
    </row>
    <row r="15" spans="1:12" x14ac:dyDescent="0.25">
      <c r="A15" s="266" t="s">
        <v>142</v>
      </c>
      <c r="B15" s="267">
        <f>IF(ISNA(VLOOKUP($A15,base83,+B$1,FALSE))=FALSE,VLOOKUP($A15,base83,+B$1,FALSE),0)/1000</f>
        <v>25.402000000000001</v>
      </c>
      <c r="C15" s="267">
        <f t="shared" si="0"/>
        <v>9</v>
      </c>
      <c r="D15" s="267">
        <f t="shared" si="0"/>
        <v>982</v>
      </c>
      <c r="E15" s="268">
        <f t="shared" si="0"/>
        <v>0.04</v>
      </c>
      <c r="F15" s="257"/>
      <c r="G15" s="266" t="s">
        <v>142</v>
      </c>
      <c r="H15" s="267">
        <f>IF(ISNA(VLOOKUP($A15,base83,+H$1,FALSE))=FALSE,VLOOKUP($A15,base83,+H$1,FALSE),0)/1000</f>
        <v>21.312000000000001</v>
      </c>
      <c r="I15" s="267">
        <f t="shared" si="1"/>
        <v>4</v>
      </c>
      <c r="J15" s="267">
        <f t="shared" si="1"/>
        <v>16537</v>
      </c>
      <c r="K15" s="268">
        <f t="shared" si="1"/>
        <v>0.78</v>
      </c>
    </row>
    <row r="16" spans="1:12" ht="15.75" thickBot="1" x14ac:dyDescent="0.3">
      <c r="A16" s="266"/>
      <c r="B16" s="267"/>
      <c r="C16" s="269"/>
      <c r="D16" s="269"/>
      <c r="E16" s="270"/>
      <c r="F16" s="257"/>
      <c r="G16" s="266"/>
      <c r="H16" s="267"/>
      <c r="I16" s="269"/>
      <c r="J16" s="269"/>
      <c r="K16" s="270"/>
    </row>
    <row r="17" spans="1:11" ht="15.75" thickBot="1" x14ac:dyDescent="0.3">
      <c r="A17" s="271" t="s">
        <v>143</v>
      </c>
      <c r="B17" s="272">
        <f>SUM(B11:B16)</f>
        <v>4360.1320000000005</v>
      </c>
      <c r="C17" s="273">
        <f>IF(ISNA(VLOOKUP($A17,base83,+C$1,FALSE))=FALSE,VLOOKUP($A17,base83,+C$1,FALSE),0)</f>
        <v>60.703102095264867</v>
      </c>
      <c r="D17" s="273">
        <f>SUM(D11:D16)</f>
        <v>442751</v>
      </c>
      <c r="E17" s="274">
        <f>IF(ISNA(VLOOKUP($A17,base83,+E$1,FALSE))=FALSE,VLOOKUP($A17,base83,+E$1,FALSE),0)</f>
        <v>0.10154532018755395</v>
      </c>
      <c r="F17" s="258"/>
      <c r="G17" s="271" t="s">
        <v>143</v>
      </c>
      <c r="H17" s="272">
        <f>SUM(H11:H16)</f>
        <v>3717.1249999999995</v>
      </c>
      <c r="I17" s="273">
        <f>IF(ISNA(VLOOKUP($A17,base83,+I$1,FALSE))=FALSE,VLOOKUP($A17,base83,+I$1,FALSE),0)</f>
        <v>46</v>
      </c>
      <c r="J17" s="273">
        <f>SUM(J11:J16)</f>
        <v>284417</v>
      </c>
      <c r="K17" s="274">
        <f>IF(ISNA(VLOOKUP($A17,base83,+K$1,FALSE))=FALSE,VLOOKUP($A17,base83,+K$1,FALSE),0)</f>
        <v>0.08</v>
      </c>
    </row>
  </sheetData>
  <mergeCells count="5">
    <mergeCell ref="A5:K5"/>
    <mergeCell ref="A6:B6"/>
    <mergeCell ref="A7:B7"/>
    <mergeCell ref="A8:E8"/>
    <mergeCell ref="G8:K8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662CA-6D3E-45FF-A9BA-5AD0546E73A5}">
  <dimension ref="A1:AF38"/>
  <sheetViews>
    <sheetView topLeftCell="A16" workbookViewId="0">
      <selection activeCell="Z34" sqref="Z34"/>
    </sheetView>
  </sheetViews>
  <sheetFormatPr baseColWidth="10" defaultRowHeight="15" x14ac:dyDescent="0.25"/>
  <cols>
    <col min="1" max="18" width="0.140625" customWidth="1"/>
    <col min="19" max="19" width="16.140625" customWidth="1"/>
    <col min="20" max="32" width="9.85546875" customWidth="1"/>
  </cols>
  <sheetData>
    <row r="1" spans="3:19" hidden="1" x14ac:dyDescent="0.25"/>
    <row r="2" spans="3:19" hidden="1" x14ac:dyDescent="0.25"/>
    <row r="3" spans="3:19" hidden="1" x14ac:dyDescent="0.25"/>
    <row r="7" spans="3:19" ht="15.75" thickBot="1" x14ac:dyDescent="0.3"/>
    <row r="8" spans="3:19" ht="128.25" thickBot="1" x14ac:dyDescent="0.3">
      <c r="C8" s="9" t="s">
        <v>144</v>
      </c>
      <c r="D8" s="275" t="s">
        <v>145</v>
      </c>
      <c r="E8" s="275" t="s">
        <v>146</v>
      </c>
      <c r="F8" s="275" t="s">
        <v>147</v>
      </c>
      <c r="G8" s="275" t="s">
        <v>148</v>
      </c>
      <c r="H8" s="275" t="s">
        <v>149</v>
      </c>
      <c r="I8" s="275" t="s">
        <v>150</v>
      </c>
      <c r="J8" s="275" t="s">
        <v>151</v>
      </c>
      <c r="K8" s="275" t="s">
        <v>152</v>
      </c>
      <c r="L8" s="275" t="s">
        <v>153</v>
      </c>
      <c r="M8" s="275" t="s">
        <v>47</v>
      </c>
      <c r="N8" s="275" t="s">
        <v>48</v>
      </c>
      <c r="O8" s="275" t="s">
        <v>49</v>
      </c>
      <c r="P8" s="276" t="s">
        <v>50</v>
      </c>
      <c r="Q8" s="277"/>
    </row>
    <row r="9" spans="3:19" ht="15.75" thickBot="1" x14ac:dyDescent="0.3">
      <c r="C9" s="71" t="s">
        <v>12</v>
      </c>
      <c r="D9" s="278">
        <f t="shared" ref="D9:P11" si="0">+T32</f>
        <v>4465.5877899999996</v>
      </c>
      <c r="E9" s="278">
        <f t="shared" si="0"/>
        <v>4561.4764500000001</v>
      </c>
      <c r="F9" s="278">
        <f t="shared" si="0"/>
        <v>4787.2235200000005</v>
      </c>
      <c r="G9" s="278">
        <f t="shared" si="0"/>
        <v>4606.6869100000004</v>
      </c>
      <c r="H9" s="278">
        <f t="shared" si="0"/>
        <v>4751.7744499999999</v>
      </c>
      <c r="I9" s="278">
        <f t="shared" si="0"/>
        <v>4860.789060000001</v>
      </c>
      <c r="J9" s="278">
        <f t="shared" si="0"/>
        <v>4950.3661900000006</v>
      </c>
      <c r="K9" s="278">
        <f t="shared" si="0"/>
        <v>5642.4735799999999</v>
      </c>
      <c r="L9" s="278">
        <f t="shared" si="0"/>
        <v>6457.2515000000003</v>
      </c>
      <c r="M9" s="278">
        <f t="shared" si="0"/>
        <v>6438.4210300000004</v>
      </c>
      <c r="N9" s="278">
        <f t="shared" si="0"/>
        <v>6047.4021600000005</v>
      </c>
      <c r="O9" s="278">
        <f t="shared" si="0"/>
        <v>6573.6802700000007</v>
      </c>
      <c r="P9" s="279">
        <f t="shared" si="0"/>
        <v>5919.8885800000007</v>
      </c>
      <c r="Q9" s="280"/>
    </row>
    <row r="10" spans="3:19" ht="15.75" thickBot="1" x14ac:dyDescent="0.3">
      <c r="C10" s="71" t="s">
        <v>13</v>
      </c>
      <c r="D10" s="278">
        <f t="shared" si="0"/>
        <v>5728.3623100000013</v>
      </c>
      <c r="E10" s="278">
        <f t="shared" si="0"/>
        <v>6740.8965200000002</v>
      </c>
      <c r="F10" s="278">
        <f t="shared" si="0"/>
        <v>6894.19265</v>
      </c>
      <c r="G10" s="278">
        <f t="shared" si="0"/>
        <v>7104.5121000000008</v>
      </c>
      <c r="H10" s="278">
        <f t="shared" si="0"/>
        <v>6723.83799</v>
      </c>
      <c r="I10" s="278">
        <f t="shared" si="0"/>
        <v>6584.4177800000007</v>
      </c>
      <c r="J10" s="278">
        <f t="shared" si="0"/>
        <v>7212.5864800000008</v>
      </c>
      <c r="K10" s="278">
        <f t="shared" si="0"/>
        <v>6629.5215400000006</v>
      </c>
      <c r="L10" s="278">
        <f t="shared" si="0"/>
        <v>5869.3073500000019</v>
      </c>
      <c r="M10" s="278">
        <f t="shared" si="0"/>
        <v>5990.1202100000019</v>
      </c>
      <c r="N10" s="278">
        <f t="shared" si="0"/>
        <v>6333.9488400000018</v>
      </c>
      <c r="O10" s="278">
        <f t="shared" si="0"/>
        <v>7228.7989300000017</v>
      </c>
      <c r="P10" s="279">
        <f t="shared" si="0"/>
        <v>8589.7716400000027</v>
      </c>
      <c r="Q10" s="280"/>
    </row>
    <row r="11" spans="3:19" x14ac:dyDescent="0.25">
      <c r="C11" s="71" t="s">
        <v>23</v>
      </c>
      <c r="D11" s="278">
        <f t="shared" si="0"/>
        <v>-3832.4186500000001</v>
      </c>
      <c r="E11" s="278">
        <f t="shared" si="0"/>
        <v>-3264.4911899999997</v>
      </c>
      <c r="F11" s="278">
        <f t="shared" si="0"/>
        <v>-3351.7517500000004</v>
      </c>
      <c r="G11" s="278">
        <f t="shared" si="0"/>
        <v>-3763.4023300000003</v>
      </c>
      <c r="H11" s="278">
        <f t="shared" si="0"/>
        <v>-3371.3021200000007</v>
      </c>
      <c r="I11" s="278">
        <f t="shared" si="0"/>
        <v>-2458.6992200000013</v>
      </c>
      <c r="J11" s="278">
        <f t="shared" si="0"/>
        <v>-3639.9348600000008</v>
      </c>
      <c r="K11" s="278">
        <f t="shared" si="0"/>
        <v>-2722.3495500000008</v>
      </c>
      <c r="L11" s="278">
        <f t="shared" si="0"/>
        <v>-3722.2484800000007</v>
      </c>
      <c r="M11" s="278">
        <f t="shared" si="0"/>
        <v>-3840.7026600000008</v>
      </c>
      <c r="N11" s="278">
        <f t="shared" si="0"/>
        <v>-3465.2804699999997</v>
      </c>
      <c r="O11" s="278">
        <f t="shared" si="0"/>
        <v>-4845.3476299999984</v>
      </c>
      <c r="P11" s="279">
        <f t="shared" si="0"/>
        <v>-5845.5410200000006</v>
      </c>
      <c r="Q11" s="280"/>
    </row>
    <row r="12" spans="3:19" ht="15.75" thickBot="1" x14ac:dyDescent="0.3">
      <c r="C12" s="35" t="s">
        <v>154</v>
      </c>
      <c r="D12" s="281">
        <f t="shared" ref="D12:P12" si="1">+T38</f>
        <v>21793.342000000001</v>
      </c>
      <c r="E12" s="281">
        <f t="shared" si="1"/>
        <v>30250.854029999999</v>
      </c>
      <c r="F12" s="281">
        <f t="shared" si="1"/>
        <v>30250.854029999999</v>
      </c>
      <c r="G12" s="281">
        <f t="shared" si="1"/>
        <v>30250.854029999999</v>
      </c>
      <c r="H12" s="281">
        <f t="shared" si="1"/>
        <v>30250.854029999999</v>
      </c>
      <c r="I12" s="281">
        <f t="shared" si="1"/>
        <v>30250.854029999999</v>
      </c>
      <c r="J12" s="281">
        <f t="shared" si="1"/>
        <v>30250.854029999999</v>
      </c>
      <c r="K12" s="281">
        <f t="shared" si="1"/>
        <v>30250.854029999999</v>
      </c>
      <c r="L12" s="281">
        <f t="shared" si="1"/>
        <v>30250.854029999999</v>
      </c>
      <c r="M12" s="281">
        <f t="shared" si="1"/>
        <v>30250.854029999999</v>
      </c>
      <c r="N12" s="281">
        <f t="shared" si="1"/>
        <v>30250.854029999999</v>
      </c>
      <c r="O12" s="281">
        <f t="shared" si="1"/>
        <v>30250.854029999999</v>
      </c>
      <c r="P12" s="282">
        <f t="shared" si="1"/>
        <v>30250.854029999999</v>
      </c>
      <c r="Q12" s="280"/>
    </row>
    <row r="13" spans="3:19" x14ac:dyDescent="0.25">
      <c r="C13" s="35"/>
      <c r="D13" s="283"/>
      <c r="E13" s="283"/>
      <c r="F13" s="283"/>
      <c r="G13" s="283"/>
      <c r="H13" s="283"/>
      <c r="I13" s="283"/>
      <c r="J13" s="283"/>
      <c r="K13" s="283"/>
      <c r="L13" s="283"/>
      <c r="M13" s="283"/>
      <c r="N13" s="283"/>
      <c r="O13" s="283"/>
      <c r="P13" s="57"/>
    </row>
    <row r="14" spans="3:19" hidden="1" x14ac:dyDescent="0.25">
      <c r="C14" s="35"/>
      <c r="D14" s="283"/>
      <c r="E14" s="283"/>
      <c r="F14" s="283"/>
      <c r="G14" s="283"/>
      <c r="H14" s="283"/>
      <c r="I14" s="283"/>
      <c r="J14" s="283"/>
      <c r="K14" s="283"/>
      <c r="L14" s="283"/>
      <c r="M14" s="283"/>
      <c r="N14" s="283"/>
      <c r="O14" s="283"/>
      <c r="P14" s="57"/>
    </row>
    <row r="15" spans="3:19" ht="15.75" hidden="1" thickBot="1" x14ac:dyDescent="0.3">
      <c r="C15" s="9"/>
      <c r="D15" s="11">
        <v>2013</v>
      </c>
      <c r="E15" s="11">
        <v>2014</v>
      </c>
      <c r="F15" s="11">
        <v>2015</v>
      </c>
      <c r="G15" s="11">
        <v>2016</v>
      </c>
      <c r="H15" s="11">
        <v>2017</v>
      </c>
      <c r="I15" s="11">
        <v>2018</v>
      </c>
      <c r="J15" s="11">
        <v>2019</v>
      </c>
      <c r="K15" s="11">
        <v>2020</v>
      </c>
      <c r="L15" s="11">
        <v>2021</v>
      </c>
      <c r="M15" s="11">
        <v>2021</v>
      </c>
      <c r="N15" s="11">
        <v>2022</v>
      </c>
      <c r="O15" s="11">
        <v>2023</v>
      </c>
      <c r="P15" s="284">
        <v>2024</v>
      </c>
      <c r="Q15" s="277"/>
      <c r="R15" s="277"/>
      <c r="S15" s="277"/>
    </row>
    <row r="16" spans="3:19" x14ac:dyDescent="0.25">
      <c r="C16" s="35" t="s">
        <v>155</v>
      </c>
      <c r="D16" s="248">
        <f t="shared" ref="D16:P16" si="2">+D9+D10+D11</f>
        <v>6361.5314500000022</v>
      </c>
      <c r="E16" s="248">
        <f t="shared" si="2"/>
        <v>8037.8817800000006</v>
      </c>
      <c r="F16" s="248">
        <f t="shared" si="2"/>
        <v>8329.664420000001</v>
      </c>
      <c r="G16" s="248">
        <f t="shared" si="2"/>
        <v>7947.7966799999995</v>
      </c>
      <c r="H16" s="248">
        <f t="shared" si="2"/>
        <v>8104.3103200000005</v>
      </c>
      <c r="I16" s="248">
        <f t="shared" si="2"/>
        <v>8986.5076200000003</v>
      </c>
      <c r="J16" s="248">
        <f t="shared" si="2"/>
        <v>8523.0178100000012</v>
      </c>
      <c r="K16" s="248">
        <f t="shared" si="2"/>
        <v>9549.6455699999988</v>
      </c>
      <c r="L16" s="248">
        <f t="shared" si="2"/>
        <v>8604.3103700000011</v>
      </c>
      <c r="M16" s="248">
        <f t="shared" si="2"/>
        <v>8587.8385800000015</v>
      </c>
      <c r="N16" s="248">
        <f t="shared" si="2"/>
        <v>8916.0705300000027</v>
      </c>
      <c r="O16" s="248">
        <f t="shared" si="2"/>
        <v>8957.1315700000032</v>
      </c>
      <c r="P16" s="285">
        <f t="shared" si="2"/>
        <v>8664.1192000000028</v>
      </c>
      <c r="Q16" s="286"/>
      <c r="R16" s="286"/>
      <c r="S16" s="286"/>
    </row>
    <row r="17" spans="1:32" ht="15.75" thickBot="1" x14ac:dyDescent="0.3">
      <c r="C17" s="35" t="s">
        <v>156</v>
      </c>
      <c r="D17" s="287">
        <f t="shared" ref="D17:P17" si="3">(+D16/D12)</f>
        <v>0.29190252004488354</v>
      </c>
      <c r="E17" s="287">
        <f t="shared" si="3"/>
        <v>0.26570759860296084</v>
      </c>
      <c r="F17" s="287">
        <f t="shared" si="3"/>
        <v>0.27535303339665751</v>
      </c>
      <c r="G17" s="287">
        <f t="shared" si="3"/>
        <v>0.26272966284251381</v>
      </c>
      <c r="H17" s="287">
        <f t="shared" si="3"/>
        <v>0.26790352140018575</v>
      </c>
      <c r="I17" s="287">
        <f t="shared" si="3"/>
        <v>0.29706624517403751</v>
      </c>
      <c r="J17" s="287">
        <f t="shared" si="3"/>
        <v>0.28174470054788076</v>
      </c>
      <c r="K17" s="287">
        <f t="shared" si="3"/>
        <v>0.31568185018940437</v>
      </c>
      <c r="L17" s="287">
        <f t="shared" si="3"/>
        <v>0.2844319820348557</v>
      </c>
      <c r="M17" s="287">
        <f t="shared" si="3"/>
        <v>0.28388747542411125</v>
      </c>
      <c r="N17" s="287">
        <f t="shared" si="3"/>
        <v>0.29473781206830951</v>
      </c>
      <c r="O17" s="287">
        <f t="shared" si="3"/>
        <v>0.2960951634990916</v>
      </c>
      <c r="P17" s="288">
        <f t="shared" si="3"/>
        <v>0.28640907762166751</v>
      </c>
      <c r="Q17" s="289"/>
      <c r="R17" s="289"/>
      <c r="S17" s="289"/>
    </row>
    <row r="20" spans="1:32" x14ac:dyDescent="0.25">
      <c r="D20" s="286"/>
      <c r="E20" s="286"/>
      <c r="F20" s="286"/>
      <c r="G20" s="286"/>
      <c r="H20" s="286"/>
      <c r="I20" s="286"/>
      <c r="J20" s="286"/>
      <c r="K20" s="286"/>
      <c r="L20" s="286"/>
      <c r="M20" s="286"/>
      <c r="N20" s="286"/>
      <c r="O20" s="286"/>
      <c r="P20" s="286"/>
      <c r="Q20" s="286"/>
      <c r="R20" s="286"/>
      <c r="S20" s="286"/>
    </row>
    <row r="23" spans="1:32" ht="15.75" thickBot="1" x14ac:dyDescent="0.3"/>
    <row r="24" spans="1:32" ht="15.75" thickBot="1" x14ac:dyDescent="0.3">
      <c r="Q24" s="290"/>
      <c r="AD24" t="s">
        <v>157</v>
      </c>
    </row>
    <row r="26" spans="1:32" x14ac:dyDescent="0.25">
      <c r="A26" s="61">
        <v>1010205</v>
      </c>
      <c r="B26" s="61"/>
    </row>
    <row r="27" spans="1:32" x14ac:dyDescent="0.25">
      <c r="A27" s="61">
        <v>10103</v>
      </c>
      <c r="B27" s="61"/>
    </row>
    <row r="28" spans="1:32" x14ac:dyDescent="0.25">
      <c r="A28" s="61">
        <v>2010301</v>
      </c>
      <c r="B28" s="61">
        <v>2010302</v>
      </c>
    </row>
    <row r="29" spans="1:32" ht="3" customHeight="1" thickBot="1" x14ac:dyDescent="0.3">
      <c r="A29" s="61">
        <v>101020801</v>
      </c>
    </row>
    <row r="30" spans="1:32" ht="15.75" thickBot="1" x14ac:dyDescent="0.3">
      <c r="S30" s="35" t="s">
        <v>158</v>
      </c>
      <c r="T30" s="291">
        <v>2020</v>
      </c>
      <c r="U30" s="442">
        <v>2021</v>
      </c>
      <c r="V30" s="443"/>
      <c r="W30" s="443"/>
      <c r="X30" s="443"/>
      <c r="Y30" s="443"/>
      <c r="Z30" s="443"/>
      <c r="AA30" s="443"/>
      <c r="AB30" s="443"/>
      <c r="AC30" s="443"/>
      <c r="AD30" s="443"/>
      <c r="AE30" s="443"/>
      <c r="AF30" s="444"/>
    </row>
    <row r="31" spans="1:32" ht="24" customHeight="1" thickBot="1" x14ac:dyDescent="0.3">
      <c r="S31" s="9"/>
      <c r="T31" s="11" t="s">
        <v>50</v>
      </c>
      <c r="U31" s="11" t="s">
        <v>146</v>
      </c>
      <c r="V31" s="11" t="s">
        <v>147</v>
      </c>
      <c r="W31" s="11" t="s">
        <v>148</v>
      </c>
      <c r="X31" s="11" t="s">
        <v>149</v>
      </c>
      <c r="Y31" s="11" t="s">
        <v>150</v>
      </c>
      <c r="Z31" s="11" t="s">
        <v>151</v>
      </c>
      <c r="AA31" s="11" t="s">
        <v>152</v>
      </c>
      <c r="AB31" s="11" t="s">
        <v>153</v>
      </c>
      <c r="AC31" s="11" t="s">
        <v>159</v>
      </c>
      <c r="AD31" s="11" t="s">
        <v>160</v>
      </c>
      <c r="AE31" s="11" t="s">
        <v>161</v>
      </c>
      <c r="AF31" s="11" t="s">
        <v>162</v>
      </c>
    </row>
    <row r="32" spans="1:32" x14ac:dyDescent="0.25">
      <c r="S32" s="240" t="s">
        <v>12</v>
      </c>
      <c r="T32" s="292">
        <f>IF(ISNA(VLOOKUP($A26,base74,29,FALSE))=FALSE,VLOOKUP($A26,base74,29,FALSE),0)/1000</f>
        <v>4465.5877899999996</v>
      </c>
      <c r="U32" s="292">
        <f>IF(ISNA(VLOOKUP($A26,base75,18,FALSE))=FALSE,VLOOKUP($A26,base75,18,FALSE),0)/1000</f>
        <v>4561.4764500000001</v>
      </c>
      <c r="V32" s="292">
        <f>IF(ISNA(VLOOKUP($A26,base75,19,FALSE))=FALSE,VLOOKUP($A26,base75,19,FALSE),0)/1000</f>
        <v>4787.2235200000005</v>
      </c>
      <c r="W32" s="292">
        <f>IF(ISNA(VLOOKUP($A26,base75,20,FALSE))=FALSE,VLOOKUP($A26,base75,20,FALSE),0)/1000</f>
        <v>4606.6869100000004</v>
      </c>
      <c r="X32" s="292">
        <f>IF(ISNA(VLOOKUP($A26,base75,21,FALSE))=FALSE,VLOOKUP($A26,base75,21,FALSE),0)/1000</f>
        <v>4751.7744499999999</v>
      </c>
      <c r="Y32" s="292">
        <f>IF(ISNA(VLOOKUP($A26,base75,22,FALSE))=FALSE,VLOOKUP($A26,base75,22,FALSE),0)/1000</f>
        <v>4860.789060000001</v>
      </c>
      <c r="Z32" s="292">
        <f>IF(ISNA(VLOOKUP($A26,base75,23,FALSE))=FALSE,VLOOKUP($A26,base75,23,FALSE),0)/1000</f>
        <v>4950.3661900000006</v>
      </c>
      <c r="AA32" s="292">
        <f>IF(ISNA(VLOOKUP($A26,base75,24,FALSE))=FALSE,VLOOKUP($A26,base75,24,FALSE),0)/1000</f>
        <v>5642.4735799999999</v>
      </c>
      <c r="AB32" s="292">
        <f>IF(ISNA(VLOOKUP($A26,base75,25,FALSE))=FALSE,VLOOKUP($A26,base75,25,FALSE),0)/1000</f>
        <v>6457.2515000000003</v>
      </c>
      <c r="AC32" s="292">
        <f>IF(ISNA(VLOOKUP($A26,base75,26,FALSE))=FALSE,VLOOKUP($A26,base75,26,FALSE),0)/1000</f>
        <v>6438.4210300000004</v>
      </c>
      <c r="AD32" s="292">
        <f>IF(ISNA(VLOOKUP($A26,base75,27,FALSE))=FALSE,VLOOKUP($A26,base75,27,FALSE),0)/1000</f>
        <v>6047.4021600000005</v>
      </c>
      <c r="AE32" s="292">
        <f>IF(ISNA(VLOOKUP($A26,base75,28,FALSE))=FALSE,VLOOKUP($A26,base75,28,FALSE),0)/1000</f>
        <v>6573.6802700000007</v>
      </c>
      <c r="AF32" s="293">
        <f>IF(ISNA(VLOOKUP($A26,base75,29,FALSE))=FALSE,VLOOKUP($A26,base75,29,FALSE),0)/1000+2105</f>
        <v>5919.8885800000007</v>
      </c>
    </row>
    <row r="33" spans="19:32" x14ac:dyDescent="0.25">
      <c r="S33" s="25" t="s">
        <v>13</v>
      </c>
      <c r="T33" s="292">
        <f>IF(ISNA(VLOOKUP($A27,base74,29,FALSE))=FALSE,VLOOKUP($A27,base74,29,FALSE),0)/1000</f>
        <v>5728.3623100000013</v>
      </c>
      <c r="U33" s="292">
        <f>IF(ISNA(VLOOKUP($A27,base75,18,FALSE))=FALSE,VLOOKUP($A27,base75,18,FALSE),0)/1000</f>
        <v>6740.8965200000002</v>
      </c>
      <c r="V33" s="292">
        <f>IF(ISNA(VLOOKUP($A27,base75,19,FALSE))=FALSE,VLOOKUP($A27,base75,19,FALSE),0)/1000</f>
        <v>6894.19265</v>
      </c>
      <c r="W33" s="292">
        <f>IF(ISNA(VLOOKUP($A27,base75,20,FALSE))=FALSE,VLOOKUP($A27,base75,20,FALSE),0)/1000</f>
        <v>7104.5121000000008</v>
      </c>
      <c r="X33" s="292">
        <f>IF(ISNA(VLOOKUP($A27,base75,21,FALSE))=FALSE,VLOOKUP($A27,base75,21,FALSE),0)/1000</f>
        <v>6723.83799</v>
      </c>
      <c r="Y33" s="292">
        <f>IF(ISNA(VLOOKUP($A27,base75,22,FALSE))=FALSE,VLOOKUP($A27,base75,22,FALSE),0)/1000</f>
        <v>6584.4177800000007</v>
      </c>
      <c r="Z33" s="292">
        <f>IF(ISNA(VLOOKUP($A27,base75,23,FALSE))=FALSE,VLOOKUP($A27,base75,23,FALSE),0)/1000</f>
        <v>7212.5864800000008</v>
      </c>
      <c r="AA33" s="292">
        <f>IF(ISNA(VLOOKUP($A27,base75,24,FALSE))=FALSE,VLOOKUP($A27,base75,24,FALSE),0)/1000</f>
        <v>6629.5215400000006</v>
      </c>
      <c r="AB33" s="292">
        <f>IF(ISNA(VLOOKUP($A27,base75,25,FALSE))=FALSE,VLOOKUP($A27,base75,25,FALSE),0)/1000</f>
        <v>5869.3073500000019</v>
      </c>
      <c r="AC33" s="292">
        <f>IF(ISNA(VLOOKUP($A27,base75,26,FALSE))=FALSE,VLOOKUP($A27,base75,26,FALSE),0)/1000</f>
        <v>5990.1202100000019</v>
      </c>
      <c r="AD33" s="292">
        <f>IF(ISNA(VLOOKUP($A27,base75,27,FALSE))=FALSE,VLOOKUP($A27,base75,27,FALSE),0)/1000</f>
        <v>6333.9488400000018</v>
      </c>
      <c r="AE33" s="292">
        <f>IF(ISNA(VLOOKUP($A27,base75,28,FALSE))=FALSE,VLOOKUP($A27,base75,28,FALSE),0)/1000</f>
        <v>7228.7989300000017</v>
      </c>
      <c r="AF33" s="294">
        <f>IF(ISNA(VLOOKUP($A27,base75,29,FALSE))=FALSE,VLOOKUP($A27,base75,29,FALSE),0)/1000+2900</f>
        <v>8589.7716400000027</v>
      </c>
    </row>
    <row r="34" spans="19:32" x14ac:dyDescent="0.25">
      <c r="S34" s="25" t="s">
        <v>23</v>
      </c>
      <c r="T34" s="292">
        <f>-IF(ISNA(VLOOKUP($A28,base74,29,FALSE))=FALSE,VLOOKUP($A28,base74,29,FALSE),0)/1000-IF(ISNA(VLOOKUP($B28,base74,29,FALSE))=FALSE,VLOOKUP($B28,base74,29,FALSE),0)/1000+IF(ISNA(VLOOKUP($A29,base74,29,FALSE))=FALSE,VLOOKUP($A29,base74,29,FALSE),0)/1000</f>
        <v>-3832.4186500000001</v>
      </c>
      <c r="U34" s="292">
        <f>-IF(ISNA(VLOOKUP($A28,base75,18,FALSE))=FALSE,VLOOKUP($A28,base75,18,FALSE),0)/1000-IF(ISNA(VLOOKUP($B28,base75,18,FALSE))=FALSE,VLOOKUP($B28,base75,18,FALSE),0)/1000+IF(ISNA(VLOOKUP($A29,base75,18,FALSE))=FALSE,VLOOKUP($A29,base75,18,FALSE),0)/1000</f>
        <v>-3264.4911899999997</v>
      </c>
      <c r="V34" s="292">
        <f>-IF(ISNA(VLOOKUP($A28,base75,19,FALSE))=FALSE,VLOOKUP($A28,base75,19,FALSE),0)/1000-IF(ISNA(VLOOKUP($B28,base75,19,FALSE))=FALSE,VLOOKUP($B28,base75,19,FALSE),0)/1000+IF(ISNA(VLOOKUP($A29,base75,19,FALSE))=FALSE,VLOOKUP($A29,base75,19,FALSE),0)/1000</f>
        <v>-3351.7517500000004</v>
      </c>
      <c r="W34" s="292">
        <f>-IF(ISNA(VLOOKUP($A28,base75,20,FALSE))=FALSE,VLOOKUP($A28,base75,20,FALSE),0)/1000-IF(ISNA(VLOOKUP($B28,base75,20,FALSE))=FALSE,VLOOKUP($B28,base75,20,FALSE),0)/1000+IF(ISNA(VLOOKUP($A29,base75,20,FALSE))=FALSE,VLOOKUP($A29,base75,20,FALSE),0)/1000</f>
        <v>-3763.4023300000003</v>
      </c>
      <c r="X34" s="292">
        <f>-IF(ISNA(VLOOKUP($A28,base75,21,FALSE))=FALSE,VLOOKUP($A28,base75,21,FALSE),0)/1000-IF(ISNA(VLOOKUP($B28,base75,21,FALSE))=FALSE,VLOOKUP($B28,base75,21,FALSE),0)/1000+IF(ISNA(VLOOKUP($A29,base75,21,FALSE))=FALSE,VLOOKUP($A29,base75,21,FALSE),0)/1000</f>
        <v>-3371.3021200000007</v>
      </c>
      <c r="Y34" s="292">
        <f>-IF(ISNA(VLOOKUP($A28,base75,22,FALSE))=FALSE,VLOOKUP($A28,base75,22,FALSE),0)/1000-IF(ISNA(VLOOKUP($B28,base75,22,FALSE))=FALSE,VLOOKUP($B28,base75,22,FALSE),0)/1000+IF(ISNA(VLOOKUP($A29,base75,22,FALSE))=FALSE,VLOOKUP($A29,base75,22,FALSE),0)/1000</f>
        <v>-2458.6992200000013</v>
      </c>
      <c r="Z34" s="292">
        <f>-IF(ISNA(VLOOKUP($A28,base75,23,FALSE))=FALSE,VLOOKUP($A28,base75,23,FALSE),0)/1000-IF(ISNA(VLOOKUP($B28,base75,23,FALSE))=FALSE,VLOOKUP($B28,base75,23,FALSE),0)/1000+IF(ISNA(VLOOKUP($A29,base75,23,FALSE))=FALSE,VLOOKUP($A29,base75,23,FALSE),0)/1000</f>
        <v>-3639.9348600000008</v>
      </c>
      <c r="AA34" s="292">
        <f>-IF(ISNA(VLOOKUP($A28,base75,24,FALSE))=FALSE,VLOOKUP($A28,base75,24,FALSE),0)/1000-IF(ISNA(VLOOKUP($B28,base75,24,FALSE))=FALSE,VLOOKUP($B28,base75,24,FALSE),0)/1000+IF(ISNA(VLOOKUP($A29,base75,24,FALSE))=FALSE,VLOOKUP($A29,base75,24,FALSE),0)/1000</f>
        <v>-2722.3495500000008</v>
      </c>
      <c r="AB34" s="292">
        <f>-IF(ISNA(VLOOKUP($A28,base75,25,FALSE))=FALSE,VLOOKUP($A28,base75,25,FALSE),0)/1000-IF(ISNA(VLOOKUP($B28,base75,25,FALSE))=FALSE,VLOOKUP($B28,base75,25,FALSE),0)/1000+IF(ISNA(VLOOKUP($A29,base75,25,FALSE))=FALSE,VLOOKUP($A29,base75,25,FALSE),0)/1000</f>
        <v>-3722.2484800000007</v>
      </c>
      <c r="AC34" s="292">
        <f>-IF(ISNA(VLOOKUP($A28,base75,26,FALSE))=FALSE,VLOOKUP($A28,base75,26,FALSE),0)/1000-IF(ISNA(VLOOKUP($B28,base75,26,FALSE))=FALSE,VLOOKUP($B28,base75,26,FALSE),0)/1000+IF(ISNA(VLOOKUP($A29,base75,26,FALSE))=FALSE,VLOOKUP($A29,base75,26,FALSE),0)/1000</f>
        <v>-3840.7026600000008</v>
      </c>
      <c r="AD34" s="292">
        <f>-IF(ISNA(VLOOKUP($A28,base75,27,FALSE))=FALSE,VLOOKUP($A28,base75,27,FALSE),0)/1000-IF(ISNA(VLOOKUP($B28,base75,27,FALSE))=FALSE,VLOOKUP($B28,base75,27,FALSE),0)/1000+IF(ISNA(VLOOKUP($A29,base75,27,FALSE))=FALSE,VLOOKUP($A29,base75,27,FALSE),0)/1000</f>
        <v>-3465.2804699999997</v>
      </c>
      <c r="AE34" s="292">
        <f>-IF(ISNA(VLOOKUP($A28,base75,28,FALSE))=FALSE,VLOOKUP($A28,base75,28,FALSE),0)/1000-IF(ISNA(VLOOKUP($B28,base75,28,FALSE))=FALSE,VLOOKUP($B28,base75,28,FALSE),0)/1000+IF(ISNA(VLOOKUP($A29,base75,28,FALSE))=FALSE,VLOOKUP($A29,base75,28,FALSE),0)/1000</f>
        <v>-4845.3476299999984</v>
      </c>
      <c r="AF34" s="294">
        <f>-IF(ISNA(VLOOKUP($A28,base75,29,FALSE))=FALSE,VLOOKUP($A28,base75,29,FALSE),0)/1000-IF(ISNA(VLOOKUP($B28,base75,29,FALSE))=FALSE,VLOOKUP($B28,base75,29,FALSE),0)/1000+IF(ISNA(VLOOKUP($A29,base75,29,FALSE))=FALSE,VLOOKUP($A29,base75,29,FALSE),0)/1000</f>
        <v>-5845.5410200000006</v>
      </c>
    </row>
    <row r="35" spans="19:32" x14ac:dyDescent="0.25">
      <c r="S35" s="25" t="s">
        <v>155</v>
      </c>
      <c r="T35" s="295">
        <f>+T32+T33+T34</f>
        <v>6361.5314500000022</v>
      </c>
      <c r="U35" s="295">
        <f>+U32+U33+U34</f>
        <v>8037.8817800000006</v>
      </c>
      <c r="V35" s="295">
        <f t="shared" ref="V35:AF35" si="4">+V32+V33+V34</f>
        <v>8329.664420000001</v>
      </c>
      <c r="W35" s="295">
        <f t="shared" si="4"/>
        <v>7947.7966799999995</v>
      </c>
      <c r="X35" s="295">
        <f t="shared" si="4"/>
        <v>8104.3103200000005</v>
      </c>
      <c r="Y35" s="295">
        <f t="shared" si="4"/>
        <v>8986.5076200000003</v>
      </c>
      <c r="Z35" s="295">
        <f t="shared" si="4"/>
        <v>8523.0178100000012</v>
      </c>
      <c r="AA35" s="295">
        <f t="shared" si="4"/>
        <v>9549.6455699999988</v>
      </c>
      <c r="AB35" s="295">
        <f t="shared" si="4"/>
        <v>8604.3103700000011</v>
      </c>
      <c r="AC35" s="295">
        <f t="shared" si="4"/>
        <v>8587.8385800000015</v>
      </c>
      <c r="AD35" s="295">
        <f t="shared" si="4"/>
        <v>8916.0705300000027</v>
      </c>
      <c r="AE35" s="295">
        <f t="shared" si="4"/>
        <v>8957.1315700000032</v>
      </c>
      <c r="AF35" s="295">
        <f t="shared" si="4"/>
        <v>8664.1192000000028</v>
      </c>
    </row>
    <row r="36" spans="19:32" ht="15.75" thickBot="1" x14ac:dyDescent="0.3">
      <c r="S36" s="31" t="s">
        <v>163</v>
      </c>
      <c r="T36" s="287">
        <f>+T35/T38</f>
        <v>0.29190252004488354</v>
      </c>
      <c r="U36" s="287">
        <f>+U35/U38</f>
        <v>0.26570759860296084</v>
      </c>
      <c r="V36" s="287">
        <f t="shared" ref="V36:AF36" si="5">+V35/V38</f>
        <v>0.27535303339665751</v>
      </c>
      <c r="W36" s="287">
        <f t="shared" si="5"/>
        <v>0.26272966284251381</v>
      </c>
      <c r="X36" s="287">
        <f t="shared" si="5"/>
        <v>0.26790352140018575</v>
      </c>
      <c r="Y36" s="287">
        <f t="shared" si="5"/>
        <v>0.29706624517403751</v>
      </c>
      <c r="Z36" s="287">
        <f t="shared" si="5"/>
        <v>0.28174470054788076</v>
      </c>
      <c r="AA36" s="287">
        <f t="shared" si="5"/>
        <v>0.31568185018940437</v>
      </c>
      <c r="AB36" s="287">
        <f t="shared" si="5"/>
        <v>0.2844319820348557</v>
      </c>
      <c r="AC36" s="287">
        <f t="shared" si="5"/>
        <v>0.28388747542411125</v>
      </c>
      <c r="AD36" s="287">
        <f t="shared" si="5"/>
        <v>0.29473781206830951</v>
      </c>
      <c r="AE36" s="287">
        <f t="shared" si="5"/>
        <v>0.2960951634990916</v>
      </c>
      <c r="AF36" s="287">
        <f t="shared" si="5"/>
        <v>0.28640907762166751</v>
      </c>
    </row>
    <row r="37" spans="19:32" ht="15.75" thickBot="1" x14ac:dyDescent="0.3"/>
    <row r="38" spans="19:32" ht="15.75" thickBot="1" x14ac:dyDescent="0.3">
      <c r="S38" s="38" t="s">
        <v>154</v>
      </c>
      <c r="T38" s="296">
        <f>+'[1]PG Mensual 2020'!AI10</f>
        <v>21793.342000000001</v>
      </c>
      <c r="U38" s="296">
        <f>+'[1]PG Mensual 2021'!AI14</f>
        <v>30250.854029999999</v>
      </c>
      <c r="V38" s="296">
        <f>+U38</f>
        <v>30250.854029999999</v>
      </c>
      <c r="W38" s="296">
        <f t="shared" ref="W38:AF38" si="6">+V38</f>
        <v>30250.854029999999</v>
      </c>
      <c r="X38" s="296">
        <f t="shared" si="6"/>
        <v>30250.854029999999</v>
      </c>
      <c r="Y38" s="296">
        <f t="shared" si="6"/>
        <v>30250.854029999999</v>
      </c>
      <c r="Z38" s="296">
        <f t="shared" si="6"/>
        <v>30250.854029999999</v>
      </c>
      <c r="AA38" s="296">
        <f t="shared" si="6"/>
        <v>30250.854029999999</v>
      </c>
      <c r="AB38" s="296">
        <f t="shared" si="6"/>
        <v>30250.854029999999</v>
      </c>
      <c r="AC38" s="296">
        <f t="shared" si="6"/>
        <v>30250.854029999999</v>
      </c>
      <c r="AD38" s="296">
        <f t="shared" si="6"/>
        <v>30250.854029999999</v>
      </c>
      <c r="AE38" s="296">
        <f t="shared" si="6"/>
        <v>30250.854029999999</v>
      </c>
      <c r="AF38" s="296">
        <f t="shared" si="6"/>
        <v>30250.854029999999</v>
      </c>
    </row>
  </sheetData>
  <mergeCells count="1">
    <mergeCell ref="U30:AF30"/>
  </mergeCells>
  <pageMargins left="0.7" right="0.7" top="0.75" bottom="0.75" header="0.3" footer="0.3"/>
  <drawing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49C93-31E1-48CB-9041-FC0A68D0FE6E}">
  <dimension ref="A1:I38"/>
  <sheetViews>
    <sheetView workbookViewId="0">
      <selection sqref="A1:XFD1048576"/>
    </sheetView>
  </sheetViews>
  <sheetFormatPr baseColWidth="10" defaultColWidth="9.140625" defaultRowHeight="15" x14ac:dyDescent="0.25"/>
  <cols>
    <col min="1" max="1" width="37.7109375" customWidth="1"/>
    <col min="2" max="2" width="9.5703125" customWidth="1"/>
    <col min="3" max="3" width="7.85546875" customWidth="1"/>
    <col min="4" max="4" width="12.140625" bestFit="1" customWidth="1"/>
    <col min="5" max="5" width="7.85546875" customWidth="1"/>
    <col min="6" max="6" width="9.5703125" customWidth="1"/>
    <col min="7" max="7" width="7.85546875" customWidth="1"/>
    <col min="8" max="8" width="2" customWidth="1"/>
    <col min="9" max="9" width="9.7109375" customWidth="1"/>
  </cols>
  <sheetData>
    <row r="1" spans="1:9" ht="21" customHeight="1" thickBot="1" x14ac:dyDescent="0.3">
      <c r="B1">
        <f>+[1]Cabecera!D6</f>
        <v>24</v>
      </c>
      <c r="C1">
        <f>+B1+1</f>
        <v>25</v>
      </c>
      <c r="D1">
        <f>+F1-2</f>
        <v>46</v>
      </c>
      <c r="E1">
        <f>+G1-2</f>
        <v>47</v>
      </c>
      <c r="F1">
        <f>+[1]Cabecera!D7</f>
        <v>48</v>
      </c>
      <c r="G1">
        <f>+F1+1</f>
        <v>49</v>
      </c>
    </row>
    <row r="2" spans="1:9" ht="18.75" thickBot="1" x14ac:dyDescent="0.3">
      <c r="A2" s="445" t="s">
        <v>164</v>
      </c>
      <c r="B2" s="446"/>
      <c r="C2" s="446"/>
      <c r="D2" s="446"/>
      <c r="E2" s="446"/>
      <c r="F2" s="446"/>
      <c r="G2" s="446"/>
      <c r="H2" s="446"/>
      <c r="I2" s="447"/>
    </row>
    <row r="3" spans="1:9" ht="15.75" x14ac:dyDescent="0.25">
      <c r="A3" s="448">
        <f>+[1]Cabecera!B7</f>
        <v>44531</v>
      </c>
      <c r="B3" s="448"/>
      <c r="C3" s="448"/>
      <c r="D3" s="448"/>
      <c r="E3" s="448"/>
      <c r="F3" s="448"/>
      <c r="G3" s="448"/>
      <c r="H3" s="448"/>
      <c r="I3" s="448"/>
    </row>
    <row r="4" spans="1:9" ht="15.75" x14ac:dyDescent="0.25">
      <c r="A4" s="297"/>
      <c r="B4" s="297"/>
      <c r="C4" s="297"/>
      <c r="D4" s="297"/>
      <c r="E4" s="297"/>
      <c r="F4" s="297"/>
      <c r="G4" s="297"/>
      <c r="H4" s="297"/>
      <c r="I4" s="298"/>
    </row>
    <row r="5" spans="1:9" ht="15.75" thickBot="1" x14ac:dyDescent="0.3">
      <c r="A5" s="298"/>
      <c r="B5" s="298"/>
      <c r="C5" s="298"/>
      <c r="D5" s="298"/>
      <c r="E5" s="298"/>
      <c r="F5" s="298"/>
      <c r="G5" s="298"/>
      <c r="H5" s="298"/>
      <c r="I5" s="299"/>
    </row>
    <row r="6" spans="1:9" s="303" customFormat="1" ht="26.25" thickBot="1" x14ac:dyDescent="0.3">
      <c r="A6" s="300" t="s">
        <v>165</v>
      </c>
      <c r="B6" s="301">
        <f>+[1]Cabecera!B6</f>
        <v>44171</v>
      </c>
      <c r="C6" s="302" t="s">
        <v>166</v>
      </c>
      <c r="D6" s="301">
        <f>+F6-30</f>
        <v>44501</v>
      </c>
      <c r="E6" s="302" t="s">
        <v>166</v>
      </c>
      <c r="F6" s="301">
        <f>+[1]Cabecera!B7</f>
        <v>44531</v>
      </c>
      <c r="G6" s="302" t="s">
        <v>166</v>
      </c>
      <c r="I6" s="304" t="s">
        <v>167</v>
      </c>
    </row>
    <row r="7" spans="1:9" ht="6" customHeight="1" thickBot="1" x14ac:dyDescent="0.3">
      <c r="A7" s="298"/>
      <c r="B7" s="298"/>
      <c r="C7" s="298"/>
      <c r="D7" s="298"/>
      <c r="E7" s="298"/>
      <c r="F7" s="298"/>
      <c r="G7" s="298"/>
      <c r="H7" s="298"/>
      <c r="I7" s="298"/>
    </row>
    <row r="8" spans="1:9" x14ac:dyDescent="0.25">
      <c r="A8" s="305" t="s">
        <v>168</v>
      </c>
      <c r="B8" s="306"/>
      <c r="C8" s="307"/>
      <c r="D8" s="306"/>
      <c r="E8" s="307"/>
      <c r="F8" s="306"/>
      <c r="G8" s="308"/>
      <c r="H8" s="298"/>
      <c r="I8" s="309"/>
    </row>
    <row r="9" spans="1:9" x14ac:dyDescent="0.25">
      <c r="A9" s="310"/>
      <c r="B9" s="310"/>
      <c r="C9" s="298"/>
      <c r="D9" s="310"/>
      <c r="E9" s="298"/>
      <c r="F9" s="310"/>
      <c r="G9" s="311"/>
      <c r="H9" s="298"/>
      <c r="I9" s="312"/>
    </row>
    <row r="10" spans="1:9" x14ac:dyDescent="0.25">
      <c r="A10" s="313" t="s">
        <v>169</v>
      </c>
      <c r="B10" s="292">
        <f>IF(ISNA(VLOOKUP($A10,base85,+B$1,FALSE))=FALSE,VLOOKUP($A10,base85,+B$1,FALSE),0)</f>
        <v>3987</v>
      </c>
      <c r="C10" s="314"/>
      <c r="D10" s="292">
        <f>IF(ISNA(VLOOKUP($A10,base85,+D$1,FALSE))=FALSE,VLOOKUP($A10,base85,+D$1,FALSE),0)</f>
        <v>2307</v>
      </c>
      <c r="E10" s="314"/>
      <c r="F10" s="292">
        <f>IF(ISNA(VLOOKUP($A10,base85,+F$1,FALSE))=FALSE,VLOOKUP($A10,base85,+F$1,FALSE),0)</f>
        <v>1580</v>
      </c>
      <c r="G10" s="315"/>
      <c r="H10" s="298"/>
      <c r="I10" s="316">
        <f>+F10/B10-1</f>
        <v>-0.60371206420867818</v>
      </c>
    </row>
    <row r="11" spans="1:9" x14ac:dyDescent="0.25">
      <c r="A11" s="313" t="s">
        <v>170</v>
      </c>
      <c r="B11" s="292">
        <f>IF(ISNA(VLOOKUP($A11,base85,+B$1,FALSE))=FALSE,VLOOKUP($A11,base85,+B$1,FALSE),0)</f>
        <v>414</v>
      </c>
      <c r="C11" s="314"/>
      <c r="D11" s="292">
        <f>IF(ISNA(VLOOKUP($A11,base85,+D$1,FALSE))=FALSE,VLOOKUP($A11,base85,+D$1,FALSE),0)</f>
        <v>1048</v>
      </c>
      <c r="E11" s="314"/>
      <c r="F11" s="292">
        <f>IF(ISNA(VLOOKUP($A11,base85,+F$1,FALSE))=FALSE,VLOOKUP($A11,base85,+F$1,FALSE),0)</f>
        <v>294</v>
      </c>
      <c r="G11" s="315"/>
      <c r="H11" s="298"/>
      <c r="I11" s="316">
        <f>+F11/B11-1</f>
        <v>-0.28985507246376807</v>
      </c>
    </row>
    <row r="12" spans="1:9" ht="5.25" customHeight="1" thickBot="1" x14ac:dyDescent="0.3">
      <c r="A12" s="313"/>
      <c r="B12" s="292"/>
      <c r="C12" s="314"/>
      <c r="D12" s="292"/>
      <c r="E12" s="314"/>
      <c r="F12" s="292"/>
      <c r="G12" s="315"/>
      <c r="H12" s="298"/>
      <c r="I12" s="316"/>
    </row>
    <row r="13" spans="1:9" ht="15.75" thickBot="1" x14ac:dyDescent="0.3">
      <c r="A13" s="317" t="s">
        <v>171</v>
      </c>
      <c r="B13" s="318">
        <f>SUM(B15:B25)</f>
        <v>616</v>
      </c>
      <c r="C13" s="319">
        <f>IF(ISNA(VLOOKUP($A13,base85,+C$1,FALSE))=FALSE,VLOOKUP($A13,base85,+C$1,FALSE),0)</f>
        <v>13</v>
      </c>
      <c r="D13" s="318">
        <f>SUM(D15:D25)</f>
        <v>1200</v>
      </c>
      <c r="E13" s="319">
        <f>IF(ISNA(VLOOKUP($A13,base85,+E$1,FALSE))=FALSE,VLOOKUP($A13,base85,+E$1,FALSE),0)</f>
        <v>21</v>
      </c>
      <c r="F13" s="318">
        <f>SUM(F15:F25)</f>
        <v>1203</v>
      </c>
      <c r="G13" s="320">
        <f>IF(ISNA(VLOOKUP($A13,base85,+G$1,FALSE))=FALSE,VLOOKUP($A13,base85,+G$1,FALSE),0)</f>
        <v>21</v>
      </c>
      <c r="H13" s="298"/>
      <c r="I13" s="321">
        <f>+F13/B13-1</f>
        <v>0.95292207792207795</v>
      </c>
    </row>
    <row r="14" spans="1:9" x14ac:dyDescent="0.25">
      <c r="A14" s="313"/>
      <c r="B14" s="292"/>
      <c r="C14" s="322"/>
      <c r="D14" s="292"/>
      <c r="E14" s="322"/>
      <c r="F14" s="292"/>
      <c r="G14" s="323"/>
      <c r="H14" s="298"/>
      <c r="I14" s="324"/>
    </row>
    <row r="15" spans="1:9" x14ac:dyDescent="0.25">
      <c r="A15" s="325" t="s">
        <v>172</v>
      </c>
      <c r="B15" s="292">
        <f t="shared" ref="B15:G25" si="0">IF(ISNA(VLOOKUP($A15,base85,+B$1,FALSE))=FALSE,VLOOKUP($A15,base85,+B$1,FALSE),0)</f>
        <v>373</v>
      </c>
      <c r="C15" s="326">
        <f t="shared" si="0"/>
        <v>11</v>
      </c>
      <c r="D15" s="292">
        <f t="shared" si="0"/>
        <v>1200</v>
      </c>
      <c r="E15" s="326">
        <f t="shared" si="0"/>
        <v>20.84364722187885</v>
      </c>
      <c r="F15" s="292">
        <f t="shared" si="0"/>
        <v>1203</v>
      </c>
      <c r="G15" s="327">
        <f t="shared" si="0"/>
        <v>20.84364722187885</v>
      </c>
      <c r="H15" s="298"/>
      <c r="I15" s="316">
        <f t="shared" ref="I15:I25" si="1">+F15/B15-1</f>
        <v>2.2252010723860591</v>
      </c>
    </row>
    <row r="16" spans="1:9" x14ac:dyDescent="0.25">
      <c r="A16" s="325" t="s">
        <v>173</v>
      </c>
      <c r="B16" s="292">
        <f t="shared" si="0"/>
        <v>11</v>
      </c>
      <c r="C16" s="326">
        <f t="shared" si="0"/>
        <v>4</v>
      </c>
      <c r="D16" s="292">
        <f t="shared" si="0"/>
        <v>0</v>
      </c>
      <c r="E16" s="326">
        <f t="shared" si="0"/>
        <v>0.77860499872844069</v>
      </c>
      <c r="F16" s="292">
        <f t="shared" si="0"/>
        <v>0</v>
      </c>
      <c r="G16" s="327">
        <f t="shared" si="0"/>
        <v>0.77860499872844069</v>
      </c>
      <c r="H16" s="298"/>
      <c r="I16" s="316">
        <f t="shared" si="1"/>
        <v>-1</v>
      </c>
    </row>
    <row r="17" spans="1:9" x14ac:dyDescent="0.25">
      <c r="A17" s="325" t="s">
        <v>174</v>
      </c>
      <c r="B17" s="292">
        <f t="shared" si="0"/>
        <v>139</v>
      </c>
      <c r="C17" s="326">
        <f t="shared" si="0"/>
        <v>11</v>
      </c>
      <c r="D17" s="292">
        <f t="shared" si="0"/>
        <v>0</v>
      </c>
      <c r="E17" s="326">
        <f t="shared" si="0"/>
        <v>25.536063525378783</v>
      </c>
      <c r="F17" s="292">
        <f t="shared" si="0"/>
        <v>0</v>
      </c>
      <c r="G17" s="327">
        <f t="shared" si="0"/>
        <v>25.536063525378783</v>
      </c>
      <c r="H17" s="298"/>
      <c r="I17" s="316">
        <f t="shared" si="1"/>
        <v>-1</v>
      </c>
    </row>
    <row r="18" spans="1:9" x14ac:dyDescent="0.25">
      <c r="A18" s="325" t="s">
        <v>175</v>
      </c>
      <c r="B18" s="292">
        <f t="shared" si="0"/>
        <v>61</v>
      </c>
      <c r="C18" s="326">
        <f t="shared" si="0"/>
        <v>34</v>
      </c>
      <c r="D18" s="292">
        <f t="shared" si="0"/>
        <v>0</v>
      </c>
      <c r="E18" s="326">
        <f t="shared" si="0"/>
        <v>12.398606947628286</v>
      </c>
      <c r="F18" s="292">
        <f t="shared" si="0"/>
        <v>0</v>
      </c>
      <c r="G18" s="327">
        <f t="shared" si="0"/>
        <v>12.398606947628286</v>
      </c>
      <c r="H18" s="298"/>
      <c r="I18" s="316">
        <f t="shared" si="1"/>
        <v>-1</v>
      </c>
    </row>
    <row r="19" spans="1:9" x14ac:dyDescent="0.25">
      <c r="A19" s="325" t="s">
        <v>176</v>
      </c>
      <c r="B19" s="292">
        <f t="shared" si="0"/>
        <v>0</v>
      </c>
      <c r="C19" s="326">
        <f t="shared" si="0"/>
        <v>1</v>
      </c>
      <c r="D19" s="292">
        <f t="shared" si="0"/>
        <v>0</v>
      </c>
      <c r="E19" s="326">
        <f t="shared" si="0"/>
        <v>48.283137468315523</v>
      </c>
      <c r="F19" s="292">
        <f t="shared" si="0"/>
        <v>0</v>
      </c>
      <c r="G19" s="327">
        <f t="shared" si="0"/>
        <v>48.283137468315523</v>
      </c>
      <c r="H19" s="298"/>
      <c r="I19" s="316" t="e">
        <f t="shared" si="1"/>
        <v>#DIV/0!</v>
      </c>
    </row>
    <row r="20" spans="1:9" x14ac:dyDescent="0.25">
      <c r="A20" s="325" t="s">
        <v>141</v>
      </c>
      <c r="B20" s="292">
        <f t="shared" si="0"/>
        <v>23</v>
      </c>
      <c r="C20" s="326">
        <f t="shared" si="0"/>
        <v>19</v>
      </c>
      <c r="D20" s="292">
        <f t="shared" si="0"/>
        <v>0</v>
      </c>
      <c r="E20" s="326">
        <f t="shared" si="0"/>
        <v>8.4930738982359877</v>
      </c>
      <c r="F20" s="292">
        <f t="shared" si="0"/>
        <v>0</v>
      </c>
      <c r="G20" s="327">
        <f t="shared" si="0"/>
        <v>8.4930738982359877</v>
      </c>
      <c r="H20" s="298"/>
      <c r="I20" s="316">
        <f t="shared" si="1"/>
        <v>-1</v>
      </c>
    </row>
    <row r="21" spans="1:9" x14ac:dyDescent="0.25">
      <c r="A21" s="325" t="s">
        <v>177</v>
      </c>
      <c r="B21" s="292">
        <f t="shared" si="0"/>
        <v>2</v>
      </c>
      <c r="C21" s="326">
        <f t="shared" si="0"/>
        <v>30</v>
      </c>
      <c r="D21" s="292">
        <f t="shared" si="0"/>
        <v>0</v>
      </c>
      <c r="E21" s="326">
        <f t="shared" si="0"/>
        <v>0</v>
      </c>
      <c r="F21" s="292">
        <f t="shared" si="0"/>
        <v>0</v>
      </c>
      <c r="G21" s="327">
        <f t="shared" si="0"/>
        <v>0</v>
      </c>
      <c r="H21" s="298"/>
      <c r="I21" s="316">
        <f t="shared" si="1"/>
        <v>-1</v>
      </c>
    </row>
    <row r="22" spans="1:9" x14ac:dyDescent="0.25">
      <c r="A22" s="325" t="s">
        <v>178</v>
      </c>
      <c r="B22" s="292">
        <f t="shared" si="0"/>
        <v>7</v>
      </c>
      <c r="C22" s="326">
        <f t="shared" si="0"/>
        <v>88</v>
      </c>
      <c r="D22" s="292">
        <f t="shared" si="0"/>
        <v>0</v>
      </c>
      <c r="E22" s="326">
        <f t="shared" si="0"/>
        <v>15.647588489286184</v>
      </c>
      <c r="F22" s="292">
        <f t="shared" si="0"/>
        <v>0</v>
      </c>
      <c r="G22" s="327">
        <f t="shared" si="0"/>
        <v>15.647588489286184</v>
      </c>
      <c r="H22" s="298"/>
      <c r="I22" s="316">
        <f t="shared" si="1"/>
        <v>-1</v>
      </c>
    </row>
    <row r="23" spans="1:9" x14ac:dyDescent="0.25">
      <c r="A23" s="325" t="s">
        <v>179</v>
      </c>
      <c r="B23" s="292">
        <f t="shared" si="0"/>
        <v>0</v>
      </c>
      <c r="C23" s="326">
        <f t="shared" si="0"/>
        <v>0</v>
      </c>
      <c r="D23" s="292">
        <f t="shared" si="0"/>
        <v>0</v>
      </c>
      <c r="E23" s="326">
        <f t="shared" si="0"/>
        <v>0</v>
      </c>
      <c r="F23" s="292">
        <f t="shared" si="0"/>
        <v>0</v>
      </c>
      <c r="G23" s="327">
        <f t="shared" si="0"/>
        <v>0</v>
      </c>
      <c r="H23" s="298"/>
      <c r="I23" s="316" t="e">
        <f t="shared" si="1"/>
        <v>#DIV/0!</v>
      </c>
    </row>
    <row r="24" spans="1:9" x14ac:dyDescent="0.25">
      <c r="A24" s="325" t="s">
        <v>180</v>
      </c>
      <c r="B24" s="292">
        <f t="shared" si="0"/>
        <v>0</v>
      </c>
      <c r="C24" s="326">
        <f t="shared" si="0"/>
        <v>0</v>
      </c>
      <c r="D24" s="292">
        <f t="shared" si="0"/>
        <v>0</v>
      </c>
      <c r="E24" s="326">
        <f t="shared" si="0"/>
        <v>0</v>
      </c>
      <c r="F24" s="292">
        <f t="shared" si="0"/>
        <v>0</v>
      </c>
      <c r="G24" s="327">
        <f t="shared" si="0"/>
        <v>0</v>
      </c>
      <c r="H24" s="298"/>
      <c r="I24" s="316" t="e">
        <f t="shared" si="1"/>
        <v>#DIV/0!</v>
      </c>
    </row>
    <row r="25" spans="1:9" x14ac:dyDescent="0.25">
      <c r="A25" s="325" t="s">
        <v>181</v>
      </c>
      <c r="B25" s="292">
        <f t="shared" si="0"/>
        <v>0</v>
      </c>
      <c r="C25" s="326">
        <f t="shared" si="0"/>
        <v>0</v>
      </c>
      <c r="D25" s="292">
        <f t="shared" si="0"/>
        <v>0</v>
      </c>
      <c r="E25" s="326">
        <f t="shared" si="0"/>
        <v>0</v>
      </c>
      <c r="F25" s="292">
        <f t="shared" si="0"/>
        <v>0</v>
      </c>
      <c r="G25" s="327">
        <f t="shared" si="0"/>
        <v>0</v>
      </c>
      <c r="H25" s="298"/>
      <c r="I25" s="316" t="e">
        <f t="shared" si="1"/>
        <v>#DIV/0!</v>
      </c>
    </row>
    <row r="26" spans="1:9" ht="12.75" customHeight="1" thickBot="1" x14ac:dyDescent="0.3">
      <c r="A26" s="313"/>
      <c r="B26" s="292"/>
      <c r="C26" s="322"/>
      <c r="D26" s="292"/>
      <c r="E26" s="322"/>
      <c r="F26" s="292"/>
      <c r="G26" s="323"/>
      <c r="H26" s="298"/>
      <c r="I26" s="328"/>
    </row>
    <row r="27" spans="1:9" x14ac:dyDescent="0.25">
      <c r="A27" s="329" t="s">
        <v>182</v>
      </c>
      <c r="B27" s="330">
        <f t="shared" ref="B27:B32" si="2">IF(ISNA(VLOOKUP($A27,base85,+B$1,FALSE))=FALSE,VLOOKUP($A27,base85,+B$1,FALSE),0)</f>
        <v>7</v>
      </c>
      <c r="C27" s="331"/>
      <c r="D27" s="330">
        <f t="shared" ref="D27:D32" si="3">IF(ISNA(VLOOKUP($A27,base85,+D$1,FALSE))=FALSE,VLOOKUP($A27,base85,+D$1,FALSE),0)</f>
        <v>43</v>
      </c>
      <c r="E27" s="331"/>
      <c r="F27" s="330">
        <f t="shared" ref="F27:F32" si="4">IF(ISNA(VLOOKUP($A27,base85,+F$1,FALSE))=FALSE,VLOOKUP($A27,base85,+F$1,FALSE),0)</f>
        <v>-43</v>
      </c>
      <c r="G27" s="332"/>
      <c r="H27" s="298"/>
      <c r="I27" s="316">
        <f t="shared" ref="I27:I32" si="5">+F27/B27-1</f>
        <v>-7.1428571428571432</v>
      </c>
    </row>
    <row r="28" spans="1:9" x14ac:dyDescent="0.25">
      <c r="A28" s="313" t="s">
        <v>183</v>
      </c>
      <c r="B28" s="292">
        <f t="shared" si="2"/>
        <v>41</v>
      </c>
      <c r="C28" s="322"/>
      <c r="D28" s="292">
        <f t="shared" si="3"/>
        <v>16</v>
      </c>
      <c r="E28" s="322"/>
      <c r="F28" s="292">
        <f t="shared" si="4"/>
        <v>-14</v>
      </c>
      <c r="G28" s="323"/>
      <c r="H28" s="298"/>
      <c r="I28" s="316">
        <f t="shared" si="5"/>
        <v>-1.3414634146341464</v>
      </c>
    </row>
    <row r="29" spans="1:9" x14ac:dyDescent="0.25">
      <c r="A29" s="313" t="s">
        <v>184</v>
      </c>
      <c r="B29" s="292">
        <f t="shared" si="2"/>
        <v>45</v>
      </c>
      <c r="C29" s="314"/>
      <c r="D29" s="292">
        <f t="shared" si="3"/>
        <v>108</v>
      </c>
      <c r="E29" s="314"/>
      <c r="F29" s="292">
        <f t="shared" si="4"/>
        <v>117</v>
      </c>
      <c r="G29" s="315"/>
      <c r="H29" s="298"/>
      <c r="I29" s="316">
        <f t="shared" si="5"/>
        <v>1.6</v>
      </c>
    </row>
    <row r="30" spans="1:9" x14ac:dyDescent="0.25">
      <c r="A30" s="313" t="s">
        <v>185</v>
      </c>
      <c r="B30" s="292">
        <f t="shared" si="2"/>
        <v>394</v>
      </c>
      <c r="C30" s="314"/>
      <c r="D30" s="292">
        <f t="shared" si="3"/>
        <v>365</v>
      </c>
      <c r="E30" s="314"/>
      <c r="F30" s="292">
        <f t="shared" si="4"/>
        <v>424</v>
      </c>
      <c r="G30" s="315"/>
      <c r="H30" s="298"/>
      <c r="I30" s="316">
        <f t="shared" si="5"/>
        <v>7.6142131979695327E-2</v>
      </c>
    </row>
    <row r="31" spans="1:9" x14ac:dyDescent="0.25">
      <c r="A31" s="313" t="s">
        <v>186</v>
      </c>
      <c r="B31" s="292">
        <f t="shared" si="2"/>
        <v>492</v>
      </c>
      <c r="C31" s="314"/>
      <c r="D31" s="292">
        <f t="shared" si="3"/>
        <v>2140</v>
      </c>
      <c r="E31" s="314"/>
      <c r="F31" s="292">
        <f t="shared" si="4"/>
        <v>2128</v>
      </c>
      <c r="G31" s="315"/>
      <c r="H31" s="298"/>
      <c r="I31" s="316">
        <f t="shared" si="5"/>
        <v>3.3252032520325203</v>
      </c>
    </row>
    <row r="32" spans="1:9" x14ac:dyDescent="0.25">
      <c r="A32" s="313" t="s">
        <v>187</v>
      </c>
      <c r="B32" s="292">
        <f t="shared" si="2"/>
        <v>467</v>
      </c>
      <c r="C32" s="333"/>
      <c r="D32" s="292">
        <f t="shared" si="3"/>
        <v>0</v>
      </c>
      <c r="E32" s="333"/>
      <c r="F32" s="292">
        <f t="shared" si="4"/>
        <v>0</v>
      </c>
      <c r="G32" s="334"/>
      <c r="H32" s="298"/>
      <c r="I32" s="316">
        <f t="shared" si="5"/>
        <v>-1</v>
      </c>
    </row>
    <row r="33" spans="1:9" ht="6.75" customHeight="1" thickBot="1" x14ac:dyDescent="0.3">
      <c r="A33" s="335"/>
      <c r="B33" s="335"/>
      <c r="C33" s="336"/>
      <c r="D33" s="335"/>
      <c r="E33" s="336"/>
      <c r="F33" s="335"/>
      <c r="G33" s="337"/>
      <c r="H33" s="298"/>
      <c r="I33" s="328"/>
    </row>
    <row r="34" spans="1:9" s="35" customFormat="1" ht="13.5" thickBot="1" x14ac:dyDescent="0.25">
      <c r="A34" s="338" t="s">
        <v>188</v>
      </c>
      <c r="B34" s="339">
        <f>+B10+B11+B13+B27+B28+B29+B30+B31+B32</f>
        <v>6463</v>
      </c>
      <c r="C34" s="340">
        <f>IF(ISNA(VLOOKUP($A34,base85,+C$1,FALSE))=FALSE,VLOOKUP($A34,base85,+C$1,FALSE),0)</f>
        <v>131</v>
      </c>
      <c r="D34" s="339">
        <f>+D10+D11+D13+D27+D28+D29+D30+D31+D32</f>
        <v>7227</v>
      </c>
      <c r="E34" s="340">
        <f>IF(ISNA(VLOOKUP($A34,base85,+E$1,FALSE))=FALSE,VLOOKUP($A34,base85,+E$1,FALSE),0)</f>
        <v>136</v>
      </c>
      <c r="F34" s="339">
        <f>+F10+F11+F13+F27+F28+F29+F30+F31+F32</f>
        <v>5689</v>
      </c>
      <c r="G34" s="341">
        <f>IF(ISNA(VLOOKUP($A34,base85,+G$1,FALSE))=FALSE,VLOOKUP($A34,base85,+G$1,FALSE),0)</f>
        <v>136</v>
      </c>
      <c r="H34" s="342"/>
      <c r="I34" s="321">
        <f>+F34/B34-1</f>
        <v>-0.11975862602506571</v>
      </c>
    </row>
    <row r="35" spans="1:9" x14ac:dyDescent="0.25">
      <c r="D35" s="343"/>
    </row>
    <row r="36" spans="1:9" x14ac:dyDescent="0.25">
      <c r="D36" s="344"/>
    </row>
    <row r="37" spans="1:9" x14ac:dyDescent="0.25">
      <c r="D37" s="345"/>
    </row>
    <row r="38" spans="1:9" x14ac:dyDescent="0.25">
      <c r="D38" s="346"/>
    </row>
  </sheetData>
  <mergeCells count="2">
    <mergeCell ref="A2:I2"/>
    <mergeCell ref="A3:I3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3683D-AFF9-43B9-A727-606CF3162834}">
  <dimension ref="A1:AG73"/>
  <sheetViews>
    <sheetView workbookViewId="0">
      <selection sqref="A1:XFD1048576"/>
    </sheetView>
  </sheetViews>
  <sheetFormatPr baseColWidth="10" defaultColWidth="11.42578125" defaultRowHeight="15" x14ac:dyDescent="0.25"/>
  <cols>
    <col min="1" max="1" width="33.5703125" customWidth="1"/>
    <col min="2" max="2" width="1" style="348" customWidth="1"/>
    <col min="3" max="4" width="11.140625" bestFit="1" customWidth="1"/>
    <col min="5" max="5" width="11.7109375" bestFit="1" customWidth="1"/>
    <col min="6" max="6" width="3.28515625" customWidth="1"/>
    <col min="7" max="7" width="13.7109375" customWidth="1"/>
    <col min="8" max="8" width="13" style="388" bestFit="1" customWidth="1"/>
    <col min="9" max="9" width="11.28515625" bestFit="1" customWidth="1"/>
    <col min="10" max="10" width="1" customWidth="1"/>
    <col min="11" max="11" width="12.85546875" bestFit="1" customWidth="1"/>
    <col min="13" max="13" width="3" style="298" customWidth="1"/>
    <col min="14" max="15" width="0" style="298" hidden="1" customWidth="1"/>
    <col min="16" max="33" width="11.42578125" style="298"/>
  </cols>
  <sheetData>
    <row r="1" spans="1:33" ht="15.75" thickBot="1" x14ac:dyDescent="0.3">
      <c r="A1" s="347"/>
      <c r="C1" s="349"/>
      <c r="D1" s="298"/>
      <c r="E1" s="298"/>
      <c r="F1" s="298"/>
      <c r="G1" s="349"/>
      <c r="H1" s="350"/>
      <c r="I1" s="298"/>
      <c r="J1" s="298"/>
      <c r="K1" s="298"/>
      <c r="L1" s="298"/>
    </row>
    <row r="2" spans="1:33" ht="19.5" thickBot="1" x14ac:dyDescent="0.35">
      <c r="A2" s="449" t="s">
        <v>189</v>
      </c>
      <c r="B2" s="450"/>
      <c r="C2" s="450"/>
      <c r="D2" s="450"/>
      <c r="E2" s="450"/>
      <c r="F2" s="450"/>
      <c r="G2" s="450"/>
      <c r="H2" s="450"/>
      <c r="I2" s="450"/>
      <c r="J2" s="450"/>
      <c r="K2" s="450"/>
      <c r="L2" s="451"/>
    </row>
    <row r="3" spans="1:33" ht="15.75" thickBot="1" x14ac:dyDescent="0.3">
      <c r="A3" s="310"/>
      <c r="C3" s="349"/>
      <c r="D3" s="298"/>
      <c r="E3" s="298"/>
      <c r="F3" s="298"/>
      <c r="G3" s="349"/>
      <c r="H3" s="351"/>
      <c r="I3" s="298"/>
      <c r="J3" s="298"/>
      <c r="K3" s="298"/>
      <c r="L3" s="311"/>
    </row>
    <row r="4" spans="1:33" ht="15.75" thickBot="1" x14ac:dyDescent="0.3">
      <c r="A4" s="452"/>
      <c r="B4" s="402"/>
      <c r="C4" s="453">
        <v>2020</v>
      </c>
      <c r="D4" s="454"/>
      <c r="E4" s="455"/>
      <c r="F4" s="352"/>
      <c r="G4" s="453">
        <v>2021</v>
      </c>
      <c r="H4" s="454"/>
      <c r="I4" s="455"/>
      <c r="J4" s="352"/>
      <c r="K4" s="456" t="s">
        <v>190</v>
      </c>
      <c r="L4" s="457"/>
    </row>
    <row r="5" spans="1:33" s="357" customFormat="1" ht="30" customHeight="1" thickBot="1" x14ac:dyDescent="0.3">
      <c r="A5" s="353" t="s">
        <v>191</v>
      </c>
      <c r="B5" s="354"/>
      <c r="C5" s="353" t="s">
        <v>192</v>
      </c>
      <c r="D5" s="353" t="s">
        <v>193</v>
      </c>
      <c r="E5" s="353" t="s">
        <v>194</v>
      </c>
      <c r="F5" s="355"/>
      <c r="G5" s="353" t="s">
        <v>192</v>
      </c>
      <c r="H5" s="353" t="s">
        <v>193</v>
      </c>
      <c r="I5" s="353" t="s">
        <v>194</v>
      </c>
      <c r="J5" s="356"/>
      <c r="K5" s="353" t="s">
        <v>195</v>
      </c>
      <c r="L5" s="353" t="s">
        <v>196</v>
      </c>
      <c r="M5" s="348"/>
      <c r="N5" s="348"/>
      <c r="O5" s="348"/>
      <c r="P5" s="348"/>
      <c r="Q5" s="348"/>
      <c r="R5" s="348"/>
      <c r="S5" s="348"/>
      <c r="T5" s="348"/>
      <c r="U5" s="348"/>
      <c r="V5" s="348"/>
      <c r="W5" s="348"/>
      <c r="X5" s="348"/>
      <c r="Y5" s="348"/>
      <c r="Z5" s="348"/>
      <c r="AA5" s="348"/>
      <c r="AB5" s="348"/>
      <c r="AC5" s="348"/>
      <c r="AD5" s="348"/>
      <c r="AE5" s="348"/>
      <c r="AF5" s="348"/>
      <c r="AG5" s="348"/>
    </row>
    <row r="6" spans="1:33" s="365" customFormat="1" x14ac:dyDescent="0.25">
      <c r="A6" s="358" t="s">
        <v>197</v>
      </c>
      <c r="B6" s="348"/>
      <c r="C6" s="359">
        <v>14721327.892000001</v>
      </c>
      <c r="D6" s="360">
        <v>7602481</v>
      </c>
      <c r="E6" s="361">
        <f>+C6/D6</f>
        <v>1.9363847002051042</v>
      </c>
      <c r="F6" s="362"/>
      <c r="G6" s="359">
        <v>22457212.090999998</v>
      </c>
      <c r="H6" s="360">
        <v>8567968.7599999998</v>
      </c>
      <c r="I6" s="361">
        <f>+G6/H6</f>
        <v>2.6210660566180679</v>
      </c>
      <c r="J6" s="363"/>
      <c r="K6" s="359">
        <f>(+H6-D6)*E6</f>
        <v>1869555.7266992971</v>
      </c>
      <c r="L6" s="364">
        <f>+(I6-E6)*H6</f>
        <v>5866328.472300698</v>
      </c>
      <c r="M6" s="363"/>
      <c r="N6" s="359">
        <f>+C6-G6</f>
        <v>-7735884.1989999972</v>
      </c>
      <c r="O6" s="359">
        <f>+K6+L6+N6</f>
        <v>0</v>
      </c>
      <c r="P6" s="359"/>
      <c r="Q6" s="363"/>
      <c r="R6" s="363"/>
      <c r="S6" s="363"/>
      <c r="T6" s="363"/>
      <c r="U6" s="363"/>
      <c r="V6" s="363"/>
      <c r="W6" s="363"/>
      <c r="X6" s="363"/>
      <c r="Y6" s="363"/>
      <c r="Z6" s="363"/>
      <c r="AA6" s="363"/>
      <c r="AB6" s="363"/>
      <c r="AC6" s="363"/>
      <c r="AD6" s="363"/>
      <c r="AE6" s="363"/>
      <c r="AF6" s="363"/>
      <c r="AG6" s="363"/>
    </row>
    <row r="7" spans="1:33" s="365" customFormat="1" x14ac:dyDescent="0.25">
      <c r="A7" s="358" t="s">
        <v>198</v>
      </c>
      <c r="B7" s="348"/>
      <c r="C7" s="359">
        <v>1797898.2319999977</v>
      </c>
      <c r="D7" s="360">
        <v>621090</v>
      </c>
      <c r="E7" s="361">
        <f t="shared" ref="E7:E22" si="0">+C7/D7</f>
        <v>2.894746706596464</v>
      </c>
      <c r="F7" s="366"/>
      <c r="G7" s="359">
        <f>2108247.65+315169</f>
        <v>2423416.65</v>
      </c>
      <c r="H7" s="360">
        <f>776485.49+116013-60000</f>
        <v>832498.49</v>
      </c>
      <c r="I7" s="361">
        <f t="shared" ref="I7:I22" si="1">+G7/H7</f>
        <v>2.9110162710325156</v>
      </c>
      <c r="J7" s="363"/>
      <c r="K7" s="359">
        <f t="shared" ref="K7:K23" si="2">(+H7-D7)*E7</f>
        <v>611974.0301740315</v>
      </c>
      <c r="L7" s="364">
        <f t="shared" ref="L7:L23" si="3">+(I7-E7)*H7</f>
        <v>13544.387825970611</v>
      </c>
      <c r="M7" s="363"/>
      <c r="N7" s="359">
        <f t="shared" ref="N7:N25" si="4">+C7-G7</f>
        <v>-625518.41800000216</v>
      </c>
      <c r="O7" s="359">
        <f t="shared" ref="O7:O25" si="5">+K7+L7+N7</f>
        <v>0</v>
      </c>
      <c r="P7" s="359"/>
      <c r="Q7" s="363"/>
      <c r="R7" s="363"/>
      <c r="S7" s="363"/>
      <c r="T7" s="363"/>
      <c r="U7" s="363"/>
      <c r="V7" s="363"/>
      <c r="W7" s="363"/>
      <c r="X7" s="363"/>
      <c r="Y7" s="363"/>
      <c r="Z7" s="363"/>
      <c r="AA7" s="363"/>
      <c r="AB7" s="363"/>
      <c r="AC7" s="363"/>
      <c r="AD7" s="363"/>
      <c r="AE7" s="363"/>
      <c r="AF7" s="363"/>
      <c r="AG7" s="363"/>
    </row>
    <row r="8" spans="1:33" s="365" customFormat="1" x14ac:dyDescent="0.25">
      <c r="A8" s="358" t="s">
        <v>199</v>
      </c>
      <c r="B8" s="348"/>
      <c r="C8" s="359">
        <v>1402102.4000000001</v>
      </c>
      <c r="D8" s="360">
        <v>641750</v>
      </c>
      <c r="E8" s="361">
        <f t="shared" si="0"/>
        <v>2.1848109076743283</v>
      </c>
      <c r="F8" s="366"/>
      <c r="G8" s="359">
        <v>2095456.9639999999</v>
      </c>
      <c r="H8" s="360">
        <v>722821.24</v>
      </c>
      <c r="I8" s="361">
        <f t="shared" si="1"/>
        <v>2.8989974948716228</v>
      </c>
      <c r="J8" s="363"/>
      <c r="K8" s="359">
        <f t="shared" si="2"/>
        <v>177125.32945068329</v>
      </c>
      <c r="L8" s="364">
        <f t="shared" si="3"/>
        <v>516229.23454931658</v>
      </c>
      <c r="M8" s="363"/>
      <c r="N8" s="359">
        <f t="shared" si="4"/>
        <v>-693354.56399999978</v>
      </c>
      <c r="O8" s="359">
        <f t="shared" si="5"/>
        <v>0</v>
      </c>
      <c r="P8" s="359"/>
      <c r="Q8" s="363"/>
      <c r="R8" s="363"/>
      <c r="S8" s="363"/>
      <c r="T8" s="363"/>
      <c r="U8" s="363"/>
      <c r="V8" s="363"/>
      <c r="W8" s="363"/>
      <c r="X8" s="363"/>
      <c r="Y8" s="363"/>
      <c r="Z8" s="363"/>
      <c r="AA8" s="363"/>
      <c r="AB8" s="363"/>
      <c r="AC8" s="363"/>
      <c r="AD8" s="363"/>
      <c r="AE8" s="363"/>
      <c r="AF8" s="363"/>
      <c r="AG8" s="363"/>
    </row>
    <row r="9" spans="1:33" s="365" customFormat="1" x14ac:dyDescent="0.25">
      <c r="A9" s="358" t="s">
        <v>200</v>
      </c>
      <c r="B9" s="348"/>
      <c r="C9" s="367">
        <v>477764.77100000042</v>
      </c>
      <c r="D9" s="360">
        <v>88115</v>
      </c>
      <c r="E9" s="361">
        <f t="shared" si="0"/>
        <v>5.4220594790898309</v>
      </c>
      <c r="F9" s="366"/>
      <c r="G9" s="367">
        <v>491587.47</v>
      </c>
      <c r="H9" s="360">
        <f>63264.04</f>
        <v>63264.04</v>
      </c>
      <c r="I9" s="361">
        <f t="shared" si="1"/>
        <v>7.7704090665091883</v>
      </c>
      <c r="J9" s="363"/>
      <c r="K9" s="359">
        <f t="shared" si="2"/>
        <v>-134743.38323248221</v>
      </c>
      <c r="L9" s="364">
        <f t="shared" si="3"/>
        <v>148566.08223248171</v>
      </c>
      <c r="M9" s="363"/>
      <c r="N9" s="359">
        <f t="shared" si="4"/>
        <v>-13822.698999999557</v>
      </c>
      <c r="O9" s="359">
        <f t="shared" si="5"/>
        <v>-5.8207660913467407E-11</v>
      </c>
      <c r="P9" s="359"/>
      <c r="Q9" s="363"/>
      <c r="R9" s="363"/>
      <c r="S9" s="363"/>
      <c r="T9" s="363"/>
      <c r="U9" s="363"/>
      <c r="V9" s="363"/>
      <c r="W9" s="363"/>
      <c r="X9" s="363"/>
      <c r="Y9" s="363"/>
      <c r="Z9" s="363"/>
      <c r="AA9" s="363"/>
      <c r="AB9" s="363"/>
      <c r="AC9" s="363"/>
      <c r="AD9" s="363"/>
      <c r="AE9" s="363"/>
      <c r="AF9" s="363"/>
      <c r="AG9" s="363"/>
    </row>
    <row r="10" spans="1:33" s="365" customFormat="1" x14ac:dyDescent="0.25">
      <c r="A10" s="368" t="s">
        <v>201</v>
      </c>
      <c r="B10" s="348"/>
      <c r="C10" s="359">
        <v>869033.87999999989</v>
      </c>
      <c r="D10" s="360">
        <v>124767</v>
      </c>
      <c r="E10" s="361">
        <f t="shared" si="0"/>
        <v>6.9652542739666732</v>
      </c>
      <c r="F10" s="366"/>
      <c r="G10" s="359">
        <v>1149206.72</v>
      </c>
      <c r="H10" s="360">
        <v>137137.89000000001</v>
      </c>
      <c r="I10" s="361">
        <f t="shared" si="1"/>
        <v>8.3799358441346872</v>
      </c>
      <c r="J10" s="363"/>
      <c r="K10" s="359">
        <f t="shared" si="2"/>
        <v>86166.394445271668</v>
      </c>
      <c r="L10" s="364">
        <f t="shared" si="3"/>
        <v>194006.44555472842</v>
      </c>
      <c r="M10" s="363"/>
      <c r="N10" s="359">
        <f t="shared" si="4"/>
        <v>-280172.84000000008</v>
      </c>
      <c r="O10" s="359">
        <f t="shared" si="5"/>
        <v>0</v>
      </c>
      <c r="P10" s="359"/>
      <c r="Q10" s="363"/>
      <c r="R10" s="363"/>
      <c r="S10" s="363"/>
      <c r="T10" s="363"/>
      <c r="U10" s="363"/>
      <c r="V10" s="363"/>
      <c r="W10" s="363"/>
      <c r="X10" s="363"/>
      <c r="Y10" s="363"/>
      <c r="Z10" s="363"/>
      <c r="AA10" s="363"/>
      <c r="AB10" s="363"/>
      <c r="AC10" s="363"/>
      <c r="AD10" s="363"/>
      <c r="AE10" s="363"/>
      <c r="AF10" s="363"/>
      <c r="AG10" s="363"/>
    </row>
    <row r="11" spans="1:33" s="365" customFormat="1" x14ac:dyDescent="0.25">
      <c r="A11" s="358" t="s">
        <v>202</v>
      </c>
      <c r="B11" s="348"/>
      <c r="C11" s="359">
        <v>175828.60100000005</v>
      </c>
      <c r="D11" s="360">
        <v>74185</v>
      </c>
      <c r="E11" s="361">
        <f t="shared" si="0"/>
        <v>2.370136833591697</v>
      </c>
      <c r="F11" s="366"/>
      <c r="G11" s="359">
        <v>107649.31</v>
      </c>
      <c r="H11" s="360">
        <v>40107.790000000008</v>
      </c>
      <c r="I11" s="361">
        <f t="shared" si="1"/>
        <v>2.6840000408898117</v>
      </c>
      <c r="J11" s="363"/>
      <c r="K11" s="359">
        <f t="shared" si="2"/>
        <v>-80767.650607039293</v>
      </c>
      <c r="L11" s="364">
        <f t="shared" si="3"/>
        <v>12588.359607039254</v>
      </c>
      <c r="M11" s="363"/>
      <c r="N11" s="359">
        <f t="shared" si="4"/>
        <v>68179.291000000056</v>
      </c>
      <c r="O11" s="359">
        <f t="shared" si="5"/>
        <v>0</v>
      </c>
      <c r="P11" s="359"/>
      <c r="Q11" s="363"/>
      <c r="R11" s="363"/>
      <c r="S11" s="363"/>
      <c r="T11" s="363"/>
      <c r="U11" s="363"/>
      <c r="V11" s="363"/>
      <c r="W11" s="363"/>
      <c r="X11" s="363"/>
      <c r="Y11" s="363"/>
      <c r="Z11" s="363"/>
      <c r="AA11" s="363"/>
      <c r="AB11" s="363"/>
      <c r="AC11" s="363"/>
      <c r="AD11" s="363"/>
      <c r="AE11" s="363"/>
      <c r="AF11" s="363"/>
      <c r="AG11" s="363"/>
    </row>
    <row r="12" spans="1:33" s="365" customFormat="1" x14ac:dyDescent="0.25">
      <c r="A12" s="358" t="s">
        <v>203</v>
      </c>
      <c r="B12" s="348"/>
      <c r="C12" s="359">
        <v>96785</v>
      </c>
      <c r="D12" s="360"/>
      <c r="E12" s="361">
        <v>0</v>
      </c>
      <c r="F12" s="366"/>
      <c r="G12" s="359">
        <v>10714.29</v>
      </c>
      <c r="H12" s="360">
        <v>0</v>
      </c>
      <c r="I12" s="361">
        <v>0</v>
      </c>
      <c r="J12" s="363"/>
      <c r="K12" s="359">
        <f>+G12-C12</f>
        <v>-86070.709999999992</v>
      </c>
      <c r="L12" s="364">
        <f t="shared" si="3"/>
        <v>0</v>
      </c>
      <c r="M12" s="363"/>
      <c r="N12" s="359">
        <f t="shared" si="4"/>
        <v>86070.709999999992</v>
      </c>
      <c r="O12" s="359">
        <f t="shared" si="5"/>
        <v>0</v>
      </c>
      <c r="P12" s="359"/>
      <c r="Q12" s="363"/>
      <c r="R12" s="363"/>
      <c r="S12" s="363"/>
      <c r="T12" s="363"/>
      <c r="U12" s="363"/>
      <c r="V12" s="363"/>
      <c r="W12" s="363"/>
      <c r="X12" s="363"/>
      <c r="Y12" s="363"/>
      <c r="Z12" s="363"/>
      <c r="AA12" s="363"/>
      <c r="AB12" s="363"/>
      <c r="AC12" s="363"/>
      <c r="AD12" s="363"/>
      <c r="AE12" s="363"/>
      <c r="AF12" s="363"/>
      <c r="AG12" s="363"/>
    </row>
    <row r="13" spans="1:33" s="365" customFormat="1" x14ac:dyDescent="0.25">
      <c r="A13" s="358" t="s">
        <v>204</v>
      </c>
      <c r="B13" s="348"/>
      <c r="C13" s="359">
        <v>603.87</v>
      </c>
      <c r="D13" s="360"/>
      <c r="E13" s="361"/>
      <c r="F13" s="366"/>
      <c r="G13" s="359"/>
      <c r="H13" s="360">
        <v>0</v>
      </c>
      <c r="I13" s="361"/>
      <c r="J13" s="363"/>
      <c r="K13" s="359">
        <f>+G13-C13</f>
        <v>-603.87</v>
      </c>
      <c r="L13" s="364">
        <f t="shared" si="3"/>
        <v>0</v>
      </c>
      <c r="M13" s="363"/>
      <c r="N13" s="359">
        <f t="shared" si="4"/>
        <v>603.87</v>
      </c>
      <c r="O13" s="359">
        <f t="shared" si="5"/>
        <v>0</v>
      </c>
      <c r="P13" s="359"/>
      <c r="Q13" s="363"/>
      <c r="R13" s="363"/>
      <c r="S13" s="363"/>
      <c r="T13" s="363"/>
      <c r="U13" s="363"/>
      <c r="V13" s="363"/>
      <c r="W13" s="363"/>
      <c r="X13" s="363"/>
      <c r="Y13" s="363"/>
      <c r="Z13" s="363"/>
      <c r="AA13" s="363"/>
      <c r="AB13" s="363"/>
      <c r="AC13" s="363"/>
      <c r="AD13" s="363"/>
      <c r="AE13" s="363"/>
      <c r="AF13" s="363"/>
      <c r="AG13" s="363"/>
    </row>
    <row r="14" spans="1:33" s="365" customFormat="1" x14ac:dyDescent="0.25">
      <c r="A14" s="358" t="s">
        <v>205</v>
      </c>
      <c r="B14" s="348"/>
      <c r="C14" s="359">
        <v>27314.2</v>
      </c>
      <c r="D14" s="360">
        <v>6659</v>
      </c>
      <c r="E14" s="361">
        <f t="shared" si="0"/>
        <v>4.1018471241928216</v>
      </c>
      <c r="F14" s="366"/>
      <c r="G14" s="359">
        <v>35122.319999999992</v>
      </c>
      <c r="H14" s="360">
        <v>9137.59</v>
      </c>
      <c r="I14" s="361">
        <f t="shared" si="1"/>
        <v>3.8437180919695448</v>
      </c>
      <c r="J14" s="363"/>
      <c r="K14" s="359">
        <f t="shared" si="2"/>
        <v>10166.797263553086</v>
      </c>
      <c r="L14" s="364">
        <f t="shared" si="3"/>
        <v>-2358.6772635530915</v>
      </c>
      <c r="M14" s="363"/>
      <c r="N14" s="359">
        <f t="shared" si="4"/>
        <v>-7808.1199999999917</v>
      </c>
      <c r="O14" s="359">
        <f t="shared" si="5"/>
        <v>0</v>
      </c>
      <c r="P14" s="359"/>
      <c r="Q14" s="363"/>
      <c r="R14" s="363"/>
      <c r="S14" s="363"/>
      <c r="T14" s="363"/>
      <c r="U14" s="363"/>
      <c r="V14" s="363"/>
      <c r="W14" s="363"/>
      <c r="X14" s="363"/>
      <c r="Y14" s="363"/>
      <c r="Z14" s="363"/>
      <c r="AA14" s="363"/>
      <c r="AB14" s="363"/>
      <c r="AC14" s="363"/>
      <c r="AD14" s="363"/>
      <c r="AE14" s="363"/>
      <c r="AF14" s="363"/>
      <c r="AG14" s="363"/>
    </row>
    <row r="15" spans="1:33" s="365" customFormat="1" x14ac:dyDescent="0.25">
      <c r="A15" s="358" t="s">
        <v>206</v>
      </c>
      <c r="B15" s="348"/>
      <c r="C15" s="367">
        <v>2741.4</v>
      </c>
      <c r="D15" s="360">
        <v>34</v>
      </c>
      <c r="E15" s="361">
        <f t="shared" si="0"/>
        <v>80.629411764705878</v>
      </c>
      <c r="F15" s="366"/>
      <c r="G15" s="367"/>
      <c r="H15" s="360">
        <v>0</v>
      </c>
      <c r="I15" s="361">
        <v>0</v>
      </c>
      <c r="J15" s="363"/>
      <c r="K15" s="359">
        <f t="shared" si="2"/>
        <v>-2741.3999999999996</v>
      </c>
      <c r="L15" s="364">
        <f t="shared" si="3"/>
        <v>0</v>
      </c>
      <c r="M15" s="363"/>
      <c r="N15" s="359">
        <f t="shared" si="4"/>
        <v>2741.4</v>
      </c>
      <c r="O15" s="359">
        <f t="shared" si="5"/>
        <v>0</v>
      </c>
      <c r="P15" s="359"/>
      <c r="Q15" s="363"/>
      <c r="R15" s="363"/>
      <c r="S15" s="363"/>
      <c r="T15" s="363"/>
      <c r="U15" s="363"/>
      <c r="V15" s="363"/>
      <c r="W15" s="363"/>
      <c r="X15" s="363"/>
      <c r="Y15" s="363"/>
      <c r="Z15" s="363"/>
      <c r="AA15" s="363"/>
      <c r="AB15" s="363"/>
      <c r="AC15" s="363"/>
      <c r="AD15" s="363"/>
      <c r="AE15" s="363"/>
      <c r="AF15" s="363"/>
      <c r="AG15" s="363"/>
    </row>
    <row r="16" spans="1:33" s="365" customFormat="1" x14ac:dyDescent="0.25">
      <c r="A16" s="358" t="s">
        <v>207</v>
      </c>
      <c r="B16" s="348"/>
      <c r="C16" s="359">
        <v>480</v>
      </c>
      <c r="D16" s="360"/>
      <c r="E16" s="361"/>
      <c r="F16" s="366"/>
      <c r="G16" s="359">
        <v>58549.599999999999</v>
      </c>
      <c r="H16" s="360">
        <v>0</v>
      </c>
      <c r="I16" s="361"/>
      <c r="J16" s="363"/>
      <c r="K16" s="359">
        <f>+G16-C16</f>
        <v>58069.599999999999</v>
      </c>
      <c r="L16" s="364">
        <f t="shared" si="3"/>
        <v>0</v>
      </c>
      <c r="M16" s="363"/>
      <c r="N16" s="359">
        <f t="shared" si="4"/>
        <v>-58069.599999999999</v>
      </c>
      <c r="O16" s="359">
        <f t="shared" si="5"/>
        <v>0</v>
      </c>
      <c r="P16" s="359"/>
      <c r="Q16" s="363"/>
      <c r="R16" s="363"/>
      <c r="S16" s="363"/>
      <c r="T16" s="363"/>
      <c r="U16" s="363"/>
      <c r="V16" s="363"/>
      <c r="W16" s="363"/>
      <c r="X16" s="363"/>
      <c r="Y16" s="363"/>
      <c r="Z16" s="363"/>
      <c r="AA16" s="363"/>
      <c r="AB16" s="363"/>
      <c r="AC16" s="363"/>
      <c r="AD16" s="363"/>
      <c r="AE16" s="363"/>
      <c r="AF16" s="363"/>
      <c r="AG16" s="363"/>
    </row>
    <row r="17" spans="1:33" s="365" customFormat="1" x14ac:dyDescent="0.25">
      <c r="A17" s="358" t="s">
        <v>208</v>
      </c>
      <c r="B17" s="348"/>
      <c r="C17" s="359">
        <v>928</v>
      </c>
      <c r="D17" s="360">
        <v>8</v>
      </c>
      <c r="E17" s="361">
        <f t="shared" si="0"/>
        <v>116</v>
      </c>
      <c r="F17" s="366"/>
      <c r="G17" s="359"/>
      <c r="H17" s="360">
        <v>0</v>
      </c>
      <c r="I17" s="361">
        <v>0</v>
      </c>
      <c r="J17" s="363"/>
      <c r="K17" s="359">
        <f t="shared" si="2"/>
        <v>-928</v>
      </c>
      <c r="L17" s="364">
        <f t="shared" si="3"/>
        <v>0</v>
      </c>
      <c r="M17" s="363"/>
      <c r="N17" s="359">
        <f t="shared" si="4"/>
        <v>928</v>
      </c>
      <c r="O17" s="359">
        <f t="shared" si="5"/>
        <v>0</v>
      </c>
      <c r="P17" s="359"/>
      <c r="Q17" s="363"/>
      <c r="R17" s="363"/>
      <c r="S17" s="363"/>
      <c r="T17" s="363"/>
      <c r="U17" s="363"/>
      <c r="V17" s="363"/>
      <c r="W17" s="363"/>
      <c r="X17" s="363"/>
      <c r="Y17" s="363"/>
      <c r="Z17" s="363"/>
      <c r="AA17" s="363"/>
      <c r="AB17" s="363"/>
      <c r="AC17" s="363"/>
      <c r="AD17" s="363"/>
      <c r="AE17" s="363"/>
      <c r="AF17" s="363"/>
      <c r="AG17" s="363"/>
    </row>
    <row r="18" spans="1:33" s="365" customFormat="1" x14ac:dyDescent="0.25">
      <c r="A18" s="358" t="s">
        <v>209</v>
      </c>
      <c r="B18" s="348"/>
      <c r="C18" s="359">
        <v>3783.6699999999996</v>
      </c>
      <c r="D18" s="360"/>
      <c r="E18" s="361"/>
      <c r="F18" s="366"/>
      <c r="G18" s="359">
        <v>5213.12</v>
      </c>
      <c r="H18" s="360">
        <v>0</v>
      </c>
      <c r="I18" s="361"/>
      <c r="J18" s="363"/>
      <c r="K18" s="359">
        <f>+G18-C18</f>
        <v>1429.4500000000003</v>
      </c>
      <c r="L18" s="364">
        <f t="shared" si="3"/>
        <v>0</v>
      </c>
      <c r="M18" s="363"/>
      <c r="N18" s="359">
        <f t="shared" si="4"/>
        <v>-1429.4500000000003</v>
      </c>
      <c r="O18" s="359">
        <f t="shared" si="5"/>
        <v>0</v>
      </c>
      <c r="P18" s="359"/>
      <c r="Q18" s="363"/>
      <c r="R18" s="363"/>
      <c r="S18" s="363"/>
      <c r="T18" s="363"/>
      <c r="U18" s="363"/>
      <c r="V18" s="363"/>
      <c r="W18" s="363"/>
      <c r="X18" s="363"/>
      <c r="Y18" s="363"/>
      <c r="Z18" s="363"/>
      <c r="AA18" s="363"/>
      <c r="AB18" s="363"/>
      <c r="AC18" s="363"/>
      <c r="AD18" s="363"/>
      <c r="AE18" s="363"/>
      <c r="AF18" s="363"/>
      <c r="AG18" s="363"/>
    </row>
    <row r="19" spans="1:33" s="365" customFormat="1" x14ac:dyDescent="0.25">
      <c r="A19" s="358" t="s">
        <v>210</v>
      </c>
      <c r="B19" s="348"/>
      <c r="C19" s="359">
        <v>29241.3</v>
      </c>
      <c r="D19" s="360">
        <v>5165</v>
      </c>
      <c r="E19" s="361">
        <f t="shared" si="0"/>
        <v>5.6614327202323329</v>
      </c>
      <c r="F19" s="366"/>
      <c r="G19" s="359">
        <v>63652.590000000004</v>
      </c>
      <c r="H19" s="360">
        <v>12110.130000000001</v>
      </c>
      <c r="I19" s="361">
        <f t="shared" si="1"/>
        <v>5.2561442362716173</v>
      </c>
      <c r="J19" s="363"/>
      <c r="K19" s="359">
        <f t="shared" si="2"/>
        <v>39319.386228267191</v>
      </c>
      <c r="L19" s="364">
        <f t="shared" si="3"/>
        <v>-4908.0962282671808</v>
      </c>
      <c r="M19" s="363"/>
      <c r="N19" s="359">
        <f t="shared" si="4"/>
        <v>-34411.290000000008</v>
      </c>
      <c r="O19" s="359">
        <f t="shared" si="5"/>
        <v>0</v>
      </c>
      <c r="P19" s="359"/>
      <c r="Q19" s="363"/>
      <c r="R19" s="363"/>
      <c r="S19" s="363"/>
      <c r="T19" s="363"/>
      <c r="U19" s="363"/>
      <c r="V19" s="363"/>
      <c r="W19" s="363"/>
      <c r="X19" s="363"/>
      <c r="Y19" s="363"/>
      <c r="Z19" s="363"/>
      <c r="AA19" s="363"/>
      <c r="AB19" s="363"/>
      <c r="AC19" s="363"/>
      <c r="AD19" s="363"/>
      <c r="AE19" s="363"/>
      <c r="AF19" s="363"/>
      <c r="AG19" s="363"/>
    </row>
    <row r="20" spans="1:33" s="365" customFormat="1" x14ac:dyDescent="0.25">
      <c r="A20" s="358" t="s">
        <v>211</v>
      </c>
      <c r="B20" s="348"/>
      <c r="C20" s="359">
        <v>13105.489999999998</v>
      </c>
      <c r="D20" s="360">
        <v>670</v>
      </c>
      <c r="E20" s="361">
        <f t="shared" si="0"/>
        <v>19.560432835820894</v>
      </c>
      <c r="F20" s="366"/>
      <c r="G20" s="359">
        <v>2920</v>
      </c>
      <c r="H20" s="360">
        <v>125.2</v>
      </c>
      <c r="I20" s="361">
        <f t="shared" si="1"/>
        <v>23.322683706070286</v>
      </c>
      <c r="J20" s="363"/>
      <c r="K20" s="359">
        <f t="shared" si="2"/>
        <v>-10656.523808955222</v>
      </c>
      <c r="L20" s="364">
        <f t="shared" si="3"/>
        <v>471.03380895522395</v>
      </c>
      <c r="M20" s="363"/>
      <c r="N20" s="359">
        <f t="shared" si="4"/>
        <v>10185.489999999998</v>
      </c>
      <c r="O20" s="359">
        <f t="shared" si="5"/>
        <v>0</v>
      </c>
      <c r="P20" s="359"/>
      <c r="Q20" s="363"/>
      <c r="R20" s="363"/>
      <c r="S20" s="363"/>
      <c r="T20" s="363"/>
      <c r="U20" s="363"/>
      <c r="V20" s="363"/>
      <c r="W20" s="363"/>
      <c r="X20" s="363"/>
      <c r="Y20" s="363"/>
      <c r="Z20" s="363"/>
      <c r="AA20" s="363"/>
      <c r="AB20" s="363"/>
      <c r="AC20" s="363"/>
      <c r="AD20" s="363"/>
      <c r="AE20" s="363"/>
      <c r="AF20" s="363"/>
      <c r="AG20" s="363"/>
    </row>
    <row r="21" spans="1:33" s="365" customFormat="1" x14ac:dyDescent="0.25">
      <c r="A21" s="358" t="s">
        <v>212</v>
      </c>
      <c r="B21" s="348"/>
      <c r="C21" s="359">
        <v>1047.2</v>
      </c>
      <c r="D21" s="360"/>
      <c r="E21" s="361"/>
      <c r="F21" s="366"/>
      <c r="G21" s="359">
        <v>35470.400000000001</v>
      </c>
      <c r="H21" s="360">
        <v>0</v>
      </c>
      <c r="I21" s="361"/>
      <c r="J21" s="363"/>
      <c r="K21" s="359">
        <f>+G21-C21</f>
        <v>34423.200000000004</v>
      </c>
      <c r="L21" s="364">
        <f t="shared" si="3"/>
        <v>0</v>
      </c>
      <c r="M21" s="363"/>
      <c r="N21" s="359">
        <f t="shared" si="4"/>
        <v>-34423.200000000004</v>
      </c>
      <c r="O21" s="359">
        <f t="shared" si="5"/>
        <v>0</v>
      </c>
      <c r="P21" s="359"/>
      <c r="Q21" s="363"/>
      <c r="R21" s="363"/>
      <c r="S21" s="363"/>
      <c r="T21" s="363"/>
      <c r="U21" s="363"/>
      <c r="V21" s="363"/>
      <c r="W21" s="363"/>
      <c r="X21" s="363"/>
      <c r="Y21" s="363"/>
      <c r="Z21" s="363"/>
      <c r="AA21" s="363"/>
      <c r="AB21" s="363"/>
      <c r="AC21" s="363"/>
      <c r="AD21" s="363"/>
      <c r="AE21" s="363"/>
      <c r="AF21" s="363"/>
      <c r="AG21" s="363"/>
    </row>
    <row r="22" spans="1:33" s="365" customFormat="1" ht="15.75" thickBot="1" x14ac:dyDescent="0.3">
      <c r="A22" s="358" t="s">
        <v>213</v>
      </c>
      <c r="B22" s="348"/>
      <c r="C22" s="359">
        <v>2172620.8899999992</v>
      </c>
      <c r="D22" s="360">
        <v>801825</v>
      </c>
      <c r="E22" s="361">
        <f t="shared" si="0"/>
        <v>2.7095948492501472</v>
      </c>
      <c r="F22" s="366"/>
      <c r="G22" s="359">
        <v>1328913.1600000001</v>
      </c>
      <c r="H22" s="360">
        <v>433386.23000000004</v>
      </c>
      <c r="I22" s="361">
        <f t="shared" si="1"/>
        <v>3.0663483701362639</v>
      </c>
      <c r="J22" s="363"/>
      <c r="K22" s="359">
        <f t="shared" si="2"/>
        <v>-998319.79345605953</v>
      </c>
      <c r="L22" s="364">
        <f t="shared" si="3"/>
        <v>154612.06345606042</v>
      </c>
      <c r="M22" s="363"/>
      <c r="N22" s="359">
        <f t="shared" si="4"/>
        <v>843707.72999999905</v>
      </c>
      <c r="O22" s="359">
        <f t="shared" si="5"/>
        <v>0</v>
      </c>
      <c r="P22" s="359"/>
      <c r="Q22" s="363"/>
      <c r="R22" s="363"/>
      <c r="S22" s="363"/>
      <c r="T22" s="363"/>
      <c r="U22" s="363"/>
      <c r="V22" s="363"/>
      <c r="W22" s="363"/>
      <c r="X22" s="363"/>
      <c r="Y22" s="363"/>
      <c r="Z22" s="363"/>
      <c r="AA22" s="363"/>
      <c r="AB22" s="363"/>
      <c r="AC22" s="363"/>
      <c r="AD22" s="363"/>
      <c r="AE22" s="363"/>
      <c r="AF22" s="363"/>
      <c r="AG22" s="363"/>
    </row>
    <row r="23" spans="1:33" s="365" customFormat="1" ht="15.75" hidden="1" thickBot="1" x14ac:dyDescent="0.3">
      <c r="A23" s="358" t="s">
        <v>214</v>
      </c>
      <c r="B23" s="348"/>
      <c r="C23" s="359"/>
      <c r="D23" s="360"/>
      <c r="E23" s="361"/>
      <c r="F23" s="366"/>
      <c r="G23" s="359"/>
      <c r="H23" s="360"/>
      <c r="I23" s="361"/>
      <c r="J23" s="363"/>
      <c r="K23" s="359">
        <f t="shared" si="2"/>
        <v>0</v>
      </c>
      <c r="L23" s="364">
        <f t="shared" si="3"/>
        <v>0</v>
      </c>
      <c r="M23" s="363"/>
      <c r="N23" s="359"/>
      <c r="O23" s="359"/>
      <c r="P23" s="363"/>
      <c r="Q23" s="363"/>
      <c r="R23" s="363"/>
      <c r="S23" s="363"/>
      <c r="T23" s="363"/>
      <c r="U23" s="363"/>
      <c r="V23" s="363"/>
      <c r="W23" s="363"/>
      <c r="X23" s="363"/>
      <c r="Y23" s="363"/>
      <c r="Z23" s="363"/>
      <c r="AA23" s="363"/>
      <c r="AB23" s="363"/>
      <c r="AC23" s="363"/>
      <c r="AD23" s="363"/>
      <c r="AE23" s="363"/>
      <c r="AF23" s="363"/>
      <c r="AG23" s="363"/>
    </row>
    <row r="24" spans="1:33" s="365" customFormat="1" ht="15.75" hidden="1" thickBot="1" x14ac:dyDescent="0.3">
      <c r="A24" s="358"/>
      <c r="B24" s="348"/>
      <c r="C24" s="359"/>
      <c r="D24" s="360"/>
      <c r="E24" s="361"/>
      <c r="F24" s="366"/>
      <c r="G24" s="359"/>
      <c r="H24" s="360"/>
      <c r="I24" s="361"/>
      <c r="J24" s="363"/>
      <c r="K24" s="359"/>
      <c r="L24" s="364"/>
      <c r="M24" s="363"/>
      <c r="N24" s="359"/>
      <c r="O24" s="359"/>
      <c r="P24" s="363"/>
      <c r="Q24" s="363"/>
      <c r="R24" s="363"/>
      <c r="S24" s="363"/>
      <c r="T24" s="363"/>
      <c r="U24" s="363"/>
      <c r="V24" s="363"/>
      <c r="W24" s="363"/>
      <c r="X24" s="363"/>
      <c r="Y24" s="363"/>
      <c r="Z24" s="363"/>
      <c r="AA24" s="363"/>
      <c r="AB24" s="363"/>
      <c r="AC24" s="363"/>
      <c r="AD24" s="363"/>
      <c r="AE24" s="363"/>
      <c r="AF24" s="363"/>
      <c r="AG24" s="363"/>
    </row>
    <row r="25" spans="1:33" s="373" customFormat="1" ht="15.75" thickBot="1" x14ac:dyDescent="0.3">
      <c r="A25" s="369" t="s">
        <v>215</v>
      </c>
      <c r="B25" s="348"/>
      <c r="C25" s="370">
        <f>SUM(C6:C22)</f>
        <v>21792606.795999996</v>
      </c>
      <c r="D25" s="370">
        <f>SUM(D6:D22)</f>
        <v>9966749</v>
      </c>
      <c r="E25" s="371">
        <f>+C25/D25</f>
        <v>2.1865311142078521</v>
      </c>
      <c r="F25" s="372"/>
      <c r="G25" s="370">
        <f>SUM(G6:G22)</f>
        <v>30265084.684999995</v>
      </c>
      <c r="H25" s="370">
        <f>SUM(H6:H22)</f>
        <v>10818557.359999999</v>
      </c>
      <c r="I25" s="371">
        <f>+G25/H25</f>
        <v>2.7975157572210714</v>
      </c>
      <c r="J25" s="372"/>
      <c r="K25" s="370">
        <f>SUM(K6:K22)</f>
        <v>1573398.583156568</v>
      </c>
      <c r="L25" s="370">
        <f>SUM(L6:L22)</f>
        <v>6899079.3058434296</v>
      </c>
      <c r="M25" s="372"/>
      <c r="N25" s="359">
        <f t="shared" si="4"/>
        <v>-8472477.8889999986</v>
      </c>
      <c r="O25" s="359">
        <f t="shared" si="5"/>
        <v>0</v>
      </c>
      <c r="P25" s="372"/>
      <c r="Q25" s="372"/>
      <c r="R25" s="372"/>
      <c r="S25" s="372"/>
      <c r="T25" s="372"/>
      <c r="U25" s="372"/>
      <c r="V25" s="372"/>
      <c r="W25" s="372"/>
      <c r="X25" s="372"/>
      <c r="Y25" s="372"/>
      <c r="Z25" s="372"/>
      <c r="AA25" s="372"/>
      <c r="AB25" s="372"/>
      <c r="AC25" s="372"/>
      <c r="AD25" s="372"/>
      <c r="AE25" s="372"/>
      <c r="AF25" s="372"/>
      <c r="AG25" s="372"/>
    </row>
    <row r="26" spans="1:33" ht="15.75" thickBot="1" x14ac:dyDescent="0.3">
      <c r="A26" s="335"/>
      <c r="B26" s="374"/>
      <c r="C26" s="375"/>
      <c r="D26" s="376"/>
      <c r="E26" s="376"/>
      <c r="F26" s="376"/>
      <c r="G26" s="375"/>
      <c r="H26" s="377"/>
      <c r="I26" s="378"/>
      <c r="J26" s="376"/>
      <c r="K26" s="376"/>
      <c r="L26" s="379"/>
    </row>
    <row r="27" spans="1:33" x14ac:dyDescent="0.25">
      <c r="A27" s="298"/>
      <c r="C27" s="349"/>
      <c r="D27" s="298"/>
      <c r="E27" s="298"/>
      <c r="F27" s="298"/>
      <c r="G27" s="349"/>
      <c r="H27" s="351"/>
      <c r="I27" s="380"/>
      <c r="J27" s="298"/>
      <c r="K27" s="381"/>
      <c r="L27" s="298"/>
    </row>
    <row r="28" spans="1:33" x14ac:dyDescent="0.25">
      <c r="A28" s="298"/>
      <c r="C28" s="349"/>
      <c r="D28" s="298"/>
      <c r="E28" s="298"/>
      <c r="F28" s="298"/>
      <c r="G28" s="349"/>
      <c r="H28" s="351"/>
      <c r="I28" s="380"/>
      <c r="J28" s="298"/>
      <c r="K28" s="298"/>
      <c r="L28" s="298"/>
    </row>
    <row r="29" spans="1:33" x14ac:dyDescent="0.25">
      <c r="A29" s="298"/>
      <c r="C29" s="349"/>
      <c r="D29" s="298"/>
      <c r="E29" s="298"/>
      <c r="F29" s="298"/>
      <c r="G29" s="349"/>
      <c r="H29" s="351"/>
      <c r="I29" s="380"/>
      <c r="J29" s="298"/>
      <c r="K29" s="298"/>
      <c r="L29" s="298"/>
    </row>
    <row r="30" spans="1:33" x14ac:dyDescent="0.25">
      <c r="A30" s="298"/>
      <c r="C30" s="349"/>
      <c r="D30" s="298"/>
      <c r="E30" s="298"/>
      <c r="F30" s="298"/>
      <c r="G30" s="349"/>
      <c r="H30" s="351"/>
      <c r="I30" s="380"/>
      <c r="J30" s="298"/>
      <c r="K30" s="298"/>
      <c r="L30" s="298"/>
    </row>
    <row r="31" spans="1:33" x14ac:dyDescent="0.25">
      <c r="A31" s="298"/>
      <c r="C31" s="349"/>
      <c r="D31" s="298"/>
      <c r="E31" s="298"/>
      <c r="F31" s="298"/>
      <c r="G31" s="349"/>
      <c r="H31" s="351"/>
      <c r="I31" s="380"/>
      <c r="J31" s="298"/>
      <c r="K31" s="298"/>
      <c r="L31" s="298"/>
    </row>
    <row r="32" spans="1:33" x14ac:dyDescent="0.25">
      <c r="A32" s="298"/>
      <c r="C32" s="349"/>
      <c r="D32" s="298"/>
      <c r="E32" s="298"/>
      <c r="F32" s="298"/>
      <c r="G32" s="349"/>
      <c r="H32" s="351"/>
      <c r="I32" s="380"/>
      <c r="J32" s="298"/>
      <c r="K32" s="298"/>
      <c r="L32" s="298"/>
    </row>
    <row r="33" spans="1:12" x14ac:dyDescent="0.25">
      <c r="A33" s="298"/>
      <c r="C33" s="349"/>
      <c r="D33" s="298"/>
      <c r="E33" s="298"/>
      <c r="F33" s="298"/>
      <c r="G33" s="349"/>
      <c r="H33" s="351"/>
      <c r="I33" s="380"/>
      <c r="J33" s="298"/>
      <c r="K33" s="298"/>
      <c r="L33" s="298"/>
    </row>
    <row r="34" spans="1:12" x14ac:dyDescent="0.25">
      <c r="A34" s="298"/>
      <c r="C34" s="349"/>
      <c r="D34" s="298"/>
      <c r="E34" s="298"/>
      <c r="F34" s="298"/>
      <c r="G34" s="349"/>
      <c r="H34" s="351"/>
      <c r="I34" s="380"/>
      <c r="J34" s="298"/>
      <c r="K34" s="298"/>
      <c r="L34" s="298"/>
    </row>
    <row r="35" spans="1:12" x14ac:dyDescent="0.25">
      <c r="A35" s="298"/>
      <c r="C35" s="349"/>
      <c r="D35" s="298"/>
      <c r="E35" s="298"/>
      <c r="F35" s="298"/>
      <c r="G35" s="349"/>
      <c r="H35" s="351"/>
      <c r="I35" s="380"/>
      <c r="J35" s="298"/>
      <c r="K35" s="298"/>
      <c r="L35" s="298"/>
    </row>
    <row r="36" spans="1:12" x14ac:dyDescent="0.25">
      <c r="A36" s="298"/>
      <c r="C36" s="349"/>
      <c r="D36" s="298"/>
      <c r="E36" s="298"/>
      <c r="F36" s="298"/>
      <c r="G36" s="349"/>
      <c r="H36" s="351"/>
      <c r="I36" s="380"/>
      <c r="J36" s="298"/>
      <c r="K36" s="298"/>
      <c r="L36" s="298"/>
    </row>
    <row r="37" spans="1:12" x14ac:dyDescent="0.25">
      <c r="A37" s="298"/>
      <c r="C37" s="349"/>
      <c r="D37" s="298"/>
      <c r="E37" s="298"/>
      <c r="F37" s="298"/>
      <c r="G37" s="349"/>
      <c r="H37" s="351"/>
      <c r="I37" s="380"/>
      <c r="J37" s="298"/>
      <c r="K37" s="298"/>
      <c r="L37" s="298"/>
    </row>
    <row r="38" spans="1:12" x14ac:dyDescent="0.25">
      <c r="A38" s="298"/>
      <c r="C38" s="349"/>
      <c r="D38" s="298"/>
      <c r="E38" s="298"/>
      <c r="F38" s="298"/>
      <c r="G38" s="349"/>
      <c r="H38" s="351"/>
      <c r="I38" s="380"/>
      <c r="J38" s="298"/>
      <c r="K38" s="298"/>
      <c r="L38" s="298"/>
    </row>
    <row r="39" spans="1:12" x14ac:dyDescent="0.25">
      <c r="A39" s="298"/>
      <c r="C39" s="349"/>
      <c r="D39" s="298"/>
      <c r="E39" s="298"/>
      <c r="F39" s="298"/>
      <c r="G39" s="349"/>
      <c r="H39" s="351"/>
      <c r="I39" s="380"/>
      <c r="J39" s="298"/>
      <c r="K39" s="298"/>
      <c r="L39" s="298"/>
    </row>
    <row r="40" spans="1:12" x14ac:dyDescent="0.25">
      <c r="A40" s="298"/>
      <c r="C40" s="349"/>
      <c r="D40" s="298"/>
      <c r="E40" s="298"/>
      <c r="F40" s="298"/>
      <c r="G40" s="349"/>
      <c r="H40" s="351"/>
      <c r="I40" s="380"/>
      <c r="J40" s="298"/>
      <c r="K40" s="298"/>
      <c r="L40" s="298"/>
    </row>
    <row r="41" spans="1:12" x14ac:dyDescent="0.25">
      <c r="A41" s="298"/>
      <c r="C41" s="349"/>
      <c r="D41" s="298"/>
      <c r="E41" s="298"/>
      <c r="F41" s="298"/>
      <c r="G41" s="349"/>
      <c r="H41" s="351"/>
      <c r="I41" s="380"/>
      <c r="J41" s="298"/>
      <c r="K41" s="298"/>
      <c r="L41" s="298"/>
    </row>
    <row r="42" spans="1:12" x14ac:dyDescent="0.25">
      <c r="A42" s="298"/>
      <c r="C42" s="349"/>
      <c r="D42" s="298"/>
      <c r="E42" s="298"/>
      <c r="F42" s="298"/>
      <c r="G42" s="349"/>
      <c r="H42" s="351"/>
      <c r="I42" s="380"/>
      <c r="J42" s="298"/>
      <c r="K42" s="298"/>
      <c r="L42" s="298"/>
    </row>
    <row r="43" spans="1:12" x14ac:dyDescent="0.25">
      <c r="A43" s="298"/>
      <c r="C43" s="349"/>
      <c r="D43" s="298"/>
      <c r="E43" s="298"/>
      <c r="F43" s="298"/>
      <c r="G43" s="349"/>
      <c r="H43" s="351"/>
      <c r="I43" s="380"/>
      <c r="J43" s="298"/>
      <c r="K43" s="298"/>
      <c r="L43" s="298"/>
    </row>
    <row r="44" spans="1:12" x14ac:dyDescent="0.25">
      <c r="A44" s="298"/>
      <c r="C44" s="349"/>
      <c r="D44" s="298"/>
      <c r="E44" s="298"/>
      <c r="F44" s="298"/>
      <c r="G44" s="349"/>
      <c r="H44" s="351"/>
      <c r="I44" s="380"/>
      <c r="J44" s="298"/>
      <c r="K44" s="298"/>
      <c r="L44" s="298"/>
    </row>
    <row r="45" spans="1:12" s="298" customFormat="1" x14ac:dyDescent="0.25">
      <c r="B45" s="348"/>
      <c r="C45" s="349"/>
      <c r="G45" s="349"/>
      <c r="H45" s="382"/>
      <c r="I45" s="380"/>
      <c r="L45" s="381"/>
    </row>
    <row r="46" spans="1:12" s="298" customFormat="1" x14ac:dyDescent="0.25">
      <c r="B46" s="348"/>
      <c r="G46" s="381"/>
      <c r="H46" s="382"/>
    </row>
    <row r="47" spans="1:12" s="383" customFormat="1" ht="12.75" x14ac:dyDescent="0.2">
      <c r="B47" s="384"/>
      <c r="C47" s="383">
        <v>2020</v>
      </c>
      <c r="D47" s="383" t="s">
        <v>216</v>
      </c>
      <c r="E47" s="383" t="s">
        <v>217</v>
      </c>
      <c r="F47" s="383">
        <v>2021</v>
      </c>
      <c r="H47" s="385"/>
    </row>
    <row r="48" spans="1:12" s="383" customFormat="1" ht="12.75" x14ac:dyDescent="0.2">
      <c r="A48" s="383" t="s">
        <v>218</v>
      </c>
      <c r="B48" s="384"/>
      <c r="C48" s="386">
        <f>+C25/1000</f>
        <v>21792.606795999996</v>
      </c>
      <c r="D48" s="386">
        <f>+C48</f>
        <v>21792.606795999996</v>
      </c>
      <c r="E48" s="386">
        <f>+D48+149</f>
        <v>21941.606795999996</v>
      </c>
      <c r="F48" s="386">
        <f>+G25/1000</f>
        <v>30265.084684999994</v>
      </c>
      <c r="H48" s="385"/>
    </row>
    <row r="49" spans="1:8" s="383" customFormat="1" ht="12.75" x14ac:dyDescent="0.2">
      <c r="A49" s="383" t="s">
        <v>216</v>
      </c>
      <c r="B49" s="384"/>
      <c r="C49" s="386"/>
      <c r="D49" s="386">
        <f>+K25/1000</f>
        <v>1573.3985831565681</v>
      </c>
      <c r="E49" s="386">
        <f>+(+L25/1000)</f>
        <v>6899.0793058434292</v>
      </c>
      <c r="H49" s="385"/>
    </row>
    <row r="50" spans="1:8" s="298" customFormat="1" x14ac:dyDescent="0.25">
      <c r="A50" s="387"/>
      <c r="B50" s="348"/>
      <c r="C50" s="381"/>
      <c r="E50" s="381"/>
      <c r="H50" s="382"/>
    </row>
    <row r="51" spans="1:8" s="298" customFormat="1" x14ac:dyDescent="0.25">
      <c r="A51" s="387"/>
      <c r="B51" s="348"/>
      <c r="C51" s="381"/>
      <c r="H51" s="382"/>
    </row>
    <row r="52" spans="1:8" s="298" customFormat="1" x14ac:dyDescent="0.25">
      <c r="B52" s="348"/>
      <c r="H52" s="382"/>
    </row>
    <row r="53" spans="1:8" s="298" customFormat="1" x14ac:dyDescent="0.25">
      <c r="B53" s="348"/>
      <c r="H53" s="382"/>
    </row>
    <row r="54" spans="1:8" s="298" customFormat="1" x14ac:dyDescent="0.25">
      <c r="B54" s="348"/>
      <c r="H54" s="382"/>
    </row>
    <row r="55" spans="1:8" s="298" customFormat="1" x14ac:dyDescent="0.25">
      <c r="B55" s="348"/>
      <c r="H55" s="382"/>
    </row>
    <row r="56" spans="1:8" s="298" customFormat="1" x14ac:dyDescent="0.25">
      <c r="B56" s="348"/>
      <c r="H56" s="382"/>
    </row>
    <row r="57" spans="1:8" s="298" customFormat="1" x14ac:dyDescent="0.25">
      <c r="B57" s="348"/>
      <c r="H57" s="382"/>
    </row>
    <row r="58" spans="1:8" s="298" customFormat="1" x14ac:dyDescent="0.25">
      <c r="B58" s="348"/>
      <c r="H58" s="382"/>
    </row>
    <row r="59" spans="1:8" s="298" customFormat="1" x14ac:dyDescent="0.25">
      <c r="B59" s="348"/>
      <c r="H59" s="382"/>
    </row>
    <row r="60" spans="1:8" s="298" customFormat="1" x14ac:dyDescent="0.25">
      <c r="B60" s="348"/>
      <c r="H60" s="382"/>
    </row>
    <row r="61" spans="1:8" s="298" customFormat="1" x14ac:dyDescent="0.25">
      <c r="B61" s="348"/>
      <c r="H61" s="382"/>
    </row>
    <row r="62" spans="1:8" s="298" customFormat="1" x14ac:dyDescent="0.25">
      <c r="B62" s="348"/>
      <c r="H62" s="382"/>
    </row>
    <row r="63" spans="1:8" s="298" customFormat="1" x14ac:dyDescent="0.25">
      <c r="B63" s="348"/>
      <c r="H63" s="382"/>
    </row>
    <row r="64" spans="1:8" s="298" customFormat="1" x14ac:dyDescent="0.25">
      <c r="B64" s="348"/>
      <c r="H64" s="382"/>
    </row>
    <row r="65" spans="2:8" s="298" customFormat="1" x14ac:dyDescent="0.25">
      <c r="B65" s="348"/>
      <c r="H65" s="382"/>
    </row>
    <row r="66" spans="2:8" s="298" customFormat="1" x14ac:dyDescent="0.25">
      <c r="B66" s="348"/>
      <c r="H66" s="382"/>
    </row>
    <row r="67" spans="2:8" s="298" customFormat="1" x14ac:dyDescent="0.25">
      <c r="B67" s="348"/>
      <c r="H67" s="382"/>
    </row>
    <row r="68" spans="2:8" s="298" customFormat="1" x14ac:dyDescent="0.25">
      <c r="B68" s="348"/>
      <c r="H68" s="382"/>
    </row>
    <row r="69" spans="2:8" s="298" customFormat="1" x14ac:dyDescent="0.25">
      <c r="B69" s="348"/>
      <c r="H69" s="382"/>
    </row>
    <row r="70" spans="2:8" s="298" customFormat="1" x14ac:dyDescent="0.25">
      <c r="B70" s="348"/>
      <c r="H70" s="382"/>
    </row>
    <row r="71" spans="2:8" s="298" customFormat="1" x14ac:dyDescent="0.25">
      <c r="B71" s="348"/>
      <c r="H71" s="382"/>
    </row>
    <row r="72" spans="2:8" s="298" customFormat="1" x14ac:dyDescent="0.25">
      <c r="B72" s="348"/>
      <c r="H72" s="382"/>
    </row>
    <row r="73" spans="2:8" s="298" customFormat="1" x14ac:dyDescent="0.25">
      <c r="B73" s="348"/>
      <c r="H73" s="382"/>
    </row>
  </sheetData>
  <mergeCells count="5">
    <mergeCell ref="A2:L2"/>
    <mergeCell ref="A4:B4"/>
    <mergeCell ref="C4:E4"/>
    <mergeCell ref="G4:I4"/>
    <mergeCell ref="K4:L4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AF0A6-1553-4363-BB8B-DCED1C3253AB}">
  <dimension ref="A1:AN366"/>
  <sheetViews>
    <sheetView workbookViewId="0">
      <selection sqref="A1:XFD1048576"/>
    </sheetView>
  </sheetViews>
  <sheetFormatPr baseColWidth="10" defaultRowHeight="15" x14ac:dyDescent="0.25"/>
  <cols>
    <col min="1" max="1" width="63.28515625" bestFit="1" customWidth="1"/>
    <col min="2" max="2" width="19.28515625" style="41" bestFit="1" customWidth="1"/>
    <col min="3" max="3" width="7.7109375" customWidth="1"/>
    <col min="4" max="4" width="63.28515625" bestFit="1" customWidth="1"/>
    <col min="5" max="5" width="19.28515625" style="41" bestFit="1" customWidth="1"/>
    <col min="7" max="40" width="11.5703125" style="298"/>
  </cols>
  <sheetData>
    <row r="1" spans="1:40" x14ac:dyDescent="0.25">
      <c r="A1" s="389" t="s">
        <v>219</v>
      </c>
      <c r="B1" s="390">
        <f>+'[1]Comparativo PG Acumulado 000'!E18*1000</f>
        <v>30250854.029999997</v>
      </c>
      <c r="C1" s="389"/>
      <c r="D1" s="389" t="s">
        <v>219</v>
      </c>
      <c r="E1" s="390">
        <f>+'[1]Comparativo PG Acumulado 000'!I18*1000</f>
        <v>21793342</v>
      </c>
    </row>
    <row r="2" spans="1:40" x14ac:dyDescent="0.25">
      <c r="A2" s="298"/>
      <c r="B2" s="391"/>
      <c r="C2" s="298"/>
      <c r="D2" s="298"/>
      <c r="E2" s="391"/>
      <c r="F2" s="298"/>
    </row>
    <row r="3" spans="1:40" s="298" customFormat="1" x14ac:dyDescent="0.25"/>
    <row r="4" spans="1:40" s="298" customFormat="1" ht="15.75" thickBot="1" x14ac:dyDescent="0.3"/>
    <row r="5" spans="1:40" ht="18.75" thickBot="1" x14ac:dyDescent="0.3">
      <c r="A5" s="458" t="s">
        <v>220</v>
      </c>
      <c r="B5" s="459"/>
      <c r="C5" s="459"/>
      <c r="D5" s="459"/>
      <c r="E5" s="459"/>
      <c r="F5" s="460"/>
    </row>
    <row r="6" spans="1:40" x14ac:dyDescent="0.25">
      <c r="A6" s="298"/>
      <c r="B6" s="391"/>
      <c r="C6" s="298"/>
      <c r="D6" s="298"/>
      <c r="E6" s="391"/>
      <c r="F6" s="298"/>
    </row>
    <row r="7" spans="1:40" x14ac:dyDescent="0.25">
      <c r="A7" s="298"/>
      <c r="B7" s="391"/>
      <c r="C7" s="298"/>
      <c r="D7" s="298"/>
      <c r="E7" s="391"/>
      <c r="F7" s="298"/>
    </row>
    <row r="8" spans="1:40" hidden="1" x14ac:dyDescent="0.25">
      <c r="A8" s="397" t="s">
        <v>221</v>
      </c>
      <c r="B8" s="392">
        <v>12</v>
      </c>
      <c r="D8" s="397" t="s">
        <v>221</v>
      </c>
      <c r="E8" s="392">
        <v>12</v>
      </c>
    </row>
    <row r="9" spans="1:40" s="2" customFormat="1" ht="18" x14ac:dyDescent="0.25">
      <c r="A9" s="397" t="s">
        <v>222</v>
      </c>
      <c r="B9" s="393">
        <v>2021</v>
      </c>
      <c r="C9" s="394"/>
      <c r="D9" s="397" t="s">
        <v>222</v>
      </c>
      <c r="E9" s="393">
        <v>2020</v>
      </c>
      <c r="F9" s="394"/>
      <c r="G9" s="394"/>
      <c r="H9" s="394"/>
      <c r="I9" s="394"/>
      <c r="J9" s="394"/>
      <c r="K9" s="394"/>
      <c r="L9" s="394"/>
      <c r="M9" s="394"/>
      <c r="N9" s="394"/>
      <c r="O9" s="394"/>
      <c r="P9" s="394"/>
      <c r="Q9" s="394"/>
      <c r="R9" s="394"/>
      <c r="S9" s="394"/>
      <c r="T9" s="394"/>
      <c r="U9" s="394"/>
      <c r="V9" s="394"/>
      <c r="W9" s="394"/>
      <c r="X9" s="394"/>
      <c r="Y9" s="394"/>
      <c r="Z9" s="394"/>
      <c r="AA9" s="394"/>
      <c r="AB9" s="394"/>
      <c r="AC9" s="394"/>
      <c r="AD9" s="394"/>
      <c r="AE9" s="394"/>
      <c r="AF9" s="394"/>
      <c r="AG9" s="394"/>
      <c r="AH9" s="394"/>
      <c r="AI9" s="394"/>
      <c r="AJ9" s="394"/>
      <c r="AK9" s="394"/>
      <c r="AL9" s="394"/>
      <c r="AM9" s="394"/>
      <c r="AN9" s="394"/>
    </row>
    <row r="10" spans="1:40" s="298" customFormat="1" x14ac:dyDescent="0.25">
      <c r="B10" s="391"/>
      <c r="E10" s="391"/>
    </row>
    <row r="11" spans="1:40" x14ac:dyDescent="0.25">
      <c r="A11" s="397" t="s">
        <v>223</v>
      </c>
      <c r="B11" s="286" t="s">
        <v>224</v>
      </c>
      <c r="C11" s="9" t="s">
        <v>39</v>
      </c>
      <c r="D11" s="397" t="s">
        <v>223</v>
      </c>
      <c r="E11" s="286" t="s">
        <v>224</v>
      </c>
      <c r="F11" s="9" t="s">
        <v>39</v>
      </c>
    </row>
    <row r="12" spans="1:40" x14ac:dyDescent="0.25">
      <c r="A12" s="392" t="s">
        <v>225</v>
      </c>
      <c r="B12" s="286">
        <v>2714304.429999955</v>
      </c>
      <c r="C12" s="395">
        <f>+B12/B$1</f>
        <v>8.9726538870874825E-2</v>
      </c>
      <c r="D12" s="392" t="s">
        <v>226</v>
      </c>
      <c r="E12" s="286">
        <v>1596054.5900000501</v>
      </c>
      <c r="F12" s="395">
        <f>+E12/E$1</f>
        <v>7.3235880481297921E-2</v>
      </c>
    </row>
    <row r="13" spans="1:40" x14ac:dyDescent="0.25">
      <c r="A13" s="396" t="s">
        <v>227</v>
      </c>
      <c r="B13" s="286">
        <v>759129.99999993294</v>
      </c>
      <c r="C13" s="395">
        <f t="shared" ref="C13:C31" si="0">+B13/B$1</f>
        <v>2.5094498133741878E-2</v>
      </c>
      <c r="D13" s="396" t="s">
        <v>227</v>
      </c>
      <c r="E13" s="286">
        <v>608792.03000001982</v>
      </c>
      <c r="F13" s="395">
        <f t="shared" ref="F13:F31" si="1">+E13/E$1</f>
        <v>2.7934771546283255E-2</v>
      </c>
    </row>
    <row r="14" spans="1:40" x14ac:dyDescent="0.25">
      <c r="A14" s="396" t="s">
        <v>228</v>
      </c>
      <c r="B14" s="286">
        <v>1253543.1399999931</v>
      </c>
      <c r="C14" s="395">
        <f t="shared" si="0"/>
        <v>4.1438272742873476E-2</v>
      </c>
      <c r="D14" s="396" t="s">
        <v>228</v>
      </c>
      <c r="E14" s="286">
        <v>381599.86000000313</v>
      </c>
      <c r="F14" s="395">
        <f t="shared" si="1"/>
        <v>1.7509928491004415E-2</v>
      </c>
    </row>
    <row r="15" spans="1:40" x14ac:dyDescent="0.25">
      <c r="A15" s="396" t="s">
        <v>229</v>
      </c>
      <c r="B15" s="286">
        <v>367475.93000000343</v>
      </c>
      <c r="C15" s="395">
        <f t="shared" si="0"/>
        <v>1.2147621671625364E-2</v>
      </c>
      <c r="D15" s="396" t="s">
        <v>229</v>
      </c>
      <c r="E15" s="286">
        <v>379637.23000000976</v>
      </c>
      <c r="F15" s="395">
        <f t="shared" si="1"/>
        <v>1.7419872087539843E-2</v>
      </c>
    </row>
    <row r="16" spans="1:40" x14ac:dyDescent="0.25">
      <c r="A16" s="396" t="s">
        <v>230</v>
      </c>
      <c r="B16" s="286">
        <v>65446.990000009537</v>
      </c>
      <c r="C16" s="395">
        <f t="shared" si="0"/>
        <v>2.1634757793980055E-3</v>
      </c>
      <c r="D16" s="396" t="s">
        <v>230</v>
      </c>
      <c r="E16" s="286">
        <v>72330.530000004917</v>
      </c>
      <c r="F16" s="395">
        <f t="shared" si="1"/>
        <v>3.3189278633816198E-3</v>
      </c>
    </row>
    <row r="17" spans="1:6" x14ac:dyDescent="0.25">
      <c r="A17" s="396" t="s">
        <v>231</v>
      </c>
      <c r="B17" s="286">
        <v>119559.26999999955</v>
      </c>
      <c r="C17" s="395">
        <f t="shared" si="0"/>
        <v>3.9522609801836252E-3</v>
      </c>
      <c r="D17" s="396" t="s">
        <v>231</v>
      </c>
      <c r="E17" s="286">
        <v>50535.710000000894</v>
      </c>
      <c r="F17" s="395">
        <f t="shared" si="1"/>
        <v>2.3188600445035413E-3</v>
      </c>
    </row>
    <row r="18" spans="1:6" x14ac:dyDescent="0.25">
      <c r="A18" s="396" t="s">
        <v>232</v>
      </c>
      <c r="B18" s="286">
        <v>52856.590000025928</v>
      </c>
      <c r="C18" s="395">
        <f t="shared" si="0"/>
        <v>1.7472759594690337E-3</v>
      </c>
      <c r="D18" s="396" t="s">
        <v>232</v>
      </c>
      <c r="E18" s="286">
        <v>49876.660000033677</v>
      </c>
      <c r="F18" s="395">
        <f t="shared" si="1"/>
        <v>2.2886191571734925E-3</v>
      </c>
    </row>
    <row r="19" spans="1:6" x14ac:dyDescent="0.25">
      <c r="A19" s="396" t="s">
        <v>233</v>
      </c>
      <c r="B19" s="286">
        <v>61416.589999996126</v>
      </c>
      <c r="C19" s="395">
        <f t="shared" si="0"/>
        <v>2.0302431772368751E-3</v>
      </c>
      <c r="D19" s="396" t="s">
        <v>233</v>
      </c>
      <c r="E19" s="286">
        <v>45043.33999998495</v>
      </c>
      <c r="F19" s="395">
        <f t="shared" si="1"/>
        <v>2.0668394962087481E-3</v>
      </c>
    </row>
    <row r="20" spans="1:6" x14ac:dyDescent="0.25">
      <c r="A20" s="396" t="s">
        <v>234</v>
      </c>
      <c r="B20" s="286">
        <v>34875.919999994338</v>
      </c>
      <c r="C20" s="395">
        <f t="shared" si="0"/>
        <v>1.1528904263465628E-3</v>
      </c>
      <c r="D20" s="396" t="s">
        <v>234</v>
      </c>
      <c r="E20" s="286">
        <v>8239.2299999929965</v>
      </c>
      <c r="F20" s="395">
        <f t="shared" si="1"/>
        <v>3.7806179520300269E-4</v>
      </c>
    </row>
    <row r="21" spans="1:6" x14ac:dyDescent="0.25">
      <c r="A21" s="392" t="s">
        <v>235</v>
      </c>
      <c r="B21" s="286">
        <v>459222.32000001147</v>
      </c>
      <c r="C21" s="395">
        <f t="shared" si="0"/>
        <v>1.5180474559316483E-2</v>
      </c>
      <c r="D21" s="392" t="s">
        <v>236</v>
      </c>
      <c r="E21" s="286">
        <v>570923.42000001855</v>
      </c>
      <c r="F21" s="395">
        <f t="shared" si="1"/>
        <v>2.6197148652098358E-2</v>
      </c>
    </row>
    <row r="22" spans="1:6" x14ac:dyDescent="0.25">
      <c r="A22" s="396" t="s">
        <v>237</v>
      </c>
      <c r="B22" s="286">
        <v>353620.8900000006</v>
      </c>
      <c r="C22" s="395">
        <f t="shared" si="0"/>
        <v>1.1689616750962209E-2</v>
      </c>
      <c r="D22" s="396" t="s">
        <v>237</v>
      </c>
      <c r="E22" s="286">
        <v>383656.76000000164</v>
      </c>
      <c r="F22" s="395">
        <f t="shared" si="1"/>
        <v>1.7604310527499712E-2</v>
      </c>
    </row>
    <row r="23" spans="1:6" x14ac:dyDescent="0.25">
      <c r="A23" s="396" t="s">
        <v>238</v>
      </c>
      <c r="B23" s="286">
        <v>93481.470000013709</v>
      </c>
      <c r="C23" s="395">
        <f t="shared" si="0"/>
        <v>3.0902092849116737E-3</v>
      </c>
      <c r="D23" s="396" t="s">
        <v>238</v>
      </c>
      <c r="E23" s="286">
        <v>178171.18000001647</v>
      </c>
      <c r="F23" s="395">
        <f t="shared" si="1"/>
        <v>8.1754868069347265E-3</v>
      </c>
    </row>
    <row r="24" spans="1:6" x14ac:dyDescent="0.25">
      <c r="A24" s="396" t="s">
        <v>231</v>
      </c>
      <c r="B24" s="286">
        <v>12119.959999997169</v>
      </c>
      <c r="C24" s="395">
        <f t="shared" si="0"/>
        <v>4.0064852344260147E-4</v>
      </c>
      <c r="D24" s="396" t="s">
        <v>231</v>
      </c>
      <c r="E24" s="286">
        <v>9095.480000000447</v>
      </c>
      <c r="F24" s="395">
        <f t="shared" si="1"/>
        <v>4.173513176639199E-4</v>
      </c>
    </row>
    <row r="25" spans="1:6" x14ac:dyDescent="0.25">
      <c r="A25" s="392" t="s">
        <v>239</v>
      </c>
      <c r="B25" s="286">
        <v>176520.29000000656</v>
      </c>
      <c r="C25" s="395">
        <f t="shared" si="0"/>
        <v>5.8352167454495691E-3</v>
      </c>
      <c r="D25" s="392" t="s">
        <v>240</v>
      </c>
      <c r="E25" s="286">
        <v>198598.88000000268</v>
      </c>
      <c r="F25" s="395">
        <f t="shared" si="1"/>
        <v>9.112823540327256E-3</v>
      </c>
    </row>
    <row r="26" spans="1:6" x14ac:dyDescent="0.25">
      <c r="A26" s="396" t="s">
        <v>241</v>
      </c>
      <c r="B26" s="286">
        <v>180044.53999999911</v>
      </c>
      <c r="C26" s="395">
        <f t="shared" si="0"/>
        <v>5.9517175885827091E-3</v>
      </c>
      <c r="D26" s="396" t="s">
        <v>241</v>
      </c>
      <c r="E26" s="286">
        <v>231688.91000000387</v>
      </c>
      <c r="F26" s="395">
        <f t="shared" si="1"/>
        <v>1.0631178549852696E-2</v>
      </c>
    </row>
    <row r="27" spans="1:6" x14ac:dyDescent="0.25">
      <c r="A27" s="396" t="s">
        <v>239</v>
      </c>
      <c r="B27" s="286">
        <v>-3524.2499999925494</v>
      </c>
      <c r="C27" s="395">
        <f t="shared" si="0"/>
        <v>-1.1650084313314013E-4</v>
      </c>
      <c r="D27" s="396" t="s">
        <v>239</v>
      </c>
      <c r="E27" s="286">
        <v>-33090.030000001192</v>
      </c>
      <c r="F27" s="395">
        <f t="shared" si="1"/>
        <v>-1.5183550095254409E-3</v>
      </c>
    </row>
    <row r="28" spans="1:6" x14ac:dyDescent="0.25">
      <c r="A28" s="392" t="s">
        <v>242</v>
      </c>
      <c r="B28" s="286">
        <v>46068.79999999702</v>
      </c>
      <c r="C28" s="395">
        <f t="shared" si="0"/>
        <v>1.5228925422836079E-3</v>
      </c>
      <c r="D28" s="392" t="s">
        <v>243</v>
      </c>
      <c r="E28" s="286">
        <v>72998.259999994189</v>
      </c>
      <c r="F28" s="395">
        <f t="shared" si="1"/>
        <v>3.3495670374921933E-3</v>
      </c>
    </row>
    <row r="29" spans="1:6" x14ac:dyDescent="0.25">
      <c r="A29" s="396" t="s">
        <v>244</v>
      </c>
      <c r="B29" s="286">
        <v>46068.79999999702</v>
      </c>
      <c r="C29" s="395">
        <f t="shared" si="0"/>
        <v>1.5228925422836079E-3</v>
      </c>
      <c r="D29" s="396" t="s">
        <v>245</v>
      </c>
      <c r="E29" s="286">
        <v>59682.379999995232</v>
      </c>
      <c r="F29" s="395">
        <f t="shared" si="1"/>
        <v>2.7385602446836853E-3</v>
      </c>
    </row>
    <row r="30" spans="1:6" x14ac:dyDescent="0.25">
      <c r="A30" s="392" t="s">
        <v>143</v>
      </c>
      <c r="B30" s="286">
        <v>3396115.83999997</v>
      </c>
      <c r="C30" s="395">
        <f t="shared" si="0"/>
        <v>0.11226512271792448</v>
      </c>
      <c r="D30" s="396" t="s">
        <v>244</v>
      </c>
      <c r="E30" s="286">
        <v>13315.879999998957</v>
      </c>
      <c r="F30" s="395">
        <f t="shared" si="1"/>
        <v>6.1100679280850806E-4</v>
      </c>
    </row>
    <row r="31" spans="1:6" x14ac:dyDescent="0.25">
      <c r="B31"/>
      <c r="C31" s="395">
        <f t="shared" si="0"/>
        <v>0</v>
      </c>
      <c r="D31" s="392" t="s">
        <v>143</v>
      </c>
      <c r="E31" s="286">
        <v>2438575.1500000656</v>
      </c>
      <c r="F31" s="395">
        <f t="shared" si="1"/>
        <v>0.11189541971121572</v>
      </c>
    </row>
    <row r="32" spans="1:6" s="298" customFormat="1" x14ac:dyDescent="0.25">
      <c r="B32" s="391"/>
      <c r="E32" s="391"/>
    </row>
    <row r="33" spans="2:5" s="298" customFormat="1" x14ac:dyDescent="0.25">
      <c r="B33" s="391"/>
      <c r="E33" s="391"/>
    </row>
    <row r="34" spans="2:5" s="298" customFormat="1" x14ac:dyDescent="0.25">
      <c r="B34" s="391"/>
      <c r="E34" s="391"/>
    </row>
    <row r="35" spans="2:5" s="298" customFormat="1" x14ac:dyDescent="0.25">
      <c r="B35" s="391"/>
      <c r="E35" s="391"/>
    </row>
    <row r="36" spans="2:5" s="298" customFormat="1" x14ac:dyDescent="0.25">
      <c r="B36" s="391"/>
      <c r="E36" s="391"/>
    </row>
    <row r="37" spans="2:5" s="298" customFormat="1" x14ac:dyDescent="0.25">
      <c r="B37" s="391"/>
      <c r="E37" s="391"/>
    </row>
    <row r="38" spans="2:5" s="298" customFormat="1" x14ac:dyDescent="0.25">
      <c r="B38" s="391"/>
      <c r="E38" s="391"/>
    </row>
    <row r="39" spans="2:5" s="298" customFormat="1" x14ac:dyDescent="0.25">
      <c r="B39" s="391"/>
      <c r="E39" s="391"/>
    </row>
    <row r="40" spans="2:5" s="298" customFormat="1" x14ac:dyDescent="0.25">
      <c r="B40" s="391"/>
      <c r="E40" s="391"/>
    </row>
    <row r="41" spans="2:5" s="298" customFormat="1" x14ac:dyDescent="0.25">
      <c r="B41" s="391"/>
      <c r="E41" s="391"/>
    </row>
    <row r="42" spans="2:5" s="298" customFormat="1" x14ac:dyDescent="0.25">
      <c r="B42" s="391"/>
      <c r="E42" s="391"/>
    </row>
    <row r="43" spans="2:5" s="298" customFormat="1" x14ac:dyDescent="0.25">
      <c r="B43" s="391"/>
      <c r="E43" s="391"/>
    </row>
    <row r="44" spans="2:5" s="298" customFormat="1" x14ac:dyDescent="0.25">
      <c r="B44" s="391"/>
      <c r="E44" s="391"/>
    </row>
    <row r="45" spans="2:5" s="298" customFormat="1" x14ac:dyDescent="0.25">
      <c r="B45" s="391"/>
      <c r="E45" s="391"/>
    </row>
    <row r="46" spans="2:5" s="298" customFormat="1" x14ac:dyDescent="0.25">
      <c r="B46" s="391"/>
      <c r="E46" s="391"/>
    </row>
    <row r="47" spans="2:5" s="298" customFormat="1" x14ac:dyDescent="0.25">
      <c r="B47" s="391"/>
      <c r="E47" s="391"/>
    </row>
    <row r="48" spans="2:5" s="298" customFormat="1" x14ac:dyDescent="0.25">
      <c r="B48" s="391"/>
      <c r="E48" s="391"/>
    </row>
    <row r="49" spans="2:5" s="298" customFormat="1" x14ac:dyDescent="0.25">
      <c r="B49" s="391"/>
      <c r="E49" s="391"/>
    </row>
    <row r="50" spans="2:5" s="298" customFormat="1" x14ac:dyDescent="0.25">
      <c r="B50" s="391"/>
      <c r="E50" s="391"/>
    </row>
    <row r="51" spans="2:5" s="298" customFormat="1" x14ac:dyDescent="0.25">
      <c r="B51" s="391"/>
      <c r="E51" s="391"/>
    </row>
    <row r="52" spans="2:5" s="298" customFormat="1" x14ac:dyDescent="0.25">
      <c r="B52" s="391"/>
      <c r="E52" s="391"/>
    </row>
    <row r="53" spans="2:5" s="298" customFormat="1" x14ac:dyDescent="0.25">
      <c r="B53" s="391"/>
      <c r="E53" s="391"/>
    </row>
    <row r="54" spans="2:5" s="298" customFormat="1" x14ac:dyDescent="0.25">
      <c r="B54" s="391"/>
      <c r="E54" s="391"/>
    </row>
    <row r="55" spans="2:5" s="298" customFormat="1" x14ac:dyDescent="0.25">
      <c r="B55" s="391"/>
      <c r="E55" s="391"/>
    </row>
    <row r="56" spans="2:5" s="298" customFormat="1" x14ac:dyDescent="0.25">
      <c r="B56" s="391"/>
      <c r="E56" s="391"/>
    </row>
    <row r="57" spans="2:5" s="298" customFormat="1" x14ac:dyDescent="0.25">
      <c r="B57" s="391"/>
      <c r="E57" s="391"/>
    </row>
    <row r="58" spans="2:5" s="298" customFormat="1" x14ac:dyDescent="0.25">
      <c r="B58" s="391"/>
      <c r="E58" s="391"/>
    </row>
    <row r="59" spans="2:5" s="298" customFormat="1" x14ac:dyDescent="0.25">
      <c r="B59" s="391"/>
      <c r="E59" s="391"/>
    </row>
    <row r="60" spans="2:5" s="298" customFormat="1" x14ac:dyDescent="0.25">
      <c r="B60" s="391"/>
      <c r="E60" s="391"/>
    </row>
    <row r="61" spans="2:5" s="298" customFormat="1" x14ac:dyDescent="0.25">
      <c r="B61" s="391"/>
      <c r="E61" s="391"/>
    </row>
    <row r="62" spans="2:5" s="298" customFormat="1" x14ac:dyDescent="0.25">
      <c r="B62" s="391"/>
      <c r="E62" s="391"/>
    </row>
    <row r="63" spans="2:5" s="298" customFormat="1" x14ac:dyDescent="0.25">
      <c r="B63" s="391"/>
      <c r="E63" s="391"/>
    </row>
    <row r="64" spans="2:5" s="298" customFormat="1" x14ac:dyDescent="0.25">
      <c r="B64" s="391"/>
      <c r="E64" s="391"/>
    </row>
    <row r="65" spans="2:5" s="298" customFormat="1" x14ac:dyDescent="0.25">
      <c r="B65" s="391"/>
      <c r="E65" s="391"/>
    </row>
    <row r="66" spans="2:5" s="298" customFormat="1" x14ac:dyDescent="0.25">
      <c r="B66" s="391"/>
      <c r="E66" s="391"/>
    </row>
    <row r="67" spans="2:5" s="298" customFormat="1" x14ac:dyDescent="0.25">
      <c r="B67" s="391"/>
      <c r="E67" s="391"/>
    </row>
    <row r="68" spans="2:5" s="298" customFormat="1" x14ac:dyDescent="0.25">
      <c r="B68" s="391"/>
      <c r="E68" s="391"/>
    </row>
    <row r="69" spans="2:5" s="298" customFormat="1" x14ac:dyDescent="0.25">
      <c r="B69" s="391"/>
      <c r="E69" s="391"/>
    </row>
    <row r="70" spans="2:5" s="298" customFormat="1" x14ac:dyDescent="0.25">
      <c r="B70" s="391"/>
      <c r="E70" s="391"/>
    </row>
    <row r="71" spans="2:5" s="298" customFormat="1" x14ac:dyDescent="0.25">
      <c r="B71" s="391"/>
      <c r="E71" s="391"/>
    </row>
    <row r="72" spans="2:5" s="298" customFormat="1" x14ac:dyDescent="0.25">
      <c r="B72" s="391"/>
      <c r="E72" s="391"/>
    </row>
    <row r="73" spans="2:5" s="298" customFormat="1" x14ac:dyDescent="0.25">
      <c r="B73" s="391"/>
      <c r="E73" s="391"/>
    </row>
    <row r="74" spans="2:5" s="298" customFormat="1" x14ac:dyDescent="0.25">
      <c r="B74" s="391"/>
      <c r="E74" s="391"/>
    </row>
    <row r="75" spans="2:5" s="298" customFormat="1" x14ac:dyDescent="0.25">
      <c r="B75" s="391"/>
      <c r="E75" s="391"/>
    </row>
    <row r="76" spans="2:5" s="298" customFormat="1" x14ac:dyDescent="0.25">
      <c r="B76" s="391"/>
      <c r="E76" s="391"/>
    </row>
    <row r="77" spans="2:5" s="298" customFormat="1" x14ac:dyDescent="0.25">
      <c r="B77" s="391"/>
      <c r="E77" s="391"/>
    </row>
    <row r="78" spans="2:5" s="298" customFormat="1" x14ac:dyDescent="0.25">
      <c r="B78" s="391"/>
      <c r="E78" s="391"/>
    </row>
    <row r="79" spans="2:5" s="298" customFormat="1" x14ac:dyDescent="0.25">
      <c r="B79" s="391"/>
      <c r="E79" s="391"/>
    </row>
    <row r="80" spans="2:5" s="298" customFormat="1" x14ac:dyDescent="0.25">
      <c r="B80" s="391"/>
      <c r="E80" s="391"/>
    </row>
    <row r="81" spans="2:5" s="298" customFormat="1" x14ac:dyDescent="0.25">
      <c r="B81" s="391"/>
      <c r="E81" s="391"/>
    </row>
    <row r="82" spans="2:5" s="298" customFormat="1" x14ac:dyDescent="0.25">
      <c r="B82" s="391"/>
      <c r="E82" s="391"/>
    </row>
    <row r="83" spans="2:5" s="298" customFormat="1" x14ac:dyDescent="0.25">
      <c r="B83" s="391"/>
      <c r="E83" s="391"/>
    </row>
    <row r="84" spans="2:5" s="298" customFormat="1" x14ac:dyDescent="0.25">
      <c r="B84" s="391"/>
      <c r="E84" s="391"/>
    </row>
    <row r="85" spans="2:5" s="298" customFormat="1" x14ac:dyDescent="0.25">
      <c r="B85" s="391"/>
      <c r="E85" s="391"/>
    </row>
    <row r="86" spans="2:5" s="298" customFormat="1" x14ac:dyDescent="0.25">
      <c r="B86" s="391"/>
      <c r="E86" s="391"/>
    </row>
    <row r="87" spans="2:5" s="298" customFormat="1" x14ac:dyDescent="0.25">
      <c r="B87" s="391"/>
      <c r="E87" s="391"/>
    </row>
    <row r="88" spans="2:5" s="298" customFormat="1" x14ac:dyDescent="0.25">
      <c r="B88" s="391"/>
      <c r="E88" s="391"/>
    </row>
    <row r="89" spans="2:5" s="298" customFormat="1" x14ac:dyDescent="0.25">
      <c r="B89" s="391"/>
      <c r="E89" s="391"/>
    </row>
    <row r="90" spans="2:5" s="298" customFormat="1" x14ac:dyDescent="0.25">
      <c r="B90" s="391"/>
      <c r="E90" s="391"/>
    </row>
    <row r="91" spans="2:5" s="298" customFormat="1" x14ac:dyDescent="0.25">
      <c r="B91" s="391"/>
      <c r="E91" s="391"/>
    </row>
    <row r="92" spans="2:5" s="298" customFormat="1" x14ac:dyDescent="0.25">
      <c r="B92" s="391"/>
      <c r="E92" s="391"/>
    </row>
    <row r="93" spans="2:5" s="298" customFormat="1" x14ac:dyDescent="0.25">
      <c r="B93" s="391"/>
      <c r="E93" s="391"/>
    </row>
    <row r="94" spans="2:5" s="298" customFormat="1" x14ac:dyDescent="0.25">
      <c r="B94" s="391"/>
      <c r="E94" s="391"/>
    </row>
    <row r="95" spans="2:5" s="298" customFormat="1" x14ac:dyDescent="0.25">
      <c r="B95" s="391"/>
      <c r="E95" s="391"/>
    </row>
    <row r="96" spans="2:5" s="298" customFormat="1" x14ac:dyDescent="0.25">
      <c r="B96" s="391"/>
      <c r="E96" s="391"/>
    </row>
    <row r="97" spans="2:5" s="298" customFormat="1" x14ac:dyDescent="0.25">
      <c r="B97" s="391"/>
      <c r="E97" s="391"/>
    </row>
    <row r="98" spans="2:5" s="298" customFormat="1" x14ac:dyDescent="0.25">
      <c r="B98" s="391"/>
      <c r="E98" s="391"/>
    </row>
    <row r="99" spans="2:5" s="298" customFormat="1" x14ac:dyDescent="0.25">
      <c r="B99" s="391"/>
      <c r="E99" s="391"/>
    </row>
    <row r="100" spans="2:5" s="298" customFormat="1" x14ac:dyDescent="0.25">
      <c r="B100" s="391"/>
      <c r="E100" s="391"/>
    </row>
    <row r="101" spans="2:5" s="298" customFormat="1" x14ac:dyDescent="0.25">
      <c r="B101" s="391"/>
      <c r="E101" s="391"/>
    </row>
    <row r="102" spans="2:5" s="298" customFormat="1" x14ac:dyDescent="0.25">
      <c r="B102" s="391"/>
      <c r="E102" s="391"/>
    </row>
    <row r="103" spans="2:5" s="298" customFormat="1" x14ac:dyDescent="0.25">
      <c r="B103" s="391"/>
      <c r="E103" s="391"/>
    </row>
    <row r="104" spans="2:5" s="298" customFormat="1" x14ac:dyDescent="0.25">
      <c r="B104" s="391"/>
      <c r="E104" s="391"/>
    </row>
    <row r="105" spans="2:5" s="298" customFormat="1" x14ac:dyDescent="0.25">
      <c r="B105" s="391"/>
      <c r="E105" s="391"/>
    </row>
    <row r="106" spans="2:5" s="298" customFormat="1" x14ac:dyDescent="0.25">
      <c r="B106" s="391"/>
      <c r="E106" s="391"/>
    </row>
    <row r="107" spans="2:5" s="298" customFormat="1" x14ac:dyDescent="0.25">
      <c r="B107" s="391"/>
      <c r="E107" s="391"/>
    </row>
    <row r="108" spans="2:5" s="298" customFormat="1" x14ac:dyDescent="0.25">
      <c r="B108" s="391"/>
      <c r="E108" s="391"/>
    </row>
    <row r="109" spans="2:5" s="298" customFormat="1" x14ac:dyDescent="0.25">
      <c r="B109" s="391"/>
      <c r="E109" s="391"/>
    </row>
    <row r="110" spans="2:5" s="298" customFormat="1" x14ac:dyDescent="0.25">
      <c r="B110" s="391"/>
      <c r="E110" s="391"/>
    </row>
    <row r="111" spans="2:5" s="298" customFormat="1" x14ac:dyDescent="0.25">
      <c r="B111" s="391"/>
      <c r="E111" s="391"/>
    </row>
    <row r="112" spans="2:5" s="298" customFormat="1" x14ac:dyDescent="0.25">
      <c r="B112" s="391"/>
      <c r="E112" s="391"/>
    </row>
    <row r="113" spans="2:5" s="298" customFormat="1" x14ac:dyDescent="0.25">
      <c r="B113" s="391"/>
      <c r="E113" s="391"/>
    </row>
    <row r="114" spans="2:5" s="298" customFormat="1" x14ac:dyDescent="0.25">
      <c r="B114" s="391"/>
      <c r="E114" s="391"/>
    </row>
    <row r="115" spans="2:5" s="298" customFormat="1" x14ac:dyDescent="0.25">
      <c r="B115" s="391"/>
      <c r="E115" s="391"/>
    </row>
    <row r="116" spans="2:5" s="298" customFormat="1" x14ac:dyDescent="0.25">
      <c r="B116" s="391"/>
      <c r="E116" s="391"/>
    </row>
    <row r="117" spans="2:5" s="298" customFormat="1" x14ac:dyDescent="0.25">
      <c r="B117" s="391"/>
      <c r="E117" s="391"/>
    </row>
    <row r="118" spans="2:5" s="298" customFormat="1" x14ac:dyDescent="0.25">
      <c r="B118" s="391"/>
      <c r="E118" s="391"/>
    </row>
    <row r="119" spans="2:5" s="298" customFormat="1" x14ac:dyDescent="0.25">
      <c r="B119" s="391"/>
      <c r="E119" s="391"/>
    </row>
    <row r="120" spans="2:5" s="298" customFormat="1" x14ac:dyDescent="0.25">
      <c r="B120" s="391"/>
      <c r="E120" s="391"/>
    </row>
    <row r="121" spans="2:5" s="298" customFormat="1" x14ac:dyDescent="0.25">
      <c r="B121" s="391"/>
      <c r="E121" s="391"/>
    </row>
    <row r="122" spans="2:5" s="298" customFormat="1" x14ac:dyDescent="0.25">
      <c r="B122" s="391"/>
      <c r="E122" s="391"/>
    </row>
    <row r="123" spans="2:5" s="298" customFormat="1" x14ac:dyDescent="0.25">
      <c r="B123" s="391"/>
      <c r="E123" s="391"/>
    </row>
    <row r="124" spans="2:5" s="298" customFormat="1" x14ac:dyDescent="0.25">
      <c r="B124" s="391"/>
      <c r="E124" s="391"/>
    </row>
    <row r="125" spans="2:5" s="298" customFormat="1" x14ac:dyDescent="0.25">
      <c r="B125" s="391"/>
      <c r="E125" s="391"/>
    </row>
    <row r="126" spans="2:5" s="298" customFormat="1" x14ac:dyDescent="0.25">
      <c r="B126" s="391"/>
      <c r="E126" s="391"/>
    </row>
    <row r="127" spans="2:5" s="298" customFormat="1" x14ac:dyDescent="0.25">
      <c r="B127" s="391"/>
      <c r="E127" s="391"/>
    </row>
    <row r="128" spans="2:5" s="298" customFormat="1" x14ac:dyDescent="0.25">
      <c r="B128" s="391"/>
      <c r="E128" s="391"/>
    </row>
    <row r="129" spans="2:5" s="298" customFormat="1" x14ac:dyDescent="0.25">
      <c r="B129" s="391"/>
      <c r="E129" s="391"/>
    </row>
    <row r="130" spans="2:5" s="298" customFormat="1" x14ac:dyDescent="0.25">
      <c r="B130" s="391"/>
      <c r="E130" s="391"/>
    </row>
    <row r="131" spans="2:5" s="298" customFormat="1" x14ac:dyDescent="0.25">
      <c r="B131" s="391"/>
      <c r="E131" s="391"/>
    </row>
    <row r="132" spans="2:5" s="298" customFormat="1" x14ac:dyDescent="0.25">
      <c r="B132" s="391"/>
      <c r="E132" s="391"/>
    </row>
    <row r="133" spans="2:5" s="298" customFormat="1" x14ac:dyDescent="0.25">
      <c r="B133" s="391"/>
      <c r="E133" s="391"/>
    </row>
    <row r="134" spans="2:5" s="298" customFormat="1" x14ac:dyDescent="0.25">
      <c r="B134" s="391"/>
      <c r="E134" s="391"/>
    </row>
    <row r="135" spans="2:5" s="298" customFormat="1" x14ac:dyDescent="0.25">
      <c r="B135" s="391"/>
      <c r="E135" s="391"/>
    </row>
    <row r="136" spans="2:5" s="298" customFormat="1" x14ac:dyDescent="0.25">
      <c r="B136" s="391"/>
      <c r="E136" s="391"/>
    </row>
    <row r="137" spans="2:5" s="298" customFormat="1" x14ac:dyDescent="0.25">
      <c r="B137" s="391"/>
      <c r="E137" s="391"/>
    </row>
    <row r="138" spans="2:5" s="298" customFormat="1" x14ac:dyDescent="0.25">
      <c r="B138" s="391"/>
      <c r="E138" s="391"/>
    </row>
    <row r="139" spans="2:5" s="298" customFormat="1" x14ac:dyDescent="0.25">
      <c r="B139" s="391"/>
      <c r="E139" s="391"/>
    </row>
    <row r="140" spans="2:5" s="298" customFormat="1" x14ac:dyDescent="0.25">
      <c r="B140" s="391"/>
      <c r="E140" s="391"/>
    </row>
    <row r="141" spans="2:5" s="298" customFormat="1" x14ac:dyDescent="0.25">
      <c r="B141" s="391"/>
      <c r="E141" s="391"/>
    </row>
    <row r="142" spans="2:5" s="298" customFormat="1" x14ac:dyDescent="0.25">
      <c r="B142" s="391"/>
      <c r="E142" s="391"/>
    </row>
    <row r="143" spans="2:5" s="298" customFormat="1" x14ac:dyDescent="0.25">
      <c r="B143" s="391"/>
      <c r="E143" s="391"/>
    </row>
    <row r="144" spans="2:5" s="298" customFormat="1" x14ac:dyDescent="0.25">
      <c r="B144" s="391"/>
      <c r="E144" s="391"/>
    </row>
    <row r="145" spans="2:5" s="298" customFormat="1" x14ac:dyDescent="0.25">
      <c r="B145" s="391"/>
      <c r="E145" s="391"/>
    </row>
    <row r="146" spans="2:5" s="298" customFormat="1" x14ac:dyDescent="0.25">
      <c r="B146" s="391"/>
      <c r="E146" s="391"/>
    </row>
    <row r="147" spans="2:5" s="298" customFormat="1" x14ac:dyDescent="0.25">
      <c r="B147" s="391"/>
      <c r="E147" s="391"/>
    </row>
    <row r="148" spans="2:5" s="298" customFormat="1" x14ac:dyDescent="0.25">
      <c r="B148" s="391"/>
      <c r="E148" s="391"/>
    </row>
    <row r="149" spans="2:5" s="298" customFormat="1" x14ac:dyDescent="0.25">
      <c r="B149" s="391"/>
      <c r="E149" s="391"/>
    </row>
    <row r="150" spans="2:5" s="298" customFormat="1" x14ac:dyDescent="0.25">
      <c r="B150" s="391"/>
      <c r="E150" s="391"/>
    </row>
    <row r="151" spans="2:5" s="298" customFormat="1" x14ac:dyDescent="0.25">
      <c r="B151" s="391"/>
      <c r="E151" s="391"/>
    </row>
    <row r="152" spans="2:5" s="298" customFormat="1" x14ac:dyDescent="0.25">
      <c r="B152" s="391"/>
      <c r="E152" s="391"/>
    </row>
    <row r="153" spans="2:5" s="298" customFormat="1" x14ac:dyDescent="0.25">
      <c r="B153" s="391"/>
      <c r="E153" s="391"/>
    </row>
    <row r="154" spans="2:5" s="298" customFormat="1" x14ac:dyDescent="0.25">
      <c r="B154" s="391"/>
      <c r="E154" s="391"/>
    </row>
    <row r="155" spans="2:5" s="298" customFormat="1" x14ac:dyDescent="0.25">
      <c r="B155" s="391"/>
      <c r="E155" s="391"/>
    </row>
    <row r="156" spans="2:5" s="298" customFormat="1" x14ac:dyDescent="0.25">
      <c r="B156" s="391"/>
      <c r="E156" s="391"/>
    </row>
    <row r="157" spans="2:5" s="298" customFormat="1" x14ac:dyDescent="0.25">
      <c r="B157" s="391"/>
      <c r="E157" s="391"/>
    </row>
    <row r="158" spans="2:5" s="298" customFormat="1" x14ac:dyDescent="0.25">
      <c r="B158" s="391"/>
      <c r="E158" s="391"/>
    </row>
    <row r="159" spans="2:5" s="298" customFormat="1" x14ac:dyDescent="0.25">
      <c r="B159" s="391"/>
      <c r="E159" s="391"/>
    </row>
    <row r="160" spans="2:5" s="298" customFormat="1" x14ac:dyDescent="0.25">
      <c r="B160" s="391"/>
      <c r="E160" s="391"/>
    </row>
    <row r="161" spans="2:5" s="298" customFormat="1" x14ac:dyDescent="0.25">
      <c r="B161" s="391"/>
      <c r="E161" s="391"/>
    </row>
    <row r="162" spans="2:5" s="298" customFormat="1" x14ac:dyDescent="0.25">
      <c r="B162" s="391"/>
      <c r="E162" s="391"/>
    </row>
    <row r="163" spans="2:5" s="298" customFormat="1" x14ac:dyDescent="0.25">
      <c r="B163" s="391"/>
      <c r="E163" s="391"/>
    </row>
    <row r="164" spans="2:5" s="298" customFormat="1" x14ac:dyDescent="0.25">
      <c r="B164" s="391"/>
      <c r="E164" s="391"/>
    </row>
    <row r="165" spans="2:5" s="298" customFormat="1" x14ac:dyDescent="0.25">
      <c r="B165" s="391"/>
      <c r="E165" s="391"/>
    </row>
    <row r="166" spans="2:5" s="298" customFormat="1" x14ac:dyDescent="0.25">
      <c r="B166" s="391"/>
      <c r="E166" s="391"/>
    </row>
    <row r="167" spans="2:5" s="298" customFormat="1" x14ac:dyDescent="0.25">
      <c r="B167" s="391"/>
      <c r="E167" s="391"/>
    </row>
    <row r="168" spans="2:5" s="298" customFormat="1" x14ac:dyDescent="0.25">
      <c r="B168" s="391"/>
      <c r="E168" s="391"/>
    </row>
    <row r="169" spans="2:5" s="298" customFormat="1" x14ac:dyDescent="0.25">
      <c r="B169" s="391"/>
      <c r="E169" s="391"/>
    </row>
    <row r="170" spans="2:5" s="298" customFormat="1" x14ac:dyDescent="0.25">
      <c r="B170" s="391"/>
      <c r="E170" s="391"/>
    </row>
    <row r="171" spans="2:5" s="298" customFormat="1" x14ac:dyDescent="0.25">
      <c r="B171" s="391"/>
      <c r="E171" s="391"/>
    </row>
    <row r="172" spans="2:5" s="298" customFormat="1" x14ac:dyDescent="0.25">
      <c r="B172" s="391"/>
      <c r="E172" s="391"/>
    </row>
    <row r="173" spans="2:5" s="298" customFormat="1" x14ac:dyDescent="0.25">
      <c r="B173" s="391"/>
      <c r="E173" s="391"/>
    </row>
    <row r="174" spans="2:5" s="298" customFormat="1" x14ac:dyDescent="0.25">
      <c r="B174" s="391"/>
      <c r="E174" s="391"/>
    </row>
    <row r="175" spans="2:5" s="298" customFormat="1" x14ac:dyDescent="0.25">
      <c r="B175" s="391"/>
      <c r="E175" s="391"/>
    </row>
    <row r="176" spans="2:5" s="298" customFormat="1" x14ac:dyDescent="0.25">
      <c r="B176" s="391"/>
      <c r="E176" s="391"/>
    </row>
    <row r="177" spans="2:5" s="298" customFormat="1" x14ac:dyDescent="0.25">
      <c r="B177" s="391"/>
      <c r="E177" s="391"/>
    </row>
    <row r="178" spans="2:5" s="298" customFormat="1" x14ac:dyDescent="0.25">
      <c r="B178" s="391"/>
      <c r="E178" s="391"/>
    </row>
    <row r="179" spans="2:5" s="298" customFormat="1" x14ac:dyDescent="0.25">
      <c r="B179" s="391"/>
      <c r="E179" s="391"/>
    </row>
    <row r="180" spans="2:5" s="298" customFormat="1" x14ac:dyDescent="0.25">
      <c r="B180" s="391"/>
      <c r="E180" s="391"/>
    </row>
    <row r="181" spans="2:5" s="298" customFormat="1" x14ac:dyDescent="0.25">
      <c r="B181" s="391"/>
      <c r="E181" s="391"/>
    </row>
    <row r="182" spans="2:5" s="298" customFormat="1" x14ac:dyDescent="0.25">
      <c r="B182" s="391"/>
      <c r="E182" s="391"/>
    </row>
    <row r="183" spans="2:5" s="298" customFormat="1" x14ac:dyDescent="0.25">
      <c r="B183" s="391"/>
      <c r="E183" s="391"/>
    </row>
    <row r="184" spans="2:5" s="298" customFormat="1" x14ac:dyDescent="0.25">
      <c r="B184" s="391"/>
      <c r="E184" s="391"/>
    </row>
    <row r="185" spans="2:5" s="298" customFormat="1" x14ac:dyDescent="0.25">
      <c r="B185" s="391"/>
      <c r="E185" s="391"/>
    </row>
    <row r="186" spans="2:5" s="298" customFormat="1" x14ac:dyDescent="0.25">
      <c r="B186" s="391"/>
      <c r="E186" s="391"/>
    </row>
    <row r="187" spans="2:5" s="298" customFormat="1" x14ac:dyDescent="0.25">
      <c r="B187" s="391"/>
      <c r="E187" s="391"/>
    </row>
    <row r="188" spans="2:5" s="298" customFormat="1" x14ac:dyDescent="0.25">
      <c r="B188" s="391"/>
      <c r="E188" s="391"/>
    </row>
    <row r="189" spans="2:5" s="298" customFormat="1" x14ac:dyDescent="0.25">
      <c r="B189" s="391"/>
      <c r="E189" s="391"/>
    </row>
    <row r="190" spans="2:5" s="298" customFormat="1" x14ac:dyDescent="0.25">
      <c r="B190" s="391"/>
      <c r="E190" s="391"/>
    </row>
    <row r="191" spans="2:5" s="298" customFormat="1" x14ac:dyDescent="0.25">
      <c r="B191" s="391"/>
      <c r="E191" s="391"/>
    </row>
    <row r="192" spans="2:5" s="298" customFormat="1" x14ac:dyDescent="0.25">
      <c r="B192" s="391"/>
      <c r="E192" s="391"/>
    </row>
    <row r="193" spans="2:5" s="298" customFormat="1" x14ac:dyDescent="0.25">
      <c r="B193" s="391"/>
      <c r="E193" s="391"/>
    </row>
    <row r="194" spans="2:5" s="298" customFormat="1" x14ac:dyDescent="0.25">
      <c r="B194" s="391"/>
      <c r="E194" s="391"/>
    </row>
    <row r="195" spans="2:5" s="298" customFormat="1" x14ac:dyDescent="0.25">
      <c r="B195" s="391"/>
      <c r="E195" s="391"/>
    </row>
    <row r="196" spans="2:5" s="298" customFormat="1" x14ac:dyDescent="0.25">
      <c r="B196" s="391"/>
      <c r="E196" s="391"/>
    </row>
    <row r="197" spans="2:5" s="298" customFormat="1" x14ac:dyDescent="0.25">
      <c r="B197" s="391"/>
      <c r="E197" s="391"/>
    </row>
    <row r="198" spans="2:5" s="298" customFormat="1" x14ac:dyDescent="0.25">
      <c r="B198" s="391"/>
      <c r="E198" s="391"/>
    </row>
    <row r="199" spans="2:5" s="298" customFormat="1" x14ac:dyDescent="0.25">
      <c r="B199" s="391"/>
      <c r="E199" s="391"/>
    </row>
    <row r="200" spans="2:5" s="298" customFormat="1" x14ac:dyDescent="0.25">
      <c r="B200" s="391"/>
      <c r="E200" s="391"/>
    </row>
    <row r="201" spans="2:5" s="298" customFormat="1" x14ac:dyDescent="0.25">
      <c r="B201" s="391"/>
      <c r="E201" s="391"/>
    </row>
    <row r="202" spans="2:5" s="298" customFormat="1" x14ac:dyDescent="0.25">
      <c r="B202" s="391"/>
      <c r="E202" s="391"/>
    </row>
    <row r="203" spans="2:5" s="298" customFormat="1" x14ac:dyDescent="0.25">
      <c r="B203" s="391"/>
      <c r="E203" s="391"/>
    </row>
    <row r="204" spans="2:5" s="298" customFormat="1" x14ac:dyDescent="0.25">
      <c r="B204" s="391"/>
      <c r="E204" s="391"/>
    </row>
    <row r="205" spans="2:5" s="298" customFormat="1" x14ac:dyDescent="0.25">
      <c r="B205" s="391"/>
      <c r="E205" s="391"/>
    </row>
    <row r="206" spans="2:5" s="298" customFormat="1" x14ac:dyDescent="0.25">
      <c r="B206" s="391"/>
      <c r="E206" s="391"/>
    </row>
    <row r="207" spans="2:5" s="298" customFormat="1" x14ac:dyDescent="0.25">
      <c r="B207" s="391"/>
      <c r="E207" s="391"/>
    </row>
    <row r="208" spans="2:5" s="298" customFormat="1" x14ac:dyDescent="0.25">
      <c r="B208" s="391"/>
      <c r="E208" s="391"/>
    </row>
    <row r="209" spans="2:5" s="298" customFormat="1" x14ac:dyDescent="0.25">
      <c r="B209" s="391"/>
      <c r="E209" s="391"/>
    </row>
    <row r="210" spans="2:5" s="298" customFormat="1" x14ac:dyDescent="0.25">
      <c r="B210" s="391"/>
      <c r="E210" s="391"/>
    </row>
    <row r="211" spans="2:5" s="298" customFormat="1" x14ac:dyDescent="0.25">
      <c r="B211" s="391"/>
      <c r="E211" s="391"/>
    </row>
    <row r="212" spans="2:5" s="298" customFormat="1" x14ac:dyDescent="0.25">
      <c r="B212" s="391"/>
      <c r="E212" s="391"/>
    </row>
    <row r="213" spans="2:5" s="298" customFormat="1" x14ac:dyDescent="0.25">
      <c r="B213" s="391"/>
      <c r="E213" s="391"/>
    </row>
    <row r="214" spans="2:5" s="298" customFormat="1" x14ac:dyDescent="0.25">
      <c r="B214" s="391"/>
      <c r="E214" s="391"/>
    </row>
    <row r="215" spans="2:5" s="298" customFormat="1" x14ac:dyDescent="0.25">
      <c r="B215" s="391"/>
      <c r="E215" s="391"/>
    </row>
    <row r="216" spans="2:5" s="298" customFormat="1" x14ac:dyDescent="0.25">
      <c r="B216" s="391"/>
      <c r="E216" s="391"/>
    </row>
    <row r="217" spans="2:5" s="298" customFormat="1" x14ac:dyDescent="0.25">
      <c r="B217" s="391"/>
      <c r="E217" s="391"/>
    </row>
    <row r="218" spans="2:5" s="298" customFormat="1" x14ac:dyDescent="0.25">
      <c r="B218" s="391"/>
      <c r="E218" s="391"/>
    </row>
    <row r="219" spans="2:5" s="298" customFormat="1" x14ac:dyDescent="0.25">
      <c r="B219" s="391"/>
      <c r="E219" s="391"/>
    </row>
    <row r="220" spans="2:5" s="298" customFormat="1" x14ac:dyDescent="0.25">
      <c r="B220" s="391"/>
      <c r="E220" s="391"/>
    </row>
    <row r="221" spans="2:5" s="298" customFormat="1" x14ac:dyDescent="0.25">
      <c r="B221" s="391"/>
      <c r="E221" s="391"/>
    </row>
    <row r="222" spans="2:5" s="298" customFormat="1" x14ac:dyDescent="0.25">
      <c r="B222" s="391"/>
      <c r="E222" s="391"/>
    </row>
    <row r="223" spans="2:5" s="298" customFormat="1" x14ac:dyDescent="0.25">
      <c r="B223" s="391"/>
      <c r="E223" s="391"/>
    </row>
    <row r="224" spans="2:5" s="298" customFormat="1" x14ac:dyDescent="0.25">
      <c r="B224" s="391"/>
      <c r="E224" s="391"/>
    </row>
    <row r="225" spans="2:5" s="298" customFormat="1" x14ac:dyDescent="0.25">
      <c r="B225" s="391"/>
      <c r="E225" s="391"/>
    </row>
    <row r="226" spans="2:5" s="298" customFormat="1" x14ac:dyDescent="0.25">
      <c r="B226" s="391"/>
      <c r="E226" s="391"/>
    </row>
    <row r="227" spans="2:5" s="298" customFormat="1" x14ac:dyDescent="0.25">
      <c r="B227" s="391"/>
      <c r="E227" s="391"/>
    </row>
    <row r="228" spans="2:5" s="298" customFormat="1" x14ac:dyDescent="0.25">
      <c r="B228" s="391"/>
      <c r="E228" s="391"/>
    </row>
    <row r="229" spans="2:5" s="298" customFormat="1" x14ac:dyDescent="0.25">
      <c r="B229" s="391"/>
      <c r="E229" s="391"/>
    </row>
    <row r="230" spans="2:5" s="298" customFormat="1" x14ac:dyDescent="0.25">
      <c r="B230" s="391"/>
      <c r="E230" s="391"/>
    </row>
    <row r="231" spans="2:5" s="298" customFormat="1" x14ac:dyDescent="0.25">
      <c r="B231" s="391"/>
      <c r="E231" s="391"/>
    </row>
    <row r="232" spans="2:5" s="298" customFormat="1" x14ac:dyDescent="0.25">
      <c r="B232" s="391"/>
      <c r="E232" s="391"/>
    </row>
    <row r="233" spans="2:5" s="298" customFormat="1" x14ac:dyDescent="0.25">
      <c r="B233" s="391"/>
      <c r="E233" s="391"/>
    </row>
    <row r="234" spans="2:5" s="298" customFormat="1" x14ac:dyDescent="0.25">
      <c r="B234" s="391"/>
      <c r="E234" s="391"/>
    </row>
    <row r="235" spans="2:5" s="298" customFormat="1" x14ac:dyDescent="0.25">
      <c r="B235" s="391"/>
      <c r="E235" s="391"/>
    </row>
    <row r="236" spans="2:5" s="298" customFormat="1" x14ac:dyDescent="0.25">
      <c r="B236" s="391"/>
      <c r="E236" s="391"/>
    </row>
    <row r="237" spans="2:5" s="298" customFormat="1" x14ac:dyDescent="0.25">
      <c r="B237" s="391"/>
      <c r="E237" s="391"/>
    </row>
    <row r="238" spans="2:5" s="298" customFormat="1" x14ac:dyDescent="0.25">
      <c r="B238" s="391"/>
      <c r="E238" s="391"/>
    </row>
    <row r="239" spans="2:5" s="298" customFormat="1" x14ac:dyDescent="0.25">
      <c r="B239" s="391"/>
      <c r="E239" s="391"/>
    </row>
    <row r="240" spans="2:5" s="298" customFormat="1" x14ac:dyDescent="0.25">
      <c r="B240" s="391"/>
      <c r="E240" s="391"/>
    </row>
    <row r="241" spans="2:5" s="298" customFormat="1" x14ac:dyDescent="0.25">
      <c r="B241" s="391"/>
      <c r="E241" s="391"/>
    </row>
    <row r="242" spans="2:5" s="298" customFormat="1" x14ac:dyDescent="0.25">
      <c r="B242" s="391"/>
      <c r="E242" s="391"/>
    </row>
    <row r="243" spans="2:5" s="298" customFormat="1" x14ac:dyDescent="0.25">
      <c r="B243" s="391"/>
      <c r="E243" s="391"/>
    </row>
    <row r="244" spans="2:5" s="298" customFormat="1" x14ac:dyDescent="0.25">
      <c r="B244" s="391"/>
      <c r="E244" s="391"/>
    </row>
    <row r="245" spans="2:5" s="298" customFormat="1" x14ac:dyDescent="0.25">
      <c r="B245" s="391"/>
      <c r="E245" s="391"/>
    </row>
    <row r="246" spans="2:5" s="298" customFormat="1" x14ac:dyDescent="0.25">
      <c r="B246" s="391"/>
      <c r="E246" s="391"/>
    </row>
    <row r="247" spans="2:5" s="298" customFormat="1" x14ac:dyDescent="0.25">
      <c r="B247" s="391"/>
      <c r="E247" s="391"/>
    </row>
    <row r="248" spans="2:5" s="298" customFormat="1" x14ac:dyDescent="0.25">
      <c r="B248" s="391"/>
      <c r="E248" s="391"/>
    </row>
    <row r="249" spans="2:5" s="298" customFormat="1" x14ac:dyDescent="0.25">
      <c r="B249" s="391"/>
      <c r="E249" s="391"/>
    </row>
    <row r="250" spans="2:5" s="298" customFormat="1" x14ac:dyDescent="0.25">
      <c r="B250" s="391"/>
      <c r="E250" s="391"/>
    </row>
    <row r="251" spans="2:5" s="298" customFormat="1" x14ac:dyDescent="0.25">
      <c r="B251" s="391"/>
      <c r="E251" s="391"/>
    </row>
    <row r="252" spans="2:5" s="298" customFormat="1" x14ac:dyDescent="0.25">
      <c r="B252" s="391"/>
      <c r="E252" s="391"/>
    </row>
    <row r="253" spans="2:5" s="298" customFormat="1" x14ac:dyDescent="0.25">
      <c r="B253" s="391"/>
      <c r="E253" s="391"/>
    </row>
    <row r="254" spans="2:5" s="298" customFormat="1" x14ac:dyDescent="0.25">
      <c r="B254" s="391"/>
      <c r="E254" s="391"/>
    </row>
    <row r="255" spans="2:5" s="298" customFormat="1" x14ac:dyDescent="0.25">
      <c r="B255" s="391"/>
      <c r="E255" s="391"/>
    </row>
    <row r="256" spans="2:5" s="298" customFormat="1" x14ac:dyDescent="0.25">
      <c r="B256" s="391"/>
      <c r="E256" s="391"/>
    </row>
    <row r="257" spans="2:5" s="298" customFormat="1" x14ac:dyDescent="0.25">
      <c r="B257" s="391"/>
      <c r="E257" s="391"/>
    </row>
    <row r="258" spans="2:5" s="298" customFormat="1" x14ac:dyDescent="0.25">
      <c r="B258" s="391"/>
      <c r="E258" s="391"/>
    </row>
    <row r="259" spans="2:5" s="298" customFormat="1" x14ac:dyDescent="0.25">
      <c r="B259" s="391"/>
      <c r="E259" s="391"/>
    </row>
    <row r="260" spans="2:5" s="298" customFormat="1" x14ac:dyDescent="0.25">
      <c r="B260" s="391"/>
      <c r="E260" s="391"/>
    </row>
    <row r="261" spans="2:5" s="298" customFormat="1" x14ac:dyDescent="0.25">
      <c r="B261" s="391"/>
      <c r="E261" s="391"/>
    </row>
    <row r="262" spans="2:5" s="298" customFormat="1" x14ac:dyDescent="0.25">
      <c r="B262" s="391"/>
      <c r="E262" s="391"/>
    </row>
    <row r="263" spans="2:5" s="298" customFormat="1" x14ac:dyDescent="0.25">
      <c r="B263" s="391"/>
      <c r="E263" s="391"/>
    </row>
    <row r="264" spans="2:5" s="298" customFormat="1" x14ac:dyDescent="0.25">
      <c r="B264" s="391"/>
      <c r="E264" s="391"/>
    </row>
    <row r="265" spans="2:5" s="298" customFormat="1" x14ac:dyDescent="0.25">
      <c r="B265" s="391"/>
      <c r="E265" s="391"/>
    </row>
    <row r="266" spans="2:5" s="298" customFormat="1" x14ac:dyDescent="0.25">
      <c r="B266" s="391"/>
      <c r="E266" s="391"/>
    </row>
    <row r="267" spans="2:5" s="298" customFormat="1" x14ac:dyDescent="0.25">
      <c r="B267" s="391"/>
      <c r="E267" s="391"/>
    </row>
    <row r="268" spans="2:5" s="298" customFormat="1" x14ac:dyDescent="0.25">
      <c r="B268" s="391"/>
      <c r="E268" s="391"/>
    </row>
    <row r="269" spans="2:5" s="298" customFormat="1" x14ac:dyDescent="0.25">
      <c r="B269" s="391"/>
      <c r="E269" s="391"/>
    </row>
    <row r="270" spans="2:5" s="298" customFormat="1" x14ac:dyDescent="0.25">
      <c r="B270" s="391"/>
      <c r="E270" s="391"/>
    </row>
    <row r="271" spans="2:5" s="298" customFormat="1" x14ac:dyDescent="0.25">
      <c r="B271" s="391"/>
      <c r="E271" s="391"/>
    </row>
    <row r="272" spans="2:5" s="298" customFormat="1" x14ac:dyDescent="0.25">
      <c r="B272" s="391"/>
      <c r="E272" s="391"/>
    </row>
    <row r="273" spans="2:5" s="298" customFormat="1" x14ac:dyDescent="0.25">
      <c r="B273" s="391"/>
      <c r="E273" s="391"/>
    </row>
    <row r="274" spans="2:5" s="298" customFormat="1" x14ac:dyDescent="0.25">
      <c r="B274" s="391"/>
      <c r="E274" s="391"/>
    </row>
    <row r="275" spans="2:5" s="298" customFormat="1" x14ac:dyDescent="0.25">
      <c r="B275" s="391"/>
      <c r="E275" s="391"/>
    </row>
    <row r="276" spans="2:5" s="298" customFormat="1" x14ac:dyDescent="0.25">
      <c r="B276" s="391"/>
      <c r="E276" s="391"/>
    </row>
    <row r="277" spans="2:5" s="298" customFormat="1" x14ac:dyDescent="0.25">
      <c r="B277" s="391"/>
      <c r="E277" s="391"/>
    </row>
    <row r="278" spans="2:5" s="298" customFormat="1" x14ac:dyDescent="0.25">
      <c r="B278" s="391"/>
      <c r="E278" s="391"/>
    </row>
    <row r="279" spans="2:5" s="298" customFormat="1" x14ac:dyDescent="0.25">
      <c r="B279" s="391"/>
      <c r="E279" s="391"/>
    </row>
    <row r="280" spans="2:5" s="298" customFormat="1" x14ac:dyDescent="0.25">
      <c r="B280" s="391"/>
      <c r="E280" s="391"/>
    </row>
    <row r="281" spans="2:5" s="298" customFormat="1" x14ac:dyDescent="0.25">
      <c r="B281" s="391"/>
      <c r="E281" s="391"/>
    </row>
    <row r="282" spans="2:5" s="298" customFormat="1" x14ac:dyDescent="0.25">
      <c r="B282" s="391"/>
      <c r="E282" s="391"/>
    </row>
    <row r="283" spans="2:5" s="298" customFormat="1" x14ac:dyDescent="0.25">
      <c r="B283" s="391"/>
      <c r="E283" s="391"/>
    </row>
    <row r="284" spans="2:5" s="298" customFormat="1" x14ac:dyDescent="0.25">
      <c r="B284" s="391"/>
      <c r="E284" s="391"/>
    </row>
    <row r="285" spans="2:5" s="298" customFormat="1" x14ac:dyDescent="0.25">
      <c r="B285" s="391"/>
      <c r="E285" s="391"/>
    </row>
    <row r="286" spans="2:5" s="298" customFormat="1" x14ac:dyDescent="0.25">
      <c r="B286" s="391"/>
      <c r="E286" s="391"/>
    </row>
    <row r="287" spans="2:5" s="298" customFormat="1" x14ac:dyDescent="0.25">
      <c r="B287" s="391"/>
      <c r="E287" s="391"/>
    </row>
    <row r="288" spans="2:5" s="298" customFormat="1" x14ac:dyDescent="0.25">
      <c r="B288" s="391"/>
      <c r="E288" s="391"/>
    </row>
    <row r="289" spans="2:5" s="298" customFormat="1" x14ac:dyDescent="0.25">
      <c r="B289" s="391"/>
      <c r="E289" s="391"/>
    </row>
    <row r="290" spans="2:5" s="298" customFormat="1" x14ac:dyDescent="0.25">
      <c r="B290" s="391"/>
      <c r="E290" s="391"/>
    </row>
    <row r="291" spans="2:5" s="298" customFormat="1" x14ac:dyDescent="0.25">
      <c r="B291" s="391"/>
      <c r="E291" s="391"/>
    </row>
    <row r="292" spans="2:5" s="298" customFormat="1" x14ac:dyDescent="0.25">
      <c r="B292" s="391"/>
      <c r="E292" s="391"/>
    </row>
    <row r="293" spans="2:5" s="298" customFormat="1" x14ac:dyDescent="0.25">
      <c r="B293" s="391"/>
      <c r="E293" s="391"/>
    </row>
    <row r="294" spans="2:5" s="298" customFormat="1" x14ac:dyDescent="0.25">
      <c r="B294" s="391"/>
      <c r="E294" s="391"/>
    </row>
    <row r="295" spans="2:5" s="298" customFormat="1" x14ac:dyDescent="0.25">
      <c r="B295" s="391"/>
      <c r="E295" s="391"/>
    </row>
    <row r="296" spans="2:5" s="298" customFormat="1" x14ac:dyDescent="0.25">
      <c r="B296" s="391"/>
      <c r="E296" s="391"/>
    </row>
    <row r="297" spans="2:5" s="298" customFormat="1" x14ac:dyDescent="0.25">
      <c r="B297" s="391"/>
      <c r="E297" s="391"/>
    </row>
    <row r="298" spans="2:5" s="298" customFormat="1" x14ac:dyDescent="0.25">
      <c r="B298" s="391"/>
      <c r="E298" s="391"/>
    </row>
    <row r="299" spans="2:5" s="298" customFormat="1" x14ac:dyDescent="0.25">
      <c r="B299" s="391"/>
      <c r="E299" s="391"/>
    </row>
    <row r="300" spans="2:5" s="298" customFormat="1" x14ac:dyDescent="0.25">
      <c r="B300" s="391"/>
      <c r="E300" s="391"/>
    </row>
    <row r="301" spans="2:5" s="298" customFormat="1" x14ac:dyDescent="0.25">
      <c r="B301" s="391"/>
      <c r="E301" s="391"/>
    </row>
    <row r="302" spans="2:5" s="298" customFormat="1" x14ac:dyDescent="0.25">
      <c r="B302" s="391"/>
      <c r="E302" s="391"/>
    </row>
    <row r="303" spans="2:5" s="298" customFormat="1" x14ac:dyDescent="0.25">
      <c r="B303" s="391"/>
      <c r="E303" s="391"/>
    </row>
    <row r="304" spans="2:5" s="298" customFormat="1" x14ac:dyDescent="0.25">
      <c r="B304" s="391"/>
      <c r="E304" s="391"/>
    </row>
    <row r="305" spans="2:5" s="298" customFormat="1" x14ac:dyDescent="0.25">
      <c r="B305" s="391"/>
      <c r="E305" s="391"/>
    </row>
    <row r="306" spans="2:5" s="298" customFormat="1" x14ac:dyDescent="0.25">
      <c r="B306" s="391"/>
      <c r="E306" s="391"/>
    </row>
    <row r="307" spans="2:5" s="298" customFormat="1" x14ac:dyDescent="0.25">
      <c r="B307" s="391"/>
      <c r="E307" s="391"/>
    </row>
    <row r="308" spans="2:5" s="298" customFormat="1" x14ac:dyDescent="0.25">
      <c r="B308" s="391"/>
      <c r="E308" s="391"/>
    </row>
    <row r="309" spans="2:5" s="298" customFormat="1" x14ac:dyDescent="0.25">
      <c r="B309" s="391"/>
      <c r="E309" s="391"/>
    </row>
    <row r="310" spans="2:5" s="298" customFormat="1" x14ac:dyDescent="0.25">
      <c r="B310" s="391"/>
      <c r="E310" s="391"/>
    </row>
    <row r="311" spans="2:5" s="298" customFormat="1" x14ac:dyDescent="0.25">
      <c r="B311" s="391"/>
      <c r="E311" s="391"/>
    </row>
    <row r="312" spans="2:5" s="298" customFormat="1" x14ac:dyDescent="0.25">
      <c r="B312" s="391"/>
      <c r="E312" s="391"/>
    </row>
    <row r="313" spans="2:5" s="298" customFormat="1" x14ac:dyDescent="0.25">
      <c r="B313" s="391"/>
      <c r="E313" s="391"/>
    </row>
    <row r="314" spans="2:5" s="298" customFormat="1" x14ac:dyDescent="0.25">
      <c r="B314" s="391"/>
      <c r="E314" s="391"/>
    </row>
    <row r="315" spans="2:5" s="298" customFormat="1" x14ac:dyDescent="0.25">
      <c r="B315" s="391"/>
      <c r="E315" s="391"/>
    </row>
    <row r="316" spans="2:5" s="298" customFormat="1" x14ac:dyDescent="0.25">
      <c r="B316" s="391"/>
      <c r="E316" s="391"/>
    </row>
    <row r="317" spans="2:5" s="298" customFormat="1" x14ac:dyDescent="0.25">
      <c r="B317" s="391"/>
      <c r="E317" s="391"/>
    </row>
    <row r="318" spans="2:5" s="298" customFormat="1" x14ac:dyDescent="0.25">
      <c r="B318" s="391"/>
      <c r="E318" s="391"/>
    </row>
    <row r="319" spans="2:5" s="298" customFormat="1" x14ac:dyDescent="0.25">
      <c r="B319" s="391"/>
      <c r="E319" s="391"/>
    </row>
    <row r="320" spans="2:5" s="298" customFormat="1" x14ac:dyDescent="0.25">
      <c r="B320" s="391"/>
      <c r="E320" s="391"/>
    </row>
    <row r="321" spans="2:5" s="298" customFormat="1" x14ac:dyDescent="0.25">
      <c r="B321" s="391"/>
      <c r="E321" s="391"/>
    </row>
    <row r="322" spans="2:5" s="298" customFormat="1" x14ac:dyDescent="0.25">
      <c r="B322" s="391"/>
      <c r="E322" s="391"/>
    </row>
    <row r="323" spans="2:5" s="298" customFormat="1" x14ac:dyDescent="0.25">
      <c r="B323" s="391"/>
      <c r="E323" s="391"/>
    </row>
    <row r="324" spans="2:5" s="298" customFormat="1" x14ac:dyDescent="0.25">
      <c r="B324" s="391"/>
      <c r="E324" s="391"/>
    </row>
    <row r="325" spans="2:5" s="298" customFormat="1" x14ac:dyDescent="0.25">
      <c r="B325" s="391"/>
      <c r="E325" s="391"/>
    </row>
    <row r="326" spans="2:5" s="298" customFormat="1" x14ac:dyDescent="0.25">
      <c r="B326" s="391"/>
      <c r="E326" s="391"/>
    </row>
    <row r="327" spans="2:5" s="298" customFormat="1" x14ac:dyDescent="0.25">
      <c r="B327" s="391"/>
      <c r="E327" s="391"/>
    </row>
    <row r="328" spans="2:5" s="298" customFormat="1" x14ac:dyDescent="0.25">
      <c r="B328" s="391"/>
      <c r="E328" s="391"/>
    </row>
    <row r="329" spans="2:5" s="298" customFormat="1" x14ac:dyDescent="0.25">
      <c r="B329" s="391"/>
      <c r="E329" s="391"/>
    </row>
    <row r="330" spans="2:5" s="298" customFormat="1" x14ac:dyDescent="0.25">
      <c r="B330" s="391"/>
      <c r="E330" s="391"/>
    </row>
    <row r="331" spans="2:5" s="298" customFormat="1" x14ac:dyDescent="0.25">
      <c r="B331" s="391"/>
      <c r="E331" s="391"/>
    </row>
    <row r="332" spans="2:5" s="298" customFormat="1" x14ac:dyDescent="0.25">
      <c r="B332" s="391"/>
      <c r="E332" s="391"/>
    </row>
    <row r="333" spans="2:5" s="298" customFormat="1" x14ac:dyDescent="0.25">
      <c r="B333" s="391"/>
      <c r="E333" s="391"/>
    </row>
    <row r="334" spans="2:5" s="298" customFormat="1" x14ac:dyDescent="0.25">
      <c r="B334" s="391"/>
      <c r="E334" s="391"/>
    </row>
    <row r="335" spans="2:5" s="298" customFormat="1" x14ac:dyDescent="0.25">
      <c r="B335" s="391"/>
      <c r="E335" s="391"/>
    </row>
    <row r="336" spans="2:5" s="298" customFormat="1" x14ac:dyDescent="0.25">
      <c r="B336" s="391"/>
      <c r="E336" s="391"/>
    </row>
    <row r="337" spans="2:5" s="298" customFormat="1" x14ac:dyDescent="0.25">
      <c r="B337" s="391"/>
      <c r="E337" s="391"/>
    </row>
    <row r="338" spans="2:5" s="298" customFormat="1" x14ac:dyDescent="0.25">
      <c r="B338" s="391"/>
      <c r="E338" s="391"/>
    </row>
    <row r="339" spans="2:5" s="298" customFormat="1" x14ac:dyDescent="0.25">
      <c r="B339" s="391"/>
      <c r="E339" s="391"/>
    </row>
    <row r="340" spans="2:5" s="298" customFormat="1" x14ac:dyDescent="0.25">
      <c r="B340" s="391"/>
      <c r="E340" s="391"/>
    </row>
    <row r="341" spans="2:5" s="298" customFormat="1" x14ac:dyDescent="0.25">
      <c r="B341" s="391"/>
      <c r="E341" s="391"/>
    </row>
    <row r="342" spans="2:5" s="298" customFormat="1" x14ac:dyDescent="0.25">
      <c r="B342" s="391"/>
      <c r="E342" s="391"/>
    </row>
    <row r="343" spans="2:5" s="298" customFormat="1" x14ac:dyDescent="0.25">
      <c r="B343" s="391"/>
      <c r="E343" s="391"/>
    </row>
    <row r="344" spans="2:5" s="298" customFormat="1" x14ac:dyDescent="0.25">
      <c r="B344" s="391"/>
      <c r="E344" s="391"/>
    </row>
    <row r="345" spans="2:5" s="298" customFormat="1" x14ac:dyDescent="0.25">
      <c r="B345" s="391"/>
      <c r="E345" s="391"/>
    </row>
    <row r="346" spans="2:5" s="298" customFormat="1" x14ac:dyDescent="0.25">
      <c r="B346" s="391"/>
      <c r="E346" s="391"/>
    </row>
    <row r="347" spans="2:5" s="298" customFormat="1" x14ac:dyDescent="0.25">
      <c r="B347" s="391"/>
      <c r="E347" s="391"/>
    </row>
    <row r="348" spans="2:5" s="298" customFormat="1" x14ac:dyDescent="0.25">
      <c r="B348" s="391"/>
      <c r="E348" s="391"/>
    </row>
    <row r="349" spans="2:5" s="298" customFormat="1" x14ac:dyDescent="0.25">
      <c r="B349" s="391"/>
      <c r="E349" s="391"/>
    </row>
    <row r="350" spans="2:5" s="298" customFormat="1" x14ac:dyDescent="0.25">
      <c r="B350" s="391"/>
      <c r="E350" s="391"/>
    </row>
    <row r="351" spans="2:5" s="298" customFormat="1" x14ac:dyDescent="0.25">
      <c r="B351" s="391"/>
      <c r="E351" s="391"/>
    </row>
    <row r="352" spans="2:5" s="298" customFormat="1" x14ac:dyDescent="0.25">
      <c r="B352" s="391"/>
      <c r="E352" s="391"/>
    </row>
    <row r="353" spans="2:5" s="298" customFormat="1" x14ac:dyDescent="0.25">
      <c r="B353" s="391"/>
      <c r="E353" s="391"/>
    </row>
    <row r="354" spans="2:5" s="298" customFormat="1" x14ac:dyDescent="0.25">
      <c r="B354" s="391"/>
      <c r="E354" s="391"/>
    </row>
    <row r="355" spans="2:5" s="298" customFormat="1" x14ac:dyDescent="0.25">
      <c r="B355" s="391"/>
      <c r="E355" s="391"/>
    </row>
    <row r="356" spans="2:5" s="298" customFormat="1" x14ac:dyDescent="0.25">
      <c r="B356" s="391"/>
      <c r="E356" s="391"/>
    </row>
    <row r="357" spans="2:5" s="298" customFormat="1" x14ac:dyDescent="0.25">
      <c r="B357" s="391"/>
      <c r="E357" s="391"/>
    </row>
    <row r="358" spans="2:5" s="298" customFormat="1" x14ac:dyDescent="0.25">
      <c r="B358" s="391"/>
      <c r="E358" s="391"/>
    </row>
    <row r="359" spans="2:5" s="298" customFormat="1" x14ac:dyDescent="0.25">
      <c r="B359" s="391"/>
      <c r="E359" s="391"/>
    </row>
    <row r="360" spans="2:5" s="298" customFormat="1" x14ac:dyDescent="0.25">
      <c r="B360" s="391"/>
      <c r="E360" s="391"/>
    </row>
    <row r="361" spans="2:5" s="298" customFormat="1" x14ac:dyDescent="0.25">
      <c r="B361" s="391"/>
      <c r="E361" s="391"/>
    </row>
    <row r="362" spans="2:5" s="298" customFormat="1" x14ac:dyDescent="0.25">
      <c r="B362" s="391"/>
      <c r="E362" s="391"/>
    </row>
    <row r="363" spans="2:5" s="298" customFormat="1" x14ac:dyDescent="0.25">
      <c r="B363" s="391"/>
      <c r="E363" s="391"/>
    </row>
    <row r="364" spans="2:5" s="298" customFormat="1" x14ac:dyDescent="0.25">
      <c r="B364" s="391"/>
      <c r="E364" s="391"/>
    </row>
    <row r="365" spans="2:5" s="298" customFormat="1" x14ac:dyDescent="0.25">
      <c r="B365" s="391"/>
      <c r="E365" s="391"/>
    </row>
    <row r="366" spans="2:5" s="298" customFormat="1" x14ac:dyDescent="0.25">
      <c r="B366" s="391"/>
      <c r="E366" s="391"/>
    </row>
  </sheetData>
  <mergeCells count="1">
    <mergeCell ref="A5:F5"/>
  </mergeCells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E1CF17-CF9F-4F2A-A3A1-3230958C41E3}">
  <dimension ref="B1:S28"/>
  <sheetViews>
    <sheetView workbookViewId="0">
      <selection sqref="A1:XFD1048576"/>
    </sheetView>
  </sheetViews>
  <sheetFormatPr baseColWidth="10" defaultColWidth="9.140625" defaultRowHeight="15" x14ac:dyDescent="0.25"/>
  <cols>
    <col min="1" max="1" width="1.85546875" customWidth="1"/>
    <col min="18" max="18" width="3.42578125" customWidth="1"/>
    <col min="19" max="19" width="1.85546875" customWidth="1"/>
  </cols>
  <sheetData>
    <row r="1" spans="2:19" ht="15.75" thickBot="1" x14ac:dyDescent="0.3"/>
    <row r="2" spans="2:19" ht="21" thickBot="1" x14ac:dyDescent="0.35">
      <c r="B2" s="398" t="s">
        <v>1</v>
      </c>
      <c r="C2" s="399"/>
      <c r="D2" s="399"/>
      <c r="E2" s="399"/>
      <c r="F2" s="399"/>
      <c r="G2" s="399"/>
      <c r="H2" s="399"/>
      <c r="I2" s="399"/>
      <c r="J2" s="399"/>
      <c r="K2" s="399"/>
      <c r="L2" s="399"/>
      <c r="M2" s="399"/>
      <c r="N2" s="399"/>
      <c r="O2" s="399"/>
      <c r="P2" s="399"/>
      <c r="Q2" s="399"/>
      <c r="R2" s="400"/>
      <c r="S2" s="1"/>
    </row>
    <row r="28" spans="5:15" ht="18" x14ac:dyDescent="0.25"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</row>
  </sheetData>
  <mergeCells count="1">
    <mergeCell ref="B2:R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CA2D1-3B0B-4170-A4B7-DD9DD75C932D}">
  <dimension ref="A1:S90"/>
  <sheetViews>
    <sheetView workbookViewId="0">
      <selection sqref="A1:XFD1048576"/>
    </sheetView>
  </sheetViews>
  <sheetFormatPr baseColWidth="10" defaultColWidth="9.140625" defaultRowHeight="15" x14ac:dyDescent="0.25"/>
  <cols>
    <col min="1" max="1" width="5.85546875" style="3" customWidth="1"/>
    <col min="2" max="2" width="38.140625" style="35" bestFit="1" customWidth="1"/>
    <col min="3" max="3" width="2.28515625" customWidth="1"/>
    <col min="4" max="4" width="12.85546875" customWidth="1"/>
    <col min="5" max="5" width="1.85546875" customWidth="1"/>
    <col min="6" max="6" width="12.85546875" customWidth="1"/>
    <col min="7" max="7" width="1.7109375" customWidth="1"/>
    <col min="8" max="8" width="7.85546875" customWidth="1"/>
    <col min="9" max="9" width="1.85546875" customWidth="1"/>
    <col min="10" max="10" width="8.140625" customWidth="1"/>
    <col min="11" max="11" width="2" hidden="1" customWidth="1"/>
    <col min="12" max="12" width="11" hidden="1" customWidth="1"/>
    <col min="13" max="13" width="2" hidden="1" customWidth="1"/>
    <col min="14" max="14" width="7.42578125" hidden="1" customWidth="1"/>
    <col min="15" max="15" width="1.7109375" hidden="1" customWidth="1"/>
    <col min="16" max="16" width="11.42578125" hidden="1" customWidth="1"/>
    <col min="17" max="17" width="1.7109375" hidden="1" customWidth="1"/>
    <col min="18" max="18" width="12" hidden="1" customWidth="1"/>
  </cols>
  <sheetData>
    <row r="1" spans="1:19" s="3" customFormat="1" ht="11.25" customHeight="1" thickBot="1" x14ac:dyDescent="0.3">
      <c r="B1" s="4"/>
      <c r="F1" s="3">
        <f>+[1]Cabecera!B9</f>
        <v>29</v>
      </c>
    </row>
    <row r="2" spans="1:19" ht="21" thickBot="1" x14ac:dyDescent="0.35">
      <c r="B2" s="398" t="s">
        <v>2</v>
      </c>
      <c r="C2" s="399"/>
      <c r="D2" s="399"/>
      <c r="E2" s="399"/>
      <c r="F2" s="399"/>
      <c r="G2" s="399"/>
      <c r="H2" s="399"/>
      <c r="I2" s="399"/>
      <c r="J2" s="399"/>
      <c r="K2" s="399"/>
      <c r="L2" s="399"/>
      <c r="M2" s="399"/>
      <c r="N2" s="399"/>
      <c r="O2" s="399"/>
      <c r="P2" s="399"/>
      <c r="Q2" s="399"/>
      <c r="R2" s="399"/>
      <c r="S2" s="5"/>
    </row>
    <row r="3" spans="1:19" ht="15.75" x14ac:dyDescent="0.25">
      <c r="B3" s="401">
        <f>+[1]Cabecera!B7</f>
        <v>44531</v>
      </c>
      <c r="C3" s="401"/>
      <c r="D3" s="401"/>
      <c r="E3" s="401"/>
      <c r="F3" s="401"/>
      <c r="G3" s="401"/>
      <c r="H3" s="401"/>
      <c r="I3" s="401"/>
      <c r="J3" s="401"/>
      <c r="K3" s="401"/>
      <c r="L3" s="401"/>
      <c r="M3" s="401"/>
      <c r="N3" s="401"/>
      <c r="O3" s="401"/>
      <c r="P3" s="401"/>
      <c r="Q3" s="401"/>
      <c r="R3" s="401"/>
    </row>
    <row r="4" spans="1:19" ht="15.75" thickBot="1" x14ac:dyDescent="0.3">
      <c r="B4" s="402" t="s">
        <v>3</v>
      </c>
      <c r="C4" s="402"/>
      <c r="D4" s="6"/>
      <c r="E4" s="7"/>
      <c r="F4" s="6"/>
      <c r="G4" s="7"/>
      <c r="L4" s="6"/>
    </row>
    <row r="5" spans="1:19" s="9" customFormat="1" ht="31.5" customHeight="1" thickBot="1" x14ac:dyDescent="0.25">
      <c r="A5" s="8"/>
      <c r="D5" s="10">
        <v>2021</v>
      </c>
      <c r="F5" s="11">
        <v>2020</v>
      </c>
      <c r="H5" s="12" t="s">
        <v>4</v>
      </c>
      <c r="J5" s="12" t="s">
        <v>5</v>
      </c>
      <c r="L5" s="13" t="s">
        <v>6</v>
      </c>
      <c r="N5" s="12" t="s">
        <v>7</v>
      </c>
      <c r="P5" s="12" t="s">
        <v>8</v>
      </c>
      <c r="R5" s="12" t="s">
        <v>9</v>
      </c>
    </row>
    <row r="6" spans="1:19" ht="15.75" thickBot="1" x14ac:dyDescent="0.3">
      <c r="B6" s="14" t="s">
        <v>10</v>
      </c>
    </row>
    <row r="7" spans="1:19" x14ac:dyDescent="0.25">
      <c r="A7" s="15">
        <v>10101</v>
      </c>
      <c r="B7" s="16" t="s">
        <v>11</v>
      </c>
      <c r="D7" s="17">
        <f t="shared" ref="D7:D12" si="0">IF(ISNA(VLOOKUP(A7,base75,+$F$1,FALSE))=FALSE,VLOOKUP(A7,base75,+$F$1,FALSE),0)/1000</f>
        <v>5450.3182800000004</v>
      </c>
      <c r="E7" s="18"/>
      <c r="F7" s="17">
        <f t="shared" ref="F7:F12" si="1">IF(ISNA(VLOOKUP(A7,base74,+$F$1,FALSE))=FALSE,VLOOKUP(A7,base74,+$F$1,FALSE),0)/1000</f>
        <v>777.26399000000004</v>
      </c>
      <c r="G7" s="18"/>
      <c r="H7" s="19">
        <f>+D7/$D$19</f>
        <v>0.19751205391605325</v>
      </c>
      <c r="J7" s="19">
        <f>+(D7/F7)-1</f>
        <v>6.0121842129853462</v>
      </c>
      <c r="L7" s="20">
        <v>4140</v>
      </c>
      <c r="N7" s="19" t="e">
        <f>+(#REF!/L7)-1</f>
        <v>#REF!</v>
      </c>
      <c r="P7" s="19" t="e">
        <f>+#REF!/22404</f>
        <v>#REF!</v>
      </c>
      <c r="R7" s="19">
        <f>+D7/17265</f>
        <v>0.3156859704604692</v>
      </c>
    </row>
    <row r="8" spans="1:19" x14ac:dyDescent="0.25">
      <c r="A8" s="15">
        <v>10102</v>
      </c>
      <c r="B8" s="21" t="s">
        <v>12</v>
      </c>
      <c r="D8" s="22">
        <f t="shared" si="0"/>
        <v>7406.9772999999986</v>
      </c>
      <c r="E8" s="18"/>
      <c r="F8" s="22">
        <f t="shared" si="1"/>
        <v>4688.8856100000012</v>
      </c>
      <c r="G8" s="18"/>
      <c r="H8" s="23">
        <f t="shared" ref="H8:H12" si="2">+D8/$D$19</f>
        <v>0.26841869129018686</v>
      </c>
      <c r="J8" s="23">
        <f t="shared" ref="J8:J12" si="3">+(D8/F8)-1</f>
        <v>0.5796882065544775</v>
      </c>
      <c r="L8" s="24">
        <v>20450</v>
      </c>
      <c r="N8" s="23">
        <f>+(D8/L8)-1</f>
        <v>-0.63780062102689494</v>
      </c>
      <c r="P8" s="23">
        <f t="shared" ref="P8:P12" si="4">+D8/22404</f>
        <v>0.33060959203713619</v>
      </c>
      <c r="R8" s="23">
        <f t="shared" ref="R8:R19" si="5">+F8/17265</f>
        <v>0.2715832962641182</v>
      </c>
    </row>
    <row r="9" spans="1:19" x14ac:dyDescent="0.25">
      <c r="A9" s="15">
        <v>10103</v>
      </c>
      <c r="B9" s="21" t="s">
        <v>13</v>
      </c>
      <c r="D9" s="22">
        <f t="shared" si="0"/>
        <v>5689.7716400000018</v>
      </c>
      <c r="E9" s="18"/>
      <c r="F9" s="22">
        <f>IF(ISNA(VLOOKUP(A9,base74,+$F$1,FALSE))=FALSE,VLOOKUP(A9,base74,+$F$1,FALSE),0)/1000+736</f>
        <v>6464.3623100000013</v>
      </c>
      <c r="G9" s="18"/>
      <c r="H9" s="23">
        <f t="shared" si="2"/>
        <v>0.20618951503318644</v>
      </c>
      <c r="J9" s="23">
        <f t="shared" si="3"/>
        <v>-0.11982476118359764</v>
      </c>
      <c r="L9" s="24">
        <v>13679.5</v>
      </c>
      <c r="N9" s="23">
        <f>+(D9/L9)-1</f>
        <v>-0.58406581819510928</v>
      </c>
      <c r="P9" s="23">
        <f t="shared" si="4"/>
        <v>0.25396231208712738</v>
      </c>
      <c r="R9" s="23">
        <f t="shared" si="5"/>
        <v>0.37442005849985527</v>
      </c>
    </row>
    <row r="10" spans="1:19" x14ac:dyDescent="0.25">
      <c r="A10" s="15">
        <v>10104</v>
      </c>
      <c r="B10" s="21" t="s">
        <v>14</v>
      </c>
      <c r="D10" s="22">
        <f t="shared" si="0"/>
        <v>1.4363099999999995</v>
      </c>
      <c r="E10" s="18"/>
      <c r="F10" s="22">
        <f t="shared" si="1"/>
        <v>20.359410000000008</v>
      </c>
      <c r="G10" s="18"/>
      <c r="H10" s="23">
        <f t="shared" si="2"/>
        <v>5.2049903067342764E-5</v>
      </c>
      <c r="J10" s="23">
        <f t="shared" si="3"/>
        <v>-0.92945227784105733</v>
      </c>
      <c r="L10" s="24">
        <v>229.5</v>
      </c>
      <c r="N10" s="23">
        <f>+(D10/L10)-1</f>
        <v>-0.993741568627451</v>
      </c>
      <c r="P10" s="23">
        <f t="shared" si="4"/>
        <v>6.4109534011783583E-5</v>
      </c>
      <c r="R10" s="23">
        <f t="shared" si="5"/>
        <v>1.1792302345786277E-3</v>
      </c>
    </row>
    <row r="11" spans="1:19" x14ac:dyDescent="0.25">
      <c r="A11" s="15">
        <v>10105</v>
      </c>
      <c r="B11" s="21" t="s">
        <v>15</v>
      </c>
      <c r="D11" s="22">
        <f t="shared" si="0"/>
        <v>1232.26289</v>
      </c>
      <c r="E11" s="18"/>
      <c r="F11" s="22">
        <f t="shared" si="1"/>
        <v>381.08681999999999</v>
      </c>
      <c r="G11" s="18"/>
      <c r="H11" s="23">
        <f t="shared" si="2"/>
        <v>4.4655515855200952E-2</v>
      </c>
      <c r="J11" s="23">
        <f t="shared" si="3"/>
        <v>2.2335489587385888</v>
      </c>
      <c r="L11" s="24">
        <v>0</v>
      </c>
      <c r="N11" s="23">
        <v>1</v>
      </c>
      <c r="P11" s="23">
        <f t="shared" si="4"/>
        <v>5.5001914390287447E-2</v>
      </c>
      <c r="R11" s="23">
        <f t="shared" si="5"/>
        <v>2.2072795829713294E-2</v>
      </c>
    </row>
    <row r="12" spans="1:19" x14ac:dyDescent="0.25">
      <c r="A12" s="15">
        <v>10106</v>
      </c>
      <c r="B12" s="21" t="s">
        <v>16</v>
      </c>
      <c r="D12" s="22">
        <f t="shared" si="0"/>
        <v>1.4150000000000001E-2</v>
      </c>
      <c r="E12" s="18"/>
      <c r="F12" s="22">
        <f t="shared" si="1"/>
        <v>0</v>
      </c>
      <c r="G12" s="18"/>
      <c r="H12" s="23">
        <f t="shared" si="2"/>
        <v>5.1277657915275979E-7</v>
      </c>
      <c r="J12" s="23" t="e">
        <f t="shared" si="3"/>
        <v>#DIV/0!</v>
      </c>
      <c r="L12" s="24"/>
      <c r="N12" s="23"/>
      <c r="P12" s="23">
        <f t="shared" si="4"/>
        <v>6.3158364577753981E-7</v>
      </c>
      <c r="R12" s="23">
        <f t="shared" si="5"/>
        <v>0</v>
      </c>
    </row>
    <row r="13" spans="1:19" ht="7.5" customHeight="1" x14ac:dyDescent="0.25">
      <c r="B13" s="25"/>
      <c r="D13" s="24"/>
      <c r="E13" s="18"/>
      <c r="F13" s="24"/>
      <c r="G13" s="18"/>
      <c r="H13" s="23"/>
      <c r="J13" s="23"/>
      <c r="L13" s="24"/>
      <c r="N13" s="23"/>
      <c r="P13" s="23"/>
      <c r="R13" s="23"/>
    </row>
    <row r="14" spans="1:19" x14ac:dyDescent="0.25">
      <c r="B14" s="25" t="s">
        <v>17</v>
      </c>
      <c r="D14" s="26">
        <f>SUM(D7:D13)</f>
        <v>19780.780569999999</v>
      </c>
      <c r="E14" s="27"/>
      <c r="F14" s="26">
        <f>SUM(F7:F13)</f>
        <v>12331.958140000002</v>
      </c>
      <c r="G14" s="27"/>
      <c r="H14" s="28">
        <f>+D14/$D$19</f>
        <v>0.71682833877427388</v>
      </c>
      <c r="I14" s="29"/>
      <c r="J14" s="30">
        <f>+(D14/F14)-1</f>
        <v>0.60402592560211166</v>
      </c>
      <c r="L14" s="26">
        <f>SUM(L7:L11)</f>
        <v>38499</v>
      </c>
      <c r="N14" s="28">
        <f>+(D14/L14)-1</f>
        <v>-0.48620014623756469</v>
      </c>
      <c r="P14" s="30">
        <f>+D14/22404</f>
        <v>0.88291289814318863</v>
      </c>
      <c r="Q14" s="29"/>
      <c r="R14" s="30">
        <f t="shared" si="5"/>
        <v>0.71427501534897209</v>
      </c>
    </row>
    <row r="15" spans="1:19" x14ac:dyDescent="0.25">
      <c r="B15" s="25"/>
      <c r="D15" s="24"/>
      <c r="E15" s="18"/>
      <c r="F15" s="24"/>
      <c r="G15" s="18"/>
      <c r="H15" s="23"/>
      <c r="J15" s="23"/>
      <c r="L15" s="24"/>
      <c r="N15" s="23"/>
      <c r="P15" s="23"/>
      <c r="R15" s="23"/>
    </row>
    <row r="16" spans="1:19" x14ac:dyDescent="0.25">
      <c r="A16" s="15">
        <v>102</v>
      </c>
      <c r="B16" s="25" t="s">
        <v>18</v>
      </c>
      <c r="D16" s="22">
        <f>IF(ISNA(VLOOKUP(A16,base75,+$F$1,FALSE))=FALSE,VLOOKUP(A16,base75,+$F$1,FALSE),0)/1000</f>
        <v>7775.3746900000006</v>
      </c>
      <c r="E16" s="18"/>
      <c r="F16" s="22">
        <f>IF(ISNA(VLOOKUP(A16,base74,+$F$1,FALSE))=FALSE,VLOOKUP(A16,base74,+$F$1,FALSE),0)/1000</f>
        <v>6687.6494300000013</v>
      </c>
      <c r="G16" s="18"/>
      <c r="H16" s="23">
        <f>+D16/$D$19</f>
        <v>0.28176890707909186</v>
      </c>
      <c r="J16" s="23">
        <f>+(D16/F16)-1</f>
        <v>0.16264687187707438</v>
      </c>
      <c r="L16" s="24">
        <v>39819</v>
      </c>
      <c r="N16" s="23">
        <f>+(D16/L16)-1</f>
        <v>-0.80473204525477782</v>
      </c>
      <c r="P16" s="23">
        <f>+D16/22404</f>
        <v>0.34705296777361189</v>
      </c>
      <c r="R16" s="23">
        <f t="shared" si="5"/>
        <v>0.38735299333912548</v>
      </c>
    </row>
    <row r="17" spans="1:18" ht="15.75" thickBot="1" x14ac:dyDescent="0.3">
      <c r="A17" s="15">
        <v>104</v>
      </c>
      <c r="B17" s="31" t="s">
        <v>19</v>
      </c>
      <c r="D17" s="32">
        <f>IF(ISNA(VLOOKUP(A17,base75,+$F$1,FALSE))=FALSE,VLOOKUP(A17,base75,+$F$1,FALSE),0)/1000</f>
        <v>38.70881</v>
      </c>
      <c r="E17" s="18"/>
      <c r="F17" s="32">
        <f>IF(ISNA(VLOOKUP(A17,base74,+$F$1,FALSE))=FALSE,VLOOKUP(A17,base74,+$F$1,FALSE),0)/1000</f>
        <v>38.70881</v>
      </c>
      <c r="G17" s="18"/>
      <c r="H17" s="33">
        <f>+D17/$D$19</f>
        <v>1.4027541466342145E-3</v>
      </c>
      <c r="J17" s="33">
        <f>+(D17/F17)-1</f>
        <v>0</v>
      </c>
      <c r="L17" s="34">
        <v>36</v>
      </c>
      <c r="N17" s="33">
        <f>+(D17/L17)-1</f>
        <v>7.5244722222222116E-2</v>
      </c>
      <c r="P17" s="33">
        <f>+D17/22404</f>
        <v>1.7277633458311016E-3</v>
      </c>
      <c r="R17" s="33">
        <f t="shared" si="5"/>
        <v>2.2420393860411235E-3</v>
      </c>
    </row>
    <row r="18" spans="1:18" ht="15.75" thickBot="1" x14ac:dyDescent="0.3">
      <c r="D18" s="36"/>
      <c r="E18" s="18"/>
      <c r="F18" s="36"/>
      <c r="G18" s="18"/>
      <c r="H18" s="37"/>
      <c r="J18" s="37"/>
      <c r="L18" s="36"/>
      <c r="N18" s="37"/>
      <c r="P18" s="37"/>
      <c r="R18" s="37"/>
    </row>
    <row r="19" spans="1:18" ht="15.75" thickBot="1" x14ac:dyDescent="0.3">
      <c r="B19" s="38" t="s">
        <v>20</v>
      </c>
      <c r="D19" s="39">
        <f>+D17+D16+D14</f>
        <v>27594.86407</v>
      </c>
      <c r="E19" s="27"/>
      <c r="F19" s="39">
        <f>+F17+F16+F14</f>
        <v>19058.316380000004</v>
      </c>
      <c r="G19" s="27"/>
      <c r="H19" s="40">
        <f>+D19/$D$19</f>
        <v>1</v>
      </c>
      <c r="I19" s="29"/>
      <c r="J19" s="40">
        <f>+(D19/F19)-1</f>
        <v>0.4479171989692825</v>
      </c>
      <c r="L19" s="39">
        <f>+L17+L16+L14</f>
        <v>78354</v>
      </c>
      <c r="N19" s="40">
        <f>+(D19/L19)-1</f>
        <v>-0.64781805561936845</v>
      </c>
      <c r="P19" s="40">
        <f>+D19/22404</f>
        <v>1.2316936292626317</v>
      </c>
      <c r="Q19" s="29"/>
      <c r="R19" s="40">
        <f t="shared" si="5"/>
        <v>1.1038700480741386</v>
      </c>
    </row>
    <row r="20" spans="1:18" ht="15.75" thickBot="1" x14ac:dyDescent="0.3">
      <c r="D20" s="41"/>
      <c r="F20" s="41"/>
      <c r="H20" s="37"/>
      <c r="J20" s="37"/>
      <c r="L20" s="41"/>
      <c r="N20" s="37"/>
      <c r="P20" s="37"/>
      <c r="R20" s="37"/>
    </row>
    <row r="21" spans="1:18" ht="15.75" thickBot="1" x14ac:dyDescent="0.3">
      <c r="B21" s="14" t="s">
        <v>21</v>
      </c>
      <c r="D21" s="41"/>
      <c r="F21" s="41"/>
      <c r="H21" s="37"/>
      <c r="J21" s="37"/>
      <c r="L21" s="41"/>
      <c r="N21" s="37"/>
      <c r="P21" s="37"/>
      <c r="R21" s="37"/>
    </row>
    <row r="22" spans="1:18" x14ac:dyDescent="0.25">
      <c r="A22" s="15">
        <v>20104</v>
      </c>
      <c r="B22" s="16" t="s">
        <v>22</v>
      </c>
      <c r="D22" s="20">
        <f t="shared" ref="D22:D27" si="6">IF(ISNA(VLOOKUP(A22,base75,+$F$1,FALSE))=FALSE,VLOOKUP(A22,base75,+$F$1,FALSE),0)/1000</f>
        <v>0</v>
      </c>
      <c r="E22" s="18"/>
      <c r="F22" s="20">
        <f>IF(ISNA(VLOOKUP(A22,base74,+$F$1,FALSE))=FALSE,VLOOKUP(A22,base74,+$F$1,FALSE),0)/1000</f>
        <v>0</v>
      </c>
      <c r="G22" s="18"/>
      <c r="H22" s="19">
        <f t="shared" ref="H22:H28" si="7">+D22/$D$19</f>
        <v>0</v>
      </c>
      <c r="J22" s="19" t="e">
        <f>+(D22/F22)-1</f>
        <v>#DIV/0!</v>
      </c>
      <c r="L22" s="20">
        <v>7569</v>
      </c>
      <c r="N22" s="19">
        <f>+(D22/L22)-1</f>
        <v>-1</v>
      </c>
      <c r="P22" s="19">
        <f t="shared" ref="P22:P28" si="8">+D22/22404</f>
        <v>0</v>
      </c>
      <c r="R22" s="19">
        <f t="shared" ref="R22:R42" si="9">+F22/17265</f>
        <v>0</v>
      </c>
    </row>
    <row r="23" spans="1:18" x14ac:dyDescent="0.25">
      <c r="A23" s="15">
        <v>20103</v>
      </c>
      <c r="B23" s="21" t="s">
        <v>23</v>
      </c>
      <c r="D23" s="24">
        <f>IF(ISNA(VLOOKUP(A23,base75,+$F$1,FALSE))=FALSE,VLOOKUP(A23,base75,+$F$1,FALSE),0)/1000</f>
        <v>11703.995940000001</v>
      </c>
      <c r="E23" s="18"/>
      <c r="F23" s="24">
        <f t="shared" ref="F23:F27" si="10">IF(ISNA(VLOOKUP(A23,base74,+$F$1,FALSE))=FALSE,VLOOKUP(A23,base74,+$F$1,FALSE),0)/1000</f>
        <v>7198.3957599999985</v>
      </c>
      <c r="G23" s="18"/>
      <c r="H23" s="23">
        <f t="shared" si="7"/>
        <v>0.42413674915413346</v>
      </c>
      <c r="J23" s="23">
        <f>+(D23/F23)-1</f>
        <v>0.62591726409885573</v>
      </c>
      <c r="L23" s="24">
        <v>16180</v>
      </c>
      <c r="N23" s="23">
        <f>+(D23/L23)-1</f>
        <v>-0.27663807540173047</v>
      </c>
      <c r="P23" s="23">
        <f t="shared" si="8"/>
        <v>0.52240653186930908</v>
      </c>
      <c r="R23" s="23">
        <f t="shared" si="9"/>
        <v>0.41693575209962341</v>
      </c>
    </row>
    <row r="24" spans="1:18" hidden="1" x14ac:dyDescent="0.25">
      <c r="B24" s="21" t="s">
        <v>24</v>
      </c>
      <c r="D24" s="24">
        <f t="shared" si="6"/>
        <v>0</v>
      </c>
      <c r="E24" s="18"/>
      <c r="F24" s="24">
        <f t="shared" si="10"/>
        <v>0</v>
      </c>
      <c r="G24" s="18"/>
      <c r="H24" s="23">
        <f t="shared" si="7"/>
        <v>0</v>
      </c>
      <c r="J24" s="23" t="e">
        <f>+(D24/F24)-1</f>
        <v>#DIV/0!</v>
      </c>
      <c r="L24" s="24">
        <v>210</v>
      </c>
      <c r="N24" s="23">
        <f>+(D24/L24)-1</f>
        <v>-1</v>
      </c>
      <c r="P24" s="23">
        <f t="shared" si="8"/>
        <v>0</v>
      </c>
      <c r="R24" s="23">
        <f t="shared" si="9"/>
        <v>0</v>
      </c>
    </row>
    <row r="25" spans="1:18" x14ac:dyDescent="0.25">
      <c r="A25" s="15">
        <v>20107</v>
      </c>
      <c r="B25" s="21" t="s">
        <v>25</v>
      </c>
      <c r="D25" s="24">
        <f t="shared" si="6"/>
        <v>161.46931000000004</v>
      </c>
      <c r="E25" s="18"/>
      <c r="F25" s="24">
        <f t="shared" si="10"/>
        <v>98.116760000000014</v>
      </c>
      <c r="G25" s="18"/>
      <c r="H25" s="23">
        <f t="shared" si="7"/>
        <v>5.8514261780887996E-3</v>
      </c>
      <c r="J25" s="23">
        <f>+(D25/F25)-1</f>
        <v>0.6456853039174959</v>
      </c>
      <c r="L25" s="24">
        <v>320</v>
      </c>
      <c r="N25" s="23">
        <f>+(D25/L25)-1</f>
        <v>-0.49540840624999993</v>
      </c>
      <c r="P25" s="23">
        <f t="shared" si="8"/>
        <v>7.2071643456525633E-3</v>
      </c>
      <c r="R25" s="23">
        <f t="shared" si="9"/>
        <v>5.6829863886475535E-3</v>
      </c>
    </row>
    <row r="26" spans="1:18" x14ac:dyDescent="0.25">
      <c r="A26" s="15">
        <v>20105</v>
      </c>
      <c r="B26" s="21" t="s">
        <v>26</v>
      </c>
      <c r="D26" s="24">
        <f>IF(ISNA(VLOOKUP(A26,base75,+$F$1,FALSE))=FALSE,VLOOKUP(A26,base75,+$F$1,FALSE),0)/1000+316</f>
        <v>937.81640999999991</v>
      </c>
      <c r="E26" s="18"/>
      <c r="F26" s="24">
        <f>IF(ISNA(VLOOKUP(A26,base74,+$F$1,FALSE))=FALSE,VLOOKUP(A26,base74,+$F$1,FALSE),0)/1000+106</f>
        <v>491.75069000000002</v>
      </c>
      <c r="G26" s="18"/>
      <c r="H26" s="23">
        <f t="shared" si="7"/>
        <v>3.3985179547217095E-2</v>
      </c>
      <c r="J26" s="23">
        <f>+(D26/F26)-1</f>
        <v>0.90709729354929802</v>
      </c>
      <c r="L26" s="24">
        <v>2350</v>
      </c>
      <c r="N26" s="23">
        <f>+(D26/L26)-1</f>
        <v>-0.60092918723404254</v>
      </c>
      <c r="P26" s="23">
        <f t="shared" si="8"/>
        <v>4.1859329137653986E-2</v>
      </c>
      <c r="R26" s="23">
        <f t="shared" si="9"/>
        <v>2.8482518969012455E-2</v>
      </c>
    </row>
    <row r="27" spans="1:18" x14ac:dyDescent="0.25">
      <c r="B27" s="21" t="s">
        <v>27</v>
      </c>
      <c r="D27" s="24">
        <f t="shared" si="6"/>
        <v>0</v>
      </c>
      <c r="E27" s="18"/>
      <c r="F27" s="24">
        <f t="shared" si="10"/>
        <v>0</v>
      </c>
      <c r="G27" s="18"/>
      <c r="H27" s="23">
        <f t="shared" si="7"/>
        <v>0</v>
      </c>
      <c r="J27" s="23">
        <v>0</v>
      </c>
      <c r="L27" s="24">
        <v>315</v>
      </c>
      <c r="N27" s="23">
        <f>+(D28/L27)-1</f>
        <v>0.42222222222222228</v>
      </c>
      <c r="P27" s="23">
        <f t="shared" si="8"/>
        <v>0</v>
      </c>
      <c r="R27" s="23">
        <f t="shared" si="9"/>
        <v>0</v>
      </c>
    </row>
    <row r="28" spans="1:18" x14ac:dyDescent="0.25">
      <c r="B28" s="21" t="s">
        <v>28</v>
      </c>
      <c r="D28" s="24">
        <f>IF(ISNA(VLOOKUP(A28,base75,+$F$1,FALSE))=FALSE,VLOOKUP(A28,base75,+$F$1,FALSE),0)/1000+448</f>
        <v>448</v>
      </c>
      <c r="E28" s="18"/>
      <c r="F28" s="24">
        <f>IF(ISNA(VLOOKUP(A28,base74,+$F$1,FALSE))=FALSE,VLOOKUP(A28,base74,+$F$1,FALSE),0)/1000+432</f>
        <v>432</v>
      </c>
      <c r="G28" s="18"/>
      <c r="H28" s="23">
        <f t="shared" si="7"/>
        <v>1.6234905120878895E-2</v>
      </c>
      <c r="J28" s="23">
        <v>0</v>
      </c>
      <c r="L28" s="24">
        <v>1150</v>
      </c>
      <c r="N28" s="23" t="e">
        <f>+(#REF!/L28)-1</f>
        <v>#REF!</v>
      </c>
      <c r="P28" s="23">
        <f t="shared" si="8"/>
        <v>1.999642920906981E-2</v>
      </c>
      <c r="R28" s="23">
        <f t="shared" si="9"/>
        <v>2.5021720243266724E-2</v>
      </c>
    </row>
    <row r="29" spans="1:18" ht="9" customHeight="1" x14ac:dyDescent="0.25">
      <c r="B29" s="25"/>
      <c r="D29" s="24"/>
      <c r="E29" s="18"/>
      <c r="F29" s="24"/>
      <c r="G29" s="18"/>
      <c r="H29" s="23"/>
      <c r="J29" s="23"/>
      <c r="L29" s="24"/>
      <c r="N29" s="23"/>
      <c r="P29" s="23"/>
      <c r="R29" s="23"/>
    </row>
    <row r="30" spans="1:18" x14ac:dyDescent="0.25">
      <c r="B30" s="25" t="s">
        <v>29</v>
      </c>
      <c r="D30" s="26">
        <f>SUM(D22:D29)</f>
        <v>13251.281660000001</v>
      </c>
      <c r="E30" s="27"/>
      <c r="F30" s="26">
        <f>SUM(F22:F29)</f>
        <v>8220.2632099999973</v>
      </c>
      <c r="G30" s="27"/>
      <c r="H30" s="28">
        <f>+D30/$D$19</f>
        <v>0.48020826000031824</v>
      </c>
      <c r="I30" s="29"/>
      <c r="J30" s="28">
        <f>+(D30/F30)-1</f>
        <v>0.6120264426423403</v>
      </c>
      <c r="L30" s="26">
        <f>SUM(L22:L29)</f>
        <v>28094</v>
      </c>
      <c r="N30" s="28">
        <f>+(D30/L30)-1</f>
        <v>-0.52832342635438168</v>
      </c>
      <c r="P30" s="28">
        <f>+D30/22404</f>
        <v>0.59146945456168543</v>
      </c>
      <c r="Q30" s="29"/>
      <c r="R30" s="28">
        <f t="shared" si="9"/>
        <v>0.47612297770055007</v>
      </c>
    </row>
    <row r="31" spans="1:18" ht="7.5" customHeight="1" x14ac:dyDescent="0.25">
      <c r="B31" s="25"/>
      <c r="D31" s="26"/>
      <c r="E31" s="27"/>
      <c r="F31" s="26"/>
      <c r="G31" s="27"/>
      <c r="H31" s="28"/>
      <c r="I31" s="29"/>
      <c r="J31" s="28"/>
      <c r="L31" s="26"/>
      <c r="N31" s="28"/>
      <c r="P31" s="28"/>
      <c r="Q31" s="29"/>
      <c r="R31" s="28"/>
    </row>
    <row r="32" spans="1:18" x14ac:dyDescent="0.25">
      <c r="A32" s="15">
        <v>20203</v>
      </c>
      <c r="B32" s="21" t="s">
        <v>22</v>
      </c>
      <c r="D32" s="24">
        <f>IF(ISNA(VLOOKUP(A32,base75,+$F$1,FALSE))=FALSE,VLOOKUP(A32,base75,+$F$1,FALSE),0)/1000</f>
        <v>0</v>
      </c>
      <c r="E32" s="27"/>
      <c r="F32" s="24">
        <f>IF(ISNA(VLOOKUP(A32,base74,+$F$1,FALSE))=FALSE,VLOOKUP(A32,base74,+$F$1,FALSE),0)/1000</f>
        <v>0</v>
      </c>
      <c r="G32" s="27"/>
      <c r="H32" s="23">
        <f>+D32/$D$19</f>
        <v>0</v>
      </c>
      <c r="J32" s="23">
        <f>IFERROR(+(D33/F32)-1,0)</f>
        <v>0</v>
      </c>
      <c r="L32" s="26"/>
      <c r="N32" s="28"/>
      <c r="P32" s="23">
        <f>+D32/22404</f>
        <v>0</v>
      </c>
      <c r="R32" s="23">
        <f t="shared" si="9"/>
        <v>0</v>
      </c>
    </row>
    <row r="33" spans="1:18" x14ac:dyDescent="0.25">
      <c r="A33" s="15">
        <v>20204</v>
      </c>
      <c r="B33" s="21" t="s">
        <v>30</v>
      </c>
      <c r="D33" s="24">
        <f>IF(ISNA(VLOOKUP(A33,base75,+$F$1,FALSE))=FALSE,VLOOKUP(A33,base75,+$F$1,FALSE),0)/1000</f>
        <v>294.12448000000001</v>
      </c>
      <c r="E33" s="27"/>
      <c r="F33" s="24">
        <f>IF(ISNA(VLOOKUP(A33,base74,+$F$1,FALSE))=FALSE,VLOOKUP(A33,base74,+$F$1,FALSE),0)/1000</f>
        <v>306.51011999999997</v>
      </c>
      <c r="G33" s="27"/>
      <c r="H33" s="23">
        <f>+D33/$D$19</f>
        <v>1.0658667469928218E-2</v>
      </c>
      <c r="J33" s="23">
        <f>+(D34/F33)-1</f>
        <v>0.67516243835603196</v>
      </c>
      <c r="L33" s="26"/>
      <c r="N33" s="28"/>
      <c r="P33" s="23">
        <f>+D33/22404</f>
        <v>1.3128212819139439E-2</v>
      </c>
      <c r="R33" s="23">
        <f t="shared" si="9"/>
        <v>1.7753264986967852E-2</v>
      </c>
    </row>
    <row r="34" spans="1:18" x14ac:dyDescent="0.25">
      <c r="A34" s="15">
        <v>20205</v>
      </c>
      <c r="B34" s="21" t="s">
        <v>31</v>
      </c>
      <c r="D34" s="24">
        <f>IF(ISNA(VLOOKUP(A34,base75,+$F$1,FALSE))=FALSE,VLOOKUP(A34,base75,+$F$1,FALSE),0)/1000</f>
        <v>513.45423999999991</v>
      </c>
      <c r="E34" s="27"/>
      <c r="F34" s="24">
        <f>IF(ISNA(VLOOKUP(A34,base74,+$F$1,FALSE))=FALSE,VLOOKUP(A34,base74,+$F$1,FALSE),0)/1000</f>
        <v>445.54034000000007</v>
      </c>
      <c r="G34" s="27"/>
      <c r="H34" s="23">
        <f>+D34/$D$19</f>
        <v>1.86068769426629E-2</v>
      </c>
      <c r="J34" s="23">
        <f>+(D35/F34)-1</f>
        <v>-1</v>
      </c>
      <c r="L34" s="26"/>
      <c r="N34" s="28"/>
      <c r="P34" s="23">
        <f>+D34/22404</f>
        <v>2.2917971790751647E-2</v>
      </c>
      <c r="R34" s="23">
        <f t="shared" si="9"/>
        <v>2.5805985519837826E-2</v>
      </c>
    </row>
    <row r="35" spans="1:18" ht="6" customHeight="1" x14ac:dyDescent="0.25">
      <c r="B35" s="25"/>
      <c r="D35" s="24"/>
      <c r="E35" s="18"/>
      <c r="F35" s="24"/>
      <c r="G35" s="18"/>
      <c r="H35" s="23"/>
      <c r="J35" s="23"/>
      <c r="L35" s="24"/>
      <c r="N35" s="23"/>
      <c r="P35" s="23"/>
      <c r="R35" s="23"/>
    </row>
    <row r="36" spans="1:18" x14ac:dyDescent="0.25">
      <c r="B36" s="25" t="s">
        <v>32</v>
      </c>
      <c r="D36" s="42">
        <f>SUM(D32:D35)</f>
        <v>807.57871999999998</v>
      </c>
      <c r="E36" s="18"/>
      <c r="F36" s="42">
        <f>SUM(F32:F35)</f>
        <v>752.05046000000004</v>
      </c>
      <c r="G36" s="18"/>
      <c r="H36" s="28">
        <f>+D36/$D$19</f>
        <v>2.9265544412591122E-2</v>
      </c>
      <c r="J36" s="23">
        <f>+(D36/F36)-1</f>
        <v>7.3835816814738608E-2</v>
      </c>
      <c r="L36" s="42">
        <v>12492</v>
      </c>
      <c r="N36" s="28">
        <f>+(D36/L36)-1</f>
        <v>-0.93535232788984946</v>
      </c>
      <c r="P36" s="23">
        <f>+D36/22404</f>
        <v>3.6046184609891091E-2</v>
      </c>
      <c r="R36" s="23">
        <f t="shared" si="9"/>
        <v>4.3559250506805682E-2</v>
      </c>
    </row>
    <row r="37" spans="1:18" x14ac:dyDescent="0.25">
      <c r="B37" s="25"/>
      <c r="D37" s="24"/>
      <c r="E37" s="18"/>
      <c r="F37" s="24"/>
      <c r="G37" s="18"/>
      <c r="H37" s="23"/>
      <c r="J37" s="23"/>
      <c r="L37" s="24"/>
      <c r="N37" s="23"/>
      <c r="P37" s="23"/>
      <c r="R37" s="23"/>
    </row>
    <row r="38" spans="1:18" x14ac:dyDescent="0.25">
      <c r="B38" s="25" t="s">
        <v>33</v>
      </c>
      <c r="D38" s="26">
        <f>+D36+D30</f>
        <v>14058.86038</v>
      </c>
      <c r="E38" s="27"/>
      <c r="F38" s="26">
        <f>+F36+F30</f>
        <v>8972.3136699999977</v>
      </c>
      <c r="G38" s="27"/>
      <c r="H38" s="28">
        <f>+D38/$D$19</f>
        <v>0.50947380441290935</v>
      </c>
      <c r="I38" s="29"/>
      <c r="J38" s="28">
        <f>+(D38/F38)-1</f>
        <v>0.56691583654809996</v>
      </c>
      <c r="L38" s="26">
        <f>SUM(L30:L37)</f>
        <v>40586</v>
      </c>
      <c r="N38" s="28">
        <f>+(D38/L38)-1</f>
        <v>-0.65360320356773272</v>
      </c>
      <c r="P38" s="28">
        <f>+D38/22404</f>
        <v>0.62751563917157649</v>
      </c>
      <c r="Q38" s="29"/>
      <c r="R38" s="28">
        <f t="shared" si="9"/>
        <v>0.51968222820735577</v>
      </c>
    </row>
    <row r="39" spans="1:18" ht="15.75" thickBot="1" x14ac:dyDescent="0.3">
      <c r="B39" s="25"/>
      <c r="D39" s="34"/>
      <c r="E39" s="18"/>
      <c r="F39" s="34"/>
      <c r="G39" s="18"/>
      <c r="H39" s="33"/>
      <c r="J39" s="33"/>
      <c r="L39" s="34"/>
      <c r="N39" s="33"/>
      <c r="P39" s="33"/>
      <c r="R39" s="33"/>
    </row>
    <row r="40" spans="1:18" ht="15.75" thickBot="1" x14ac:dyDescent="0.3">
      <c r="A40" s="15">
        <v>3</v>
      </c>
      <c r="B40" s="38" t="s">
        <v>34</v>
      </c>
      <c r="D40" s="39">
        <f>IF(ISNA(VLOOKUP(A40,base75,+$F$1,FALSE))=FALSE,VLOOKUP(A40,base75,+$F$1,FALSE),0)/1000+IF(ISNA(VLOOKUP(A41,base75,+$F$1,FALSE))=FALSE,VLOOKUP(A41,base75,+$F$1,FALSE),0)/1000-764</f>
        <v>13536.003690000005</v>
      </c>
      <c r="E40" s="27"/>
      <c r="F40" s="39">
        <f>IF(ISNA(VLOOKUP(A40,base74,+$F$1,FALSE))=FALSE,VLOOKUP(A40,base74,+$F$1,FALSE),0)/1000+IF(ISNA(VLOOKUP(A41,base74,+$F$1,FALSE))=FALSE,VLOOKUP(A41,base74,+$F$1,FALSE),0)/1000+198</f>
        <v>10086.002709999992</v>
      </c>
      <c r="G40" s="27"/>
      <c r="H40" s="40">
        <f>+D40/$D$19</f>
        <v>0.49052619558709082</v>
      </c>
      <c r="I40" s="29"/>
      <c r="J40" s="40">
        <f>+(D40/F40)-1</f>
        <v>0.34205830388875791</v>
      </c>
      <c r="L40" s="39">
        <f>+L19-L38</f>
        <v>37768</v>
      </c>
      <c r="N40" s="40">
        <f>+(D40/L40)-1</f>
        <v>-0.64160125794323219</v>
      </c>
      <c r="P40" s="40">
        <f>+D40/22404</f>
        <v>0.60417799009105544</v>
      </c>
      <c r="Q40" s="29"/>
      <c r="R40" s="40">
        <f t="shared" si="9"/>
        <v>0.58418781986678203</v>
      </c>
    </row>
    <row r="41" spans="1:18" ht="15.75" thickBot="1" x14ac:dyDescent="0.3">
      <c r="A41" s="3">
        <v>307</v>
      </c>
      <c r="D41" s="43"/>
      <c r="E41" s="27"/>
      <c r="F41" s="43"/>
      <c r="G41" s="27"/>
      <c r="H41" s="44"/>
      <c r="I41" s="29"/>
      <c r="J41" s="44"/>
      <c r="L41" s="43"/>
      <c r="N41" s="44"/>
      <c r="P41" s="44"/>
      <c r="Q41" s="29"/>
      <c r="R41" s="44"/>
    </row>
    <row r="42" spans="1:18" ht="15.75" thickBot="1" x14ac:dyDescent="0.3">
      <c r="B42" s="38" t="s">
        <v>35</v>
      </c>
      <c r="D42" s="39">
        <f>+D40+D38</f>
        <v>27594.864070000003</v>
      </c>
      <c r="E42" s="27"/>
      <c r="F42" s="39">
        <f>+F40+F38</f>
        <v>19058.316379999989</v>
      </c>
      <c r="G42" s="27"/>
      <c r="H42" s="40">
        <f>+D42/$D$19</f>
        <v>1.0000000000000002</v>
      </c>
      <c r="I42" s="29"/>
      <c r="J42" s="40">
        <f>+(D42/F42)-1</f>
        <v>0.44791719896928361</v>
      </c>
      <c r="L42" s="39">
        <f>+L40+L38</f>
        <v>78354</v>
      </c>
      <c r="N42" s="40">
        <f>+(D42/L42)-1</f>
        <v>-0.64781805561936845</v>
      </c>
      <c r="P42" s="40">
        <f>+D42/22404</f>
        <v>1.2316936292626319</v>
      </c>
      <c r="Q42" s="29"/>
      <c r="R42" s="40">
        <f t="shared" si="9"/>
        <v>1.1038700480741379</v>
      </c>
    </row>
    <row r="43" spans="1:18" x14ac:dyDescent="0.25">
      <c r="D43" s="27">
        <f>+D42-D19</f>
        <v>0</v>
      </c>
      <c r="E43" s="29"/>
      <c r="F43" s="27">
        <f>+F42-F19</f>
        <v>0</v>
      </c>
      <c r="G43" s="29"/>
      <c r="H43" s="29"/>
      <c r="I43" s="29"/>
      <c r="J43" s="29"/>
    </row>
    <row r="44" spans="1:18" x14ac:dyDescent="0.25">
      <c r="F44" s="41"/>
    </row>
    <row r="45" spans="1:18" x14ac:dyDescent="0.25">
      <c r="F45" s="41"/>
    </row>
    <row r="46" spans="1:18" x14ac:dyDescent="0.25">
      <c r="F46" s="41"/>
    </row>
    <row r="47" spans="1:18" x14ac:dyDescent="0.25">
      <c r="F47" s="41"/>
    </row>
    <row r="48" spans="1:18" x14ac:dyDescent="0.25">
      <c r="F48" s="41"/>
    </row>
    <row r="49" spans="6:6" x14ac:dyDescent="0.25">
      <c r="F49" s="41"/>
    </row>
    <row r="50" spans="6:6" x14ac:dyDescent="0.25">
      <c r="F50" s="41"/>
    </row>
    <row r="51" spans="6:6" x14ac:dyDescent="0.25">
      <c r="F51" s="41"/>
    </row>
    <row r="52" spans="6:6" x14ac:dyDescent="0.25">
      <c r="F52" s="41"/>
    </row>
    <row r="53" spans="6:6" x14ac:dyDescent="0.25">
      <c r="F53" s="41"/>
    </row>
    <row r="54" spans="6:6" x14ac:dyDescent="0.25">
      <c r="F54" s="41"/>
    </row>
    <row r="55" spans="6:6" x14ac:dyDescent="0.25">
      <c r="F55" s="41"/>
    </row>
    <row r="56" spans="6:6" x14ac:dyDescent="0.25">
      <c r="F56" s="41"/>
    </row>
    <row r="57" spans="6:6" x14ac:dyDescent="0.25">
      <c r="F57" s="41"/>
    </row>
    <row r="58" spans="6:6" x14ac:dyDescent="0.25">
      <c r="F58" s="41"/>
    </row>
    <row r="59" spans="6:6" x14ac:dyDescent="0.25">
      <c r="F59" s="41"/>
    </row>
    <row r="60" spans="6:6" x14ac:dyDescent="0.25">
      <c r="F60" s="41"/>
    </row>
    <row r="61" spans="6:6" x14ac:dyDescent="0.25">
      <c r="F61" s="41"/>
    </row>
    <row r="62" spans="6:6" x14ac:dyDescent="0.25">
      <c r="F62" s="41"/>
    </row>
    <row r="63" spans="6:6" x14ac:dyDescent="0.25">
      <c r="F63" s="41"/>
    </row>
    <row r="64" spans="6:6" x14ac:dyDescent="0.25">
      <c r="F64" s="41"/>
    </row>
    <row r="65" spans="6:6" x14ac:dyDescent="0.25">
      <c r="F65" s="41"/>
    </row>
    <row r="66" spans="6:6" x14ac:dyDescent="0.25">
      <c r="F66" s="41"/>
    </row>
    <row r="67" spans="6:6" x14ac:dyDescent="0.25">
      <c r="F67" s="41"/>
    </row>
    <row r="68" spans="6:6" x14ac:dyDescent="0.25">
      <c r="F68" s="41"/>
    </row>
    <row r="69" spans="6:6" x14ac:dyDescent="0.25">
      <c r="F69" s="41"/>
    </row>
    <row r="70" spans="6:6" x14ac:dyDescent="0.25">
      <c r="F70" s="41"/>
    </row>
    <row r="71" spans="6:6" x14ac:dyDescent="0.25">
      <c r="F71" s="41"/>
    </row>
    <row r="72" spans="6:6" x14ac:dyDescent="0.25">
      <c r="F72" s="41"/>
    </row>
    <row r="73" spans="6:6" x14ac:dyDescent="0.25">
      <c r="F73" s="41"/>
    </row>
    <row r="74" spans="6:6" x14ac:dyDescent="0.25">
      <c r="F74" s="41"/>
    </row>
    <row r="75" spans="6:6" x14ac:dyDescent="0.25">
      <c r="F75" s="41"/>
    </row>
    <row r="76" spans="6:6" x14ac:dyDescent="0.25">
      <c r="F76" s="41"/>
    </row>
    <row r="77" spans="6:6" x14ac:dyDescent="0.25">
      <c r="F77" s="41"/>
    </row>
    <row r="78" spans="6:6" x14ac:dyDescent="0.25">
      <c r="F78" s="41"/>
    </row>
    <row r="79" spans="6:6" x14ac:dyDescent="0.25">
      <c r="F79" s="41"/>
    </row>
    <row r="80" spans="6:6" x14ac:dyDescent="0.25">
      <c r="F80" s="41"/>
    </row>
    <row r="81" spans="6:6" x14ac:dyDescent="0.25">
      <c r="F81" s="41"/>
    </row>
    <row r="82" spans="6:6" x14ac:dyDescent="0.25">
      <c r="F82" s="41"/>
    </row>
    <row r="83" spans="6:6" x14ac:dyDescent="0.25">
      <c r="F83" s="41"/>
    </row>
    <row r="84" spans="6:6" x14ac:dyDescent="0.25">
      <c r="F84" s="41"/>
    </row>
    <row r="85" spans="6:6" x14ac:dyDescent="0.25">
      <c r="F85" s="41"/>
    </row>
    <row r="86" spans="6:6" x14ac:dyDescent="0.25">
      <c r="F86" s="41"/>
    </row>
    <row r="87" spans="6:6" x14ac:dyDescent="0.25">
      <c r="F87" s="41"/>
    </row>
    <row r="88" spans="6:6" x14ac:dyDescent="0.25">
      <c r="F88" s="41"/>
    </row>
    <row r="89" spans="6:6" x14ac:dyDescent="0.25">
      <c r="F89" s="41"/>
    </row>
    <row r="90" spans="6:6" x14ac:dyDescent="0.25">
      <c r="F90" s="41"/>
    </row>
  </sheetData>
  <mergeCells count="3">
    <mergeCell ref="B2:R2"/>
    <mergeCell ref="B3:R3"/>
    <mergeCell ref="B4:C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CE5B1-50E9-4511-85B2-C88070911951}">
  <dimension ref="A1:AO91"/>
  <sheetViews>
    <sheetView tabSelected="1" topLeftCell="E4" workbookViewId="0">
      <pane xSplit="3" ySplit="8" topLeftCell="L18" activePane="bottomRight" state="frozen"/>
      <selection activeCell="E4" sqref="E4"/>
      <selection pane="topRight" activeCell="H4" sqref="H4"/>
      <selection pane="bottomLeft" activeCell="E12" sqref="E12"/>
      <selection pane="bottomRight" activeCell="H12" sqref="H12"/>
    </sheetView>
  </sheetViews>
  <sheetFormatPr baseColWidth="10" defaultColWidth="9.140625" defaultRowHeight="15" x14ac:dyDescent="0.25"/>
  <cols>
    <col min="1" max="1" width="7.85546875" hidden="1" customWidth="1"/>
    <col min="2" max="4" width="13" hidden="1" customWidth="1"/>
    <col min="5" max="5" width="10.140625" customWidth="1"/>
    <col min="6" max="6" width="7.42578125" customWidth="1"/>
    <col min="7" max="7" width="0.42578125" customWidth="1"/>
    <col min="8" max="8" width="9.42578125" style="45" bestFit="1" customWidth="1"/>
    <col min="9" max="9" width="5.42578125" style="46" bestFit="1" customWidth="1"/>
    <col min="10" max="10" width="8.140625" style="45" bestFit="1" customWidth="1"/>
    <col min="11" max="11" width="5.42578125" style="46" bestFit="1" customWidth="1"/>
    <col min="12" max="12" width="7.28515625" style="45" bestFit="1" customWidth="1"/>
    <col min="13" max="13" width="5.42578125" style="46" bestFit="1" customWidth="1"/>
    <col min="14" max="14" width="7.28515625" style="45" bestFit="1" customWidth="1"/>
    <col min="15" max="15" width="5.42578125" style="46" bestFit="1" customWidth="1"/>
    <col min="16" max="16" width="7.28515625" style="45" bestFit="1" customWidth="1"/>
    <col min="17" max="17" width="5.42578125" style="46" bestFit="1" customWidth="1"/>
    <col min="18" max="18" width="7.28515625" style="45" bestFit="1" customWidth="1"/>
    <col min="19" max="19" width="5.42578125" style="46" bestFit="1" customWidth="1"/>
    <col min="20" max="20" width="7.28515625" style="45" customWidth="1"/>
    <col min="21" max="21" width="6.28515625" style="46" customWidth="1"/>
    <col min="22" max="22" width="7.28515625" style="45" bestFit="1" customWidth="1"/>
    <col min="23" max="23" width="5.42578125" style="46" bestFit="1" customWidth="1"/>
    <col min="24" max="24" width="7.140625" style="45" customWidth="1"/>
    <col min="25" max="25" width="5.42578125" style="46" bestFit="1" customWidth="1"/>
    <col min="26" max="26" width="7.28515625" style="45" bestFit="1" customWidth="1"/>
    <col min="27" max="27" width="5.42578125" style="46" bestFit="1" customWidth="1"/>
    <col min="28" max="28" width="7.5703125" style="45" customWidth="1"/>
    <col min="29" max="29" width="5.42578125" style="46" bestFit="1" customWidth="1"/>
    <col min="30" max="30" width="8.140625" style="45" bestFit="1" customWidth="1"/>
    <col min="31" max="31" width="5.7109375" style="46" bestFit="1" customWidth="1"/>
    <col min="32" max="32" width="1.7109375" customWidth="1"/>
    <col min="33" max="33" width="9" style="45" bestFit="1" customWidth="1"/>
    <col min="34" max="34" width="5.42578125" style="46" bestFit="1" customWidth="1"/>
    <col min="35" max="35" width="9" style="45" bestFit="1" customWidth="1"/>
    <col min="36" max="36" width="5.42578125" style="46" bestFit="1" customWidth="1"/>
    <col min="38" max="38" width="9.42578125" bestFit="1" customWidth="1"/>
    <col min="39" max="39" width="12.7109375" bestFit="1" customWidth="1"/>
    <col min="40" max="40" width="10.140625" bestFit="1" customWidth="1"/>
  </cols>
  <sheetData>
    <row r="1" spans="1:38" hidden="1" x14ac:dyDescent="0.25">
      <c r="H1" s="45">
        <v>4</v>
      </c>
      <c r="J1" s="45">
        <v>5</v>
      </c>
      <c r="L1" s="45">
        <v>6</v>
      </c>
      <c r="N1" s="45">
        <v>7</v>
      </c>
      <c r="P1" s="45">
        <v>8</v>
      </c>
      <c r="R1" s="45">
        <v>9</v>
      </c>
      <c r="T1" s="45">
        <v>10</v>
      </c>
      <c r="V1" s="45">
        <v>11</v>
      </c>
      <c r="X1" s="45">
        <v>12</v>
      </c>
      <c r="Z1" s="45">
        <v>13</v>
      </c>
      <c r="AB1" s="45">
        <v>14</v>
      </c>
      <c r="AD1" s="45">
        <v>15</v>
      </c>
    </row>
    <row r="2" spans="1:38" ht="26.25" hidden="1" customHeight="1" x14ac:dyDescent="0.25"/>
    <row r="3" spans="1:38" ht="26.25" hidden="1" customHeight="1" x14ac:dyDescent="0.25"/>
    <row r="4" spans="1:38" ht="15.75" thickBot="1" x14ac:dyDescent="0.3"/>
    <row r="5" spans="1:38" ht="16.5" thickBot="1" x14ac:dyDescent="0.3">
      <c r="E5" s="402" t="s">
        <v>3</v>
      </c>
      <c r="F5" s="402"/>
      <c r="H5" s="403" t="str">
        <f>IF(+J5="Real","Real",IF(H6=[1]Cabecera!$B$8,[1]Cabecera!$B$10,[1]Cabecera!$B$11))</f>
        <v>Real</v>
      </c>
      <c r="I5" s="404"/>
      <c r="J5" s="403" t="str">
        <f>IF(+L5="Real","Real",IF(J6=[1]Cabecera!$B$8,[1]Cabecera!$B$10,[1]Cabecera!$B$11))</f>
        <v>Real</v>
      </c>
      <c r="K5" s="404"/>
      <c r="L5" s="403" t="str">
        <f>IF(+N5="Real","Real",IF(L6=[1]Cabecera!$B$8,[1]Cabecera!$B$10,[1]Cabecera!$B$11))</f>
        <v>Real</v>
      </c>
      <c r="M5" s="404"/>
      <c r="N5" s="403" t="str">
        <f>IF(+P5="Real","Real",IF(N6=[1]Cabecera!$B$8,[1]Cabecera!$B$10,[1]Cabecera!$B$11))</f>
        <v>Real</v>
      </c>
      <c r="O5" s="404"/>
      <c r="P5" s="403" t="str">
        <f>IF(+R5="Real","Real",IF(P6=[1]Cabecera!$B$8,[1]Cabecera!$B$10,[1]Cabecera!$B$11))</f>
        <v>Real</v>
      </c>
      <c r="Q5" s="404"/>
      <c r="R5" s="403" t="str">
        <f>IF(+T5="Real","Real",IF(R6=[1]Cabecera!$B$8,[1]Cabecera!$B$10,[1]Cabecera!$B$11))</f>
        <v>Real</v>
      </c>
      <c r="S5" s="404"/>
      <c r="T5" s="403" t="str">
        <f>IF(+V5="Real","Real",IF(T6=[1]Cabecera!$B$8,[1]Cabecera!$B$10,[1]Cabecera!$B$11))</f>
        <v>Real</v>
      </c>
      <c r="U5" s="404"/>
      <c r="V5" s="403" t="str">
        <f>IF(+X5="Real","Real",IF(V6=[1]Cabecera!$B$8,[1]Cabecera!$B$10,[1]Cabecera!$B$11))</f>
        <v>Real</v>
      </c>
      <c r="W5" s="404"/>
      <c r="X5" s="403" t="str">
        <f>IF(+Z5="Real","Real",IF(X6=[1]Cabecera!$B$8,[1]Cabecera!$B$10,[1]Cabecera!$B$11))</f>
        <v>Real</v>
      </c>
      <c r="Y5" s="404"/>
      <c r="Z5" s="403" t="str">
        <f>IF(+AB5="Real","Real",IF(Z6=[1]Cabecera!$B$8,[1]Cabecera!$B$10,[1]Cabecera!$B$11))</f>
        <v>Real</v>
      </c>
      <c r="AA5" s="404"/>
      <c r="AB5" s="403" t="str">
        <f>IF(+AD5="Real","Real",IF(AB6=[1]Cabecera!$B$8,[1]Cabecera!$B$10,[1]Cabecera!$B$11))</f>
        <v>Real</v>
      </c>
      <c r="AC5" s="404"/>
      <c r="AD5" s="403" t="str">
        <f>IF(+AF5="Real","Real",IF(AD6=[1]Cabecera!$B$8,[1]Cabecera!$B$10,[1]Cabecera!$B$11))</f>
        <v>Real</v>
      </c>
      <c r="AE5" s="404"/>
      <c r="AG5" s="405" t="s">
        <v>36</v>
      </c>
      <c r="AH5" s="406"/>
      <c r="AI5" s="405" t="s">
        <v>37</v>
      </c>
      <c r="AJ5" s="406"/>
    </row>
    <row r="6" spans="1:38" s="3" customFormat="1" ht="6" customHeight="1" thickBot="1" x14ac:dyDescent="0.25">
      <c r="H6" s="47">
        <v>1</v>
      </c>
      <c r="I6" s="48"/>
      <c r="J6" s="47">
        <v>2</v>
      </c>
      <c r="K6" s="48"/>
      <c r="L6" s="47">
        <v>3</v>
      </c>
      <c r="M6" s="48"/>
      <c r="N6" s="47">
        <v>4</v>
      </c>
      <c r="O6" s="48"/>
      <c r="P6" s="47">
        <v>5</v>
      </c>
      <c r="Q6" s="48"/>
      <c r="R6" s="47">
        <v>6</v>
      </c>
      <c r="S6" s="48"/>
      <c r="T6" s="47">
        <v>7</v>
      </c>
      <c r="U6" s="48"/>
      <c r="V6" s="47">
        <v>8</v>
      </c>
      <c r="W6" s="48"/>
      <c r="X6" s="47">
        <v>9</v>
      </c>
      <c r="Y6" s="48"/>
      <c r="Z6" s="47">
        <v>10</v>
      </c>
      <c r="AA6" s="48"/>
      <c r="AB6" s="47">
        <v>11</v>
      </c>
      <c r="AC6" s="48"/>
      <c r="AD6" s="47">
        <v>12</v>
      </c>
      <c r="AE6" s="48"/>
      <c r="AG6" s="47">
        <v>12</v>
      </c>
      <c r="AH6" s="48"/>
      <c r="AI6" s="47">
        <v>12</v>
      </c>
      <c r="AJ6" s="48"/>
    </row>
    <row r="7" spans="1:38" ht="25.9" customHeight="1" thickBot="1" x14ac:dyDescent="0.3">
      <c r="H7" s="49" t="s">
        <v>38</v>
      </c>
      <c r="I7" s="50" t="s">
        <v>39</v>
      </c>
      <c r="J7" s="49" t="s">
        <v>40</v>
      </c>
      <c r="K7" s="50" t="s">
        <v>39</v>
      </c>
      <c r="L7" s="49" t="s">
        <v>41</v>
      </c>
      <c r="M7" s="50" t="s">
        <v>39</v>
      </c>
      <c r="N7" s="49" t="s">
        <v>42</v>
      </c>
      <c r="O7" s="50" t="s">
        <v>39</v>
      </c>
      <c r="P7" s="49" t="s">
        <v>43</v>
      </c>
      <c r="Q7" s="50" t="s">
        <v>39</v>
      </c>
      <c r="R7" s="49" t="s">
        <v>44</v>
      </c>
      <c r="S7" s="50" t="s">
        <v>39</v>
      </c>
      <c r="T7" s="49" t="s">
        <v>45</v>
      </c>
      <c r="U7" s="50" t="s">
        <v>39</v>
      </c>
      <c r="V7" s="49" t="s">
        <v>46</v>
      </c>
      <c r="W7" s="50" t="s">
        <v>39</v>
      </c>
      <c r="X7" s="49" t="s">
        <v>47</v>
      </c>
      <c r="Y7" s="50" t="s">
        <v>39</v>
      </c>
      <c r="Z7" s="49" t="s">
        <v>48</v>
      </c>
      <c r="AA7" s="50" t="s">
        <v>39</v>
      </c>
      <c r="AB7" s="49" t="s">
        <v>49</v>
      </c>
      <c r="AC7" s="50" t="s">
        <v>39</v>
      </c>
      <c r="AD7" s="49" t="s">
        <v>50</v>
      </c>
      <c r="AE7" s="50" t="s">
        <v>39</v>
      </c>
      <c r="AG7" s="49">
        <v>2021</v>
      </c>
      <c r="AH7" s="50" t="s">
        <v>39</v>
      </c>
      <c r="AI7" s="49">
        <v>2021</v>
      </c>
      <c r="AJ7" s="50" t="s">
        <v>39</v>
      </c>
    </row>
    <row r="8" spans="1:38" ht="4.9000000000000004" customHeight="1" thickBot="1" x14ac:dyDescent="0.3">
      <c r="H8" s="51"/>
      <c r="I8" s="52"/>
      <c r="J8" s="51"/>
      <c r="K8" s="52"/>
      <c r="L8" s="51"/>
      <c r="M8" s="52"/>
      <c r="N8" s="51"/>
      <c r="O8" s="52"/>
      <c r="P8" s="51"/>
      <c r="Q8" s="52"/>
      <c r="R8" s="51"/>
      <c r="S8" s="52"/>
      <c r="T8" s="51"/>
      <c r="U8" s="52"/>
      <c r="V8" s="51"/>
      <c r="W8" s="52"/>
      <c r="X8" s="51"/>
      <c r="Y8" s="52"/>
      <c r="Z8" s="51"/>
      <c r="AA8" s="52"/>
      <c r="AB8" s="51"/>
      <c r="AC8" s="52"/>
      <c r="AD8" s="51"/>
      <c r="AE8" s="52"/>
      <c r="AG8" s="51"/>
      <c r="AH8" s="52"/>
      <c r="AI8" s="51"/>
      <c r="AJ8" s="52"/>
    </row>
    <row r="9" spans="1:38" ht="13.5" hidden="1" customHeight="1" x14ac:dyDescent="0.25">
      <c r="E9" s="53"/>
      <c r="F9" s="54"/>
      <c r="H9" s="55"/>
      <c r="I9" s="56"/>
      <c r="J9" s="55"/>
      <c r="K9" s="56"/>
      <c r="L9" s="55"/>
      <c r="M9" s="56"/>
      <c r="N9" s="55"/>
      <c r="O9" s="56"/>
      <c r="P9" s="55"/>
      <c r="Q9" s="56"/>
      <c r="R9" s="55"/>
      <c r="S9" s="56"/>
      <c r="T9" s="55"/>
      <c r="U9" s="56"/>
      <c r="V9" s="55"/>
      <c r="W9" s="56"/>
      <c r="X9" s="55"/>
      <c r="Y9" s="56"/>
      <c r="Z9" s="55"/>
      <c r="AA9" s="56"/>
      <c r="AB9" s="55"/>
      <c r="AC9" s="56"/>
      <c r="AD9" s="55"/>
      <c r="AE9" s="56"/>
      <c r="AG9" s="55"/>
      <c r="AH9" s="56"/>
      <c r="AI9" s="55"/>
      <c r="AJ9" s="56"/>
    </row>
    <row r="10" spans="1:38" ht="13.5" hidden="1" customHeight="1" x14ac:dyDescent="0.25">
      <c r="E10" s="57" t="s">
        <v>51</v>
      </c>
      <c r="F10" s="58"/>
      <c r="H10" s="59">
        <f>+'[1]Comparativo PG Acumulado'!E15/1000</f>
        <v>23295.174230000001</v>
      </c>
      <c r="I10" s="60"/>
      <c r="J10" s="59">
        <f>+'[1]Comparativo PG Acumulado'!G15/1000</f>
        <v>25005.447170000003</v>
      </c>
      <c r="K10" s="60"/>
      <c r="L10" s="59">
        <f>+'[1]Comparativo PG Acumulado'!I15/1000</f>
        <v>0</v>
      </c>
      <c r="M10" s="60"/>
      <c r="N10" s="59">
        <f>+'[1]Comparativo PG Acumulado'!K15/1000</f>
        <v>0</v>
      </c>
      <c r="O10" s="60"/>
      <c r="P10" s="59">
        <f>+'[1]Comparativo PG Acumulado'!M15/1000</f>
        <v>-6.8396015011156557E-5</v>
      </c>
      <c r="Q10" s="60"/>
      <c r="R10" s="59">
        <f>+'[1]Comparativo PG Acumulado'!O15/1000</f>
        <v>0</v>
      </c>
      <c r="S10" s="60"/>
      <c r="T10" s="59">
        <f>+'[1]Comparativo PG Acumulado'!Q15/1000</f>
        <v>0</v>
      </c>
      <c r="U10" s="60"/>
      <c r="V10" s="59">
        <f>+'[1]Comparativo PG Acumulado'!S15/1000</f>
        <v>0</v>
      </c>
      <c r="W10" s="60"/>
      <c r="X10" s="59">
        <f>+'[1]Comparativo PG Acumulado'!U15/1000</f>
        <v>0</v>
      </c>
      <c r="Y10" s="60"/>
      <c r="Z10" s="59">
        <f>+'[1]Comparativo PG Acumulado'!W15/1000</f>
        <v>0</v>
      </c>
      <c r="AA10" s="60"/>
      <c r="AB10" s="59">
        <f>+'[1]Comparativo PG Acumulado'!Y15/1000</f>
        <v>0</v>
      </c>
      <c r="AC10" s="60"/>
      <c r="AD10" s="59">
        <f>+'[1]Comparativo PG Acumulado'!AA15/1000</f>
        <v>0</v>
      </c>
      <c r="AE10" s="60"/>
      <c r="AG10" s="59">
        <f>+'[1]Comparativo PG Acumulado'!AD15/1000</f>
        <v>0</v>
      </c>
      <c r="AH10" s="60"/>
      <c r="AI10" s="59">
        <f>+'[1]Comparativo PG Acumulado'!AF15/1000</f>
        <v>0</v>
      </c>
      <c r="AJ10" s="60"/>
    </row>
    <row r="11" spans="1:38" ht="13.5" hidden="1" customHeight="1" x14ac:dyDescent="0.25">
      <c r="E11" s="57" t="s">
        <v>52</v>
      </c>
      <c r="F11" s="58"/>
      <c r="H11" s="59">
        <f>+'[1]Comparativo PG Acumulado'!E16/1000</f>
        <v>6191.4813600000007</v>
      </c>
      <c r="I11" s="60"/>
      <c r="J11" s="59">
        <f>+'[1]Comparativo PG Acumulado'!G16/1000</f>
        <v>6560.7468399999998</v>
      </c>
      <c r="K11" s="60"/>
      <c r="L11" s="59">
        <f>+'[1]Comparativo PG Acumulado'!I16/1000</f>
        <v>0</v>
      </c>
      <c r="M11" s="60"/>
      <c r="N11" s="59">
        <f>+'[1]Comparativo PG Acumulado'!K16/1000</f>
        <v>0</v>
      </c>
      <c r="O11" s="60"/>
      <c r="P11" s="59">
        <f>+'[1]Comparativo PG Acumulado'!M16/1000</f>
        <v>-5.6284061709047654E-5</v>
      </c>
      <c r="Q11" s="60"/>
      <c r="R11" s="59">
        <f>+'[1]Comparativo PG Acumulado'!O16/1000</f>
        <v>0</v>
      </c>
      <c r="S11" s="60"/>
      <c r="T11" s="59">
        <f>+'[1]Comparativo PG Acumulado'!Q16/1000</f>
        <v>0</v>
      </c>
      <c r="U11" s="60"/>
      <c r="V11" s="59">
        <f>+'[1]Comparativo PG Acumulado'!S16/1000</f>
        <v>0</v>
      </c>
      <c r="W11" s="60"/>
      <c r="X11" s="59">
        <f>+'[1]Comparativo PG Acumulado'!U16/1000</f>
        <v>0</v>
      </c>
      <c r="Y11" s="60"/>
      <c r="Z11" s="59">
        <f>+'[1]Comparativo PG Acumulado'!W16/1000</f>
        <v>0</v>
      </c>
      <c r="AA11" s="60"/>
      <c r="AB11" s="59">
        <f>+'[1]Comparativo PG Acumulado'!Y16/1000</f>
        <v>0</v>
      </c>
      <c r="AC11" s="60"/>
      <c r="AD11" s="59">
        <f>+'[1]Comparativo PG Acumulado'!AA16/1000</f>
        <v>0</v>
      </c>
      <c r="AE11" s="60"/>
      <c r="AG11" s="59">
        <f>+'[1]Comparativo PG Acumulado'!AD16/1000</f>
        <v>0</v>
      </c>
      <c r="AH11" s="60"/>
      <c r="AI11" s="59">
        <f>+'[1]Comparativo PG Acumulado'!AF16/1000</f>
        <v>0</v>
      </c>
      <c r="AJ11" s="60"/>
    </row>
    <row r="12" spans="1:38" s="35" customFormat="1" ht="12.75" x14ac:dyDescent="0.2">
      <c r="A12" s="61">
        <v>41010101</v>
      </c>
      <c r="B12" s="61">
        <v>41010105</v>
      </c>
      <c r="C12" s="61">
        <v>410102</v>
      </c>
      <c r="D12" s="61"/>
      <c r="E12" s="62" t="s">
        <v>53</v>
      </c>
      <c r="F12" s="63"/>
      <c r="H12" s="64">
        <f>IF(+H$5="Real",IF(ISNA(VLOOKUP($A12,base76,+H$1,FALSE))=FALSE,VLOOKUP($A12,base76,+H$1,FALSE),0)/1000+IF(ISNA(VLOOKUP($B12,base76,+H$1,FALSE))=FALSE,VLOOKUP($B12,base76,+H$1,FALSE),0)/1000+IF(ISNA(VLOOKUP($C12,base76,+H$1,FALSE))=FALSE,VLOOKUP($C12,base76,+H$1,FALSE),0)/1000,+'[1]Presupuesto 2021'!E8/1000)</f>
        <v>1584.0394499999998</v>
      </c>
      <c r="I12" s="65">
        <f>+H12/H$14</f>
        <v>0.91467120147506464</v>
      </c>
      <c r="J12" s="64">
        <f>IF(+J$5="Real",IF(ISNA(VLOOKUP($A12,base76,+J$1,FALSE))=FALSE,VLOOKUP($A12,base76,+J$1,FALSE),0)/1000+IF(ISNA(VLOOKUP($B12,base76,+J$1,FALSE))=FALSE,VLOOKUP($B12,base76,+J$1,FALSE),0)/1000+IF(ISNA(VLOOKUP($C12,base76,+J$1,FALSE))=FALSE,VLOOKUP($C12,base76,+J$1,FALSE),0)/1000,+'[1]Presupuesto 2021'!G8/1000)</f>
        <v>1572.3457700000001</v>
      </c>
      <c r="K12" s="65">
        <f>+J12/J$14</f>
        <v>0.90960633767802002</v>
      </c>
      <c r="L12" s="64">
        <f>IF(+L$5="Real",IF(ISNA(VLOOKUP($A12,base76,+L$1,FALSE))=FALSE,VLOOKUP($A12,base76,+L$1,FALSE),0)/1000+IF(ISNA(VLOOKUP($B12,base76,+L$1,FALSE))=FALSE,VLOOKUP($B12,base76,+L$1,FALSE),0)/1000+IF(ISNA(VLOOKUP($C12,base76,+L$1,FALSE))=FALSE,VLOOKUP($C12,base76,+L$1,FALSE),0)/1000,+'[1]Presupuesto 2021'!I8/1000)</f>
        <v>1656.5038300000001</v>
      </c>
      <c r="M12" s="65">
        <f>+L12/L$14</f>
        <v>0.93813724375292096</v>
      </c>
      <c r="N12" s="64">
        <f>IF(+N$5="Real",IF(ISNA(VLOOKUP($A12,base76,+N$1,FALSE))=FALSE,VLOOKUP($A12,base76,+N$1,FALSE),0)/1000+IF(ISNA(VLOOKUP($B12,base76,+N$1,FALSE))=FALSE,VLOOKUP($B12,base76,+N$1,FALSE),0)/1000+IF(ISNA(VLOOKUP($C12,base76,+N$1,FALSE))=FALSE,VLOOKUP($C12,base76,+N$1,FALSE),0)/1000,+'[1]Presupuesto 2021'!K8/1000)</f>
        <v>1657.1496100000002</v>
      </c>
      <c r="O12" s="65">
        <f>+N12/N$14</f>
        <v>0.90084900152648861</v>
      </c>
      <c r="P12" s="64">
        <f>IF(+P$5="Real",IF(ISNA(VLOOKUP($A12,base76,+P$1,FALSE))=FALSE,VLOOKUP($A12,base76,+P$1,FALSE),0)/1000+IF(ISNA(VLOOKUP($B12,base76,+P$1,FALSE))=FALSE,VLOOKUP($B12,base76,+P$1,FALSE),0)/1000+IF(ISNA(VLOOKUP($C12,base76,+P$1,FALSE))=FALSE,VLOOKUP($C12,base76,+P$1,FALSE),0)/1000,+'[1]Presupuesto 2021'!M8/1000)</f>
        <v>1535.7092500000001</v>
      </c>
      <c r="Q12" s="65">
        <f>+P12/P$14</f>
        <v>0.88844488895926055</v>
      </c>
      <c r="R12" s="64">
        <f>IF(+R$5="Real",IF(ISNA(VLOOKUP($A12,base76,+R$1,FALSE))=FALSE,VLOOKUP($A12,base76,+R$1,FALSE),0)/1000+IF(ISNA(VLOOKUP($B12,base76,+R$1,FALSE))=FALSE,VLOOKUP($B12,base76,+R$1,FALSE),0)/1000+IF(ISNA(VLOOKUP($C12,base76,+R$1,FALSE))=FALSE,VLOOKUP($C12,base76,+R$1,FALSE),0)/1000,+'[1]Presupuesto 2021'!O8/1000)</f>
        <v>1901.90346</v>
      </c>
      <c r="S12" s="65">
        <f>+R12/R$14</f>
        <v>0.95037292437786614</v>
      </c>
      <c r="T12" s="64">
        <f>IF(+T$5="Real",IF(ISNA(VLOOKUP($A12,base76,+T$1,FALSE))=FALSE,VLOOKUP($A12,base76,+T$1,FALSE),0)/1000+IF(ISNA(VLOOKUP($B12,base76,+T$1,FALSE))=FALSE,VLOOKUP($B12,base76,+T$1,FALSE),0)/1000+IF(ISNA(VLOOKUP($C12,base76,+T$1,FALSE))=FALSE,VLOOKUP($C12,base76,+T$1,FALSE),0)/1000,+'[1]Presupuesto 2021'!Q8/1000)</f>
        <v>2367.8686699999998</v>
      </c>
      <c r="U12" s="65">
        <f>+T12/T$14</f>
        <v>0.94382729499352691</v>
      </c>
      <c r="V12" s="64">
        <f>IF(+V$5="Real",IF(ISNA(VLOOKUP($A12,base76,+V$1,FALSE))=FALSE,VLOOKUP($A12,base76,+V$1,FALSE),0)/1000+IF(ISNA(VLOOKUP($B12,base76,+V$1,FALSE))=FALSE,VLOOKUP($B12,base76,+V$1,FALSE),0)/1000+IF(ISNA(VLOOKUP($C12,base76,+V$1,FALSE))=FALSE,VLOOKUP($C12,base76,+V$1,FALSE),0)/1000,+'[1]Presupuesto 2021'!S8/1000)</f>
        <v>2947.0764300000001</v>
      </c>
      <c r="W12" s="65">
        <f>+V12/V$14</f>
        <v>0.95580371227582839</v>
      </c>
      <c r="X12" s="64">
        <f>IF(+X$5="Real",IF(ISNA(VLOOKUP($A12,base76,+X$1,FALSE))=FALSE,VLOOKUP($A12,base76,+X$1,FALSE),0)/1000+IF(ISNA(VLOOKUP($B12,base76,+X$1,FALSE))=FALSE,VLOOKUP($B12,base76,+X$1,FALSE),0)/1000+IF(ISNA(VLOOKUP($C12,base76,+X$1,FALSE))=FALSE,VLOOKUP($C12,base76,+X$1,FALSE),0)/1000,+'[1]Presupuesto 2021'!U8/1000)</f>
        <v>2975.65283</v>
      </c>
      <c r="Y12" s="65">
        <f>+X12/X$14</f>
        <v>0.94864455506518153</v>
      </c>
      <c r="Z12" s="64">
        <f>IF(+Z$5="Real",IF(ISNA(VLOOKUP($A12,base76,+Z$1,FALSE))=FALSE,VLOOKUP($A12,base76,+Z$1,FALSE),0)/1000+IF(ISNA(VLOOKUP($B12,base76,+Z$1,FALSE))=FALSE,VLOOKUP($B12,base76,+Z$1,FALSE),0)/1000+IF(ISNA(VLOOKUP($C12,base76,+Z$1,FALSE))=FALSE,VLOOKUP($C12,base76,+Z$1,FALSE),0)/1000,+'[1]Presupuesto 2021'!W8/1000)</f>
        <v>3876.8332799999998</v>
      </c>
      <c r="AA12" s="65">
        <f>+Z12/Z$14</f>
        <v>0.94389322867284708</v>
      </c>
      <c r="AB12" s="64">
        <f>IF(+AB$5="Real",IF(ISNA(VLOOKUP($A12,base76,+AB$1,FALSE))=FALSE,VLOOKUP($A12,base76,+AB$1,FALSE),0)/1000+IF(ISNA(VLOOKUP($B12,base76,+AB$1,FALSE))=FALSE,VLOOKUP($B12,base76,+AB$1,FALSE),0)/1000+IF(ISNA(VLOOKUP($C12,base76,+AB$1,FALSE))=FALSE,VLOOKUP($C12,base76,+AB$1,FALSE),0)/1000,+'[1]Presupuesto 2021'!Y8/1000)</f>
        <v>4054.95964</v>
      </c>
      <c r="AC12" s="65">
        <f>+AB12/AB$14</f>
        <v>0.90900543951579005</v>
      </c>
      <c r="AD12" s="64">
        <f>IF(+AD$5="Real",IF(ISNA(VLOOKUP($A12,base76,+AD$1,FALSE))=FALSE,VLOOKUP($A12,base76,+AD$1,FALSE),0)/1000+IF(ISNA(VLOOKUP($B12,base76,+AD$1,FALSE))=FALSE,VLOOKUP($B12,base76,+AD$1,FALSE),0)/1000+IF(ISNA(VLOOKUP($C12,base76,+AD$1,FALSE))=FALSE,VLOOKUP($C12,base76,+AD$1,FALSE),0)/1000,+'[1]Presupuesto 2021'!AA8/1000)</f>
        <v>1956.12213</v>
      </c>
      <c r="AE12" s="65">
        <f>+AD12/AD$14</f>
        <v>0.90629699761161175</v>
      </c>
      <c r="AG12" s="64">
        <f ca="1">SUM(H42:INDIRECT("F42C"&amp;[1]Cabecera!$C$8,0))</f>
        <v>28086.164349999999</v>
      </c>
      <c r="AH12" s="65">
        <f t="shared" ref="AH12:AJ14" ca="1" si="0">+AG12/AG$14</f>
        <v>0.92844203083148458</v>
      </c>
      <c r="AI12" s="64">
        <f>+H12+J12+L12+N12+P12+R12+T12+V12+X12+Z12+AB12+AD12</f>
        <v>28086.164349999999</v>
      </c>
      <c r="AJ12" s="65">
        <f t="shared" si="0"/>
        <v>0.92844203083148458</v>
      </c>
      <c r="AL12" s="66">
        <f ca="1">+AG16+AG17+AG24</f>
        <v>24782.639499999997</v>
      </c>
    </row>
    <row r="13" spans="1:38" s="35" customFormat="1" ht="13.5" thickBot="1" x14ac:dyDescent="0.25">
      <c r="A13" s="61">
        <v>41010103</v>
      </c>
      <c r="B13" s="61">
        <v>410101030031</v>
      </c>
      <c r="C13" s="61"/>
      <c r="D13" s="61"/>
      <c r="E13" s="67" t="s">
        <v>54</v>
      </c>
      <c r="F13" s="68"/>
      <c r="H13" s="69">
        <f>IF(+H$5="Real",IF(ISNA(VLOOKUP($A13,base76,+H$1,FALSE))=FALSE,VLOOKUP($A13,base76,+H$1,FALSE),0)/1000-IF(ISNA(VLOOKUP($B13,base76,+H$1,FALSE))=FALSE,VLOOKUP($B13,base76,+H$1,FALSE),0)/1000,+'[1]Presupuesto 2021'!E9/1000)</f>
        <v>147.77351999999999</v>
      </c>
      <c r="I13" s="70">
        <f>+H13/H$14</f>
        <v>8.5328798524935412E-2</v>
      </c>
      <c r="J13" s="69">
        <f>IF(+J$5="Real",IF(ISNA(VLOOKUP($A13,base76,+J$1,FALSE))=FALSE,VLOOKUP($A13,base76,+J$1,FALSE),0)/1000-IF(ISNA(VLOOKUP($B13,base76,+J$1,FALSE))=FALSE,VLOOKUP($B13,base76,+J$1,FALSE),0)/1000,+'[1]Presupuesto 2021'!G9/1000)</f>
        <v>156.25451000000001</v>
      </c>
      <c r="K13" s="70">
        <f>+J13/J$14</f>
        <v>9.0393662321979956E-2</v>
      </c>
      <c r="L13" s="69">
        <f>IF(+L$5="Real",IF(ISNA(VLOOKUP($A13,base76,+L$1,FALSE))=FALSE,VLOOKUP($A13,base76,+L$1,FALSE),0)/1000-IF(ISNA(VLOOKUP($B13,base76,+L$1,FALSE))=FALSE,VLOOKUP($B13,base76,+L$1,FALSE),0)/1000,+'[1]Presupuesto 2021'!I9/1000)</f>
        <v>109.23336999999998</v>
      </c>
      <c r="M13" s="70">
        <f>+L13/L$14</f>
        <v>6.1862756247079112E-2</v>
      </c>
      <c r="N13" s="69">
        <f>IF(+N$5="Real",IF(ISNA(VLOOKUP($A13,base76,+N$1,FALSE))=FALSE,VLOOKUP($A13,base76,+N$1,FALSE),0)/1000-IF(ISNA(VLOOKUP($B13,base76,+N$1,FALSE))=FALSE,VLOOKUP($B13,base76,+N$1,FALSE),0)/1000,+'[1]Presupuesto 2021'!K9/1000)</f>
        <v>182.39243000000005</v>
      </c>
      <c r="O13" s="70">
        <f>+N13/N$14</f>
        <v>9.9150998473511387E-2</v>
      </c>
      <c r="P13" s="69">
        <f>IF(+P$5="Real",IF(ISNA(VLOOKUP($A13,base76,+P$1,FALSE))=FALSE,VLOOKUP($A13,base76,+P$1,FALSE),0)/1000-IF(ISNA(VLOOKUP($B13,base76,+P$1,FALSE))=FALSE,VLOOKUP($B13,base76,+P$1,FALSE),0)/1000,+'[1]Presupuesto 2021'!M9/1000)</f>
        <v>192.82705999999999</v>
      </c>
      <c r="Q13" s="70">
        <f>+P13/P$14</f>
        <v>0.11155511104073941</v>
      </c>
      <c r="R13" s="69">
        <f>IF(+R$5="Real",IF(ISNA(VLOOKUP($A13,base76,+R$1,FALSE))=FALSE,VLOOKUP($A13,base76,+R$1,FALSE),0)/1000-IF(ISNA(VLOOKUP($B13,base76,+R$1,FALSE))=FALSE,VLOOKUP($B13,base76,+R$1,FALSE),0)/1000,+'[1]Presupuesto 2021'!O9/1000)</f>
        <v>99.314599999999999</v>
      </c>
      <c r="S13" s="70">
        <f>+R13/R$14</f>
        <v>4.9627075622133851E-2</v>
      </c>
      <c r="T13" s="69">
        <f>IF(+T$5="Real",IF(ISNA(VLOOKUP($A13,base76,+T$1,FALSE))=FALSE,VLOOKUP($A13,base76,+T$1,FALSE),0)/1000-IF(ISNA(VLOOKUP($B13,base76,+T$1,FALSE))=FALSE,VLOOKUP($B13,base76,+T$1,FALSE),0)/1000,+'[1]Presupuesto 2021'!Q9/1000)</f>
        <v>140.92577000000003</v>
      </c>
      <c r="U13" s="70">
        <f>+T13/T$14</f>
        <v>5.6172705006473166E-2</v>
      </c>
      <c r="V13" s="69">
        <f>IF(+V$5="Real",IF(ISNA(VLOOKUP($A13,base76,+V$1,FALSE))=FALSE,VLOOKUP($A13,base76,+V$1,FALSE),0)/1000-IF(ISNA(VLOOKUP($B13,base76,+V$1,FALSE))=FALSE,VLOOKUP($B13,base76,+V$1,FALSE),0)/1000,+'[1]Presupuesto 2021'!S9/1000)</f>
        <v>136.27257999999998</v>
      </c>
      <c r="W13" s="70">
        <f>+V13/V$14</f>
        <v>4.4196287724171703E-2</v>
      </c>
      <c r="X13" s="69">
        <f>IF(+X$5="Real",IF(ISNA(VLOOKUP($A13,base76,+X$1,FALSE))=FALSE,VLOOKUP($A13,base76,+X$1,FALSE),0)/1000-IF(ISNA(VLOOKUP($B13,base76,+X$1,FALSE))=FALSE,VLOOKUP($B13,base76,+X$1,FALSE),0)/1000,+'[1]Presupuesto 2021'!U9/1000)</f>
        <v>161.08876000000001</v>
      </c>
      <c r="Y13" s="70">
        <f>+X13/X$14</f>
        <v>5.1355444934818494E-2</v>
      </c>
      <c r="Z13" s="69">
        <f>IF(+Z$5="Real",IF(ISNA(VLOOKUP($A13,base76,+Z$1,FALSE))=FALSE,VLOOKUP($A13,base76,+Z$1,FALSE),0)/1000-IF(ISNA(VLOOKUP($B13,base76,+Z$1,FALSE))=FALSE,VLOOKUP($B13,base76,+Z$1,FALSE),0)/1000,+'[1]Presupuesto 2021'!W9/1000)</f>
        <v>230.44619</v>
      </c>
      <c r="AA13" s="70">
        <f>+Z13/Z$14</f>
        <v>5.6106771327152964E-2</v>
      </c>
      <c r="AB13" s="69">
        <f>IF(+AB$5="Real",IF(ISNA(VLOOKUP($A13,base76,+AB$1,FALSE))=FALSE,VLOOKUP($A13,base76,+AB$1,FALSE),0)/1000-IF(ISNA(VLOOKUP($B13,base76,+AB$1,FALSE))=FALSE,VLOOKUP($B13,base76,+AB$1,FALSE),0)/1000,+'[1]Presupuesto 2021'!Y9/1000)</f>
        <v>405.91535999999996</v>
      </c>
      <c r="AC13" s="70">
        <f>+AB13/AB$14</f>
        <v>9.0994560484209924E-2</v>
      </c>
      <c r="AD13" s="69">
        <f>IF(+AD$5="Real",IF(ISNA(VLOOKUP($A13,base76,+AD$1,FALSE))=FALSE,VLOOKUP($A13,base76,+AD$1,FALSE),0)/1000-IF(ISNA(VLOOKUP($B13,base76,+AD$1,FALSE))=FALSE,VLOOKUP($B13,base76,+AD$1,FALSE),0)/1000,+'[1]Presupuesto 2021'!AA9/1000)</f>
        <v>202.24553</v>
      </c>
      <c r="AE13" s="70">
        <f>+AD13/AD$14</f>
        <v>9.3703002388388273E-2</v>
      </c>
      <c r="AG13" s="69">
        <f ca="1">SUM(H43:INDIRECT("F43C"&amp;[1]Cabecera!$C$8,0))</f>
        <v>2164.6896800000004</v>
      </c>
      <c r="AH13" s="70">
        <f t="shared" ca="1" si="0"/>
        <v>7.1557969168515423E-2</v>
      </c>
      <c r="AI13" s="69">
        <f>+H13+J13+L13+N13+P13+R13+T13+V13+X13+Z13+AB13+AD13</f>
        <v>2164.6896800000004</v>
      </c>
      <c r="AJ13" s="70">
        <f t="shared" si="0"/>
        <v>7.1557969168515423E-2</v>
      </c>
    </row>
    <row r="14" spans="1:38" s="35" customFormat="1" ht="13.5" thickBot="1" x14ac:dyDescent="0.25">
      <c r="E14" s="71" t="s">
        <v>55</v>
      </c>
      <c r="F14" s="72"/>
      <c r="H14" s="73">
        <f>+H12+H13</f>
        <v>1731.8129699999997</v>
      </c>
      <c r="I14" s="74">
        <f>+H14/H$14</f>
        <v>1</v>
      </c>
      <c r="J14" s="73">
        <f>+J12+J13</f>
        <v>1728.6002800000001</v>
      </c>
      <c r="K14" s="74">
        <f>+J14/J$14</f>
        <v>1</v>
      </c>
      <c r="L14" s="73">
        <f>+L12+L13</f>
        <v>1765.7372</v>
      </c>
      <c r="M14" s="74">
        <f>+L14/L$14</f>
        <v>1</v>
      </c>
      <c r="N14" s="73">
        <f>+N12+N13</f>
        <v>1839.5420400000003</v>
      </c>
      <c r="O14" s="74">
        <f>+N14/N$14</f>
        <v>1</v>
      </c>
      <c r="P14" s="73">
        <f>+P12+P13</f>
        <v>1728.5363100000002</v>
      </c>
      <c r="Q14" s="74">
        <f>+P14/P$14</f>
        <v>1</v>
      </c>
      <c r="R14" s="73">
        <f>+R12+R13</f>
        <v>2001.2180599999999</v>
      </c>
      <c r="S14" s="74">
        <f>+R14/R$14</f>
        <v>1</v>
      </c>
      <c r="T14" s="73">
        <f>+T12+T13</f>
        <v>2508.7944399999997</v>
      </c>
      <c r="U14" s="74">
        <f>+T14/T$14</f>
        <v>1</v>
      </c>
      <c r="V14" s="73">
        <f>+V12+V13</f>
        <v>3083.3490099999999</v>
      </c>
      <c r="W14" s="74">
        <f>+V14/V$14</f>
        <v>1</v>
      </c>
      <c r="X14" s="73">
        <f>+X12+X13</f>
        <v>3136.7415900000001</v>
      </c>
      <c r="Y14" s="74">
        <f>+X14/X$14</f>
        <v>1</v>
      </c>
      <c r="Z14" s="73">
        <f>+Z12+Z13</f>
        <v>4107.2794699999995</v>
      </c>
      <c r="AA14" s="74">
        <f>+Z14/Z$14</f>
        <v>1</v>
      </c>
      <c r="AB14" s="73">
        <f>+AB12+AB13</f>
        <v>4460.875</v>
      </c>
      <c r="AC14" s="74">
        <f>+AB14/AB$14</f>
        <v>1</v>
      </c>
      <c r="AD14" s="73">
        <f>+AD12+AD13</f>
        <v>2158.3676599999999</v>
      </c>
      <c r="AE14" s="74">
        <f>+AD14/AD$14</f>
        <v>1</v>
      </c>
      <c r="AG14" s="73">
        <f ca="1">+AG12+AG13</f>
        <v>30250.854029999999</v>
      </c>
      <c r="AH14" s="74">
        <f t="shared" ca="1" si="0"/>
        <v>1</v>
      </c>
      <c r="AI14" s="73">
        <f>+AI12+AI13</f>
        <v>30250.854029999999</v>
      </c>
      <c r="AJ14" s="74">
        <f t="shared" si="0"/>
        <v>1</v>
      </c>
    </row>
    <row r="15" spans="1:38" ht="6.75" customHeight="1" x14ac:dyDescent="0.25">
      <c r="E15" s="53"/>
      <c r="F15" s="54"/>
      <c r="H15" s="75"/>
      <c r="I15" s="76"/>
      <c r="J15" s="75"/>
      <c r="K15" s="76"/>
      <c r="L15" s="75"/>
      <c r="M15" s="76"/>
      <c r="N15" s="75"/>
      <c r="O15" s="76"/>
      <c r="P15" s="75"/>
      <c r="Q15" s="76"/>
      <c r="R15" s="75"/>
      <c r="S15" s="76"/>
      <c r="T15" s="75"/>
      <c r="U15" s="76"/>
      <c r="V15" s="75"/>
      <c r="W15" s="76"/>
      <c r="X15" s="75"/>
      <c r="Y15" s="76"/>
      <c r="Z15" s="75"/>
      <c r="AA15" s="76"/>
      <c r="AB15" s="75"/>
      <c r="AC15" s="76"/>
      <c r="AD15" s="75"/>
      <c r="AE15" s="76"/>
      <c r="AG15" s="75"/>
      <c r="AH15" s="76"/>
      <c r="AI15" s="75"/>
      <c r="AJ15" s="76"/>
    </row>
    <row r="16" spans="1:38" x14ac:dyDescent="0.25">
      <c r="A16" s="61">
        <v>5101</v>
      </c>
      <c r="B16">
        <v>5102</v>
      </c>
      <c r="C16">
        <v>5103</v>
      </c>
      <c r="D16" s="61">
        <v>510101010031</v>
      </c>
      <c r="E16" s="57" t="s">
        <v>56</v>
      </c>
      <c r="F16" s="58"/>
      <c r="H16" s="59">
        <f>IF(+H$5="Real",IF(ISNA(VLOOKUP($A16,base76,+H$1,FALSE))=FALSE,VLOOKUP($A16,base76,+H$1,FALSE),0)/1000-H24+IF(ISNA(VLOOKUP($B16,base76,+H$1,FALSE))=FALSE,VLOOKUP($B16,base76,+H$1,FALSE),0)/1000+IF(ISNA(VLOOKUP($C16,base76,+H$1,FALSE))=FALSE,VLOOKUP($C16,base76,+H$1,FALSE),0)/1000-H17,'[1]Presupuesto 2021'!E12/1000+'[1]Presupuesto 2021'!E14/1000)-IF(ISNA(VLOOKUP($D16,base76,+H$1,FALSE))=FALSE,VLOOKUP($D16,base76,+H$1,FALSE),0)/1000</f>
        <v>1167.0046100000002</v>
      </c>
      <c r="I16" s="77">
        <f>+H16/H$12</f>
        <v>0.73672698618711818</v>
      </c>
      <c r="J16" s="59">
        <f>IF(+J$5="Real",IF(ISNA(VLOOKUP($A16,base76,+J$1,FALSE))=FALSE,VLOOKUP($A16,base76,+J$1,FALSE),0)/1000-J24+IF(ISNA(VLOOKUP($B16,base76,+J$1,FALSE))=FALSE,VLOOKUP($B16,base76,+J$1,FALSE),0)/1000+IF(ISNA(VLOOKUP($C16,base76,+J$1,FALSE))=FALSE,VLOOKUP($C16,base76,+J$1,FALSE),0)/1000-J17,'[1]Presupuesto 2021'!G12/1000+'[1]Presupuesto 2021'!G14/1000)-IF(ISNA(VLOOKUP($D16,base76,+J$1,FALSE))=FALSE,VLOOKUP($D16,base76,+J$1,FALSE),0)/1000</f>
        <v>1176.37652</v>
      </c>
      <c r="K16" s="77">
        <f>+J16/J$12</f>
        <v>0.74816655626580142</v>
      </c>
      <c r="L16" s="59">
        <f>IF(+L$5="Real",IF(ISNA(VLOOKUP($A16,base76,+L$1,FALSE))=FALSE,VLOOKUP($A16,base76,+L$1,FALSE),0)/1000-L24+IF(ISNA(VLOOKUP($B16,base76,+L$1,FALSE))=FALSE,VLOOKUP($B16,base76,+L$1,FALSE),0)/1000+IF(ISNA(VLOOKUP($C16,base76,+L$1,FALSE))=FALSE,VLOOKUP($C16,base76,+L$1,FALSE),0)/1000-L17,'[1]Presupuesto 2021'!I12/1000+'[1]Presupuesto 2021'!I14/1000)-IF(ISNA(VLOOKUP($D16,base76,+L$1,FALSE))=FALSE,VLOOKUP($D16,base76,+L$1,FALSE),0)/1000</f>
        <v>1239.4319100000002</v>
      </c>
      <c r="M16" s="77">
        <f>+L16/L$12</f>
        <v>0.74822157821391821</v>
      </c>
      <c r="N16" s="59">
        <f>IF(+N$5="Real",IF(ISNA(VLOOKUP($A16,base76,+N$1,FALSE))=FALSE,VLOOKUP($A16,base76,+N$1,FALSE),0)/1000-N24+IF(ISNA(VLOOKUP($B16,base76,+N$1,FALSE))=FALSE,VLOOKUP($B16,base76,+N$1,FALSE),0)/1000+IF(ISNA(VLOOKUP($C16,base76,+N$1,FALSE))=FALSE,VLOOKUP($C16,base76,+N$1,FALSE),0)/1000-N17,'[1]Presupuesto 2021'!K12/1000+'[1]Presupuesto 2021'!K14/1000)-IF(ISNA(VLOOKUP($D16,base76,+N$1,FALSE))=FALSE,VLOOKUP($D16,base76,+N$1,FALSE),0)/1000</f>
        <v>1242.33061</v>
      </c>
      <c r="O16" s="77">
        <f>+N16/N$12</f>
        <v>0.74967920971239277</v>
      </c>
      <c r="P16" s="59">
        <f>IF(+P$5="Real",IF(ISNA(VLOOKUP($A16,base76,+P$1,FALSE))=FALSE,VLOOKUP($A16,base76,+P$1,FALSE),0)/1000-P24+IF(ISNA(VLOOKUP($B16,base76,+P$1,FALSE))=FALSE,VLOOKUP($B16,base76,+P$1,FALSE),0)/1000+IF(ISNA(VLOOKUP($C16,base76,+P$1,FALSE))=FALSE,VLOOKUP($C16,base76,+P$1,FALSE),0)/1000-P17,'[1]Presupuesto 2021'!M12/1000+'[1]Presupuesto 2021'!M14/1000)-IF(ISNA(VLOOKUP($D16,base76,+P$1,FALSE))=FALSE,VLOOKUP($D16,base76,+P$1,FALSE),0)/1000</f>
        <v>1239.7678699999999</v>
      </c>
      <c r="Q16" s="77">
        <f>+P16/P$12</f>
        <v>0.80729335321773954</v>
      </c>
      <c r="R16" s="59">
        <f>IF(+R$5="Real",IF(ISNA(VLOOKUP($A16,base76,+R$1,FALSE))=FALSE,VLOOKUP($A16,base76,+R$1,FALSE),0)/1000-R24+IF(ISNA(VLOOKUP($B16,base76,+R$1,FALSE))=FALSE,VLOOKUP($B16,base76,+R$1,FALSE),0)/1000+IF(ISNA(VLOOKUP($C16,base76,+R$1,FALSE))=FALSE,VLOOKUP($C16,base76,+R$1,FALSE),0)/1000-R17,'[1]Presupuesto 2021'!O12/1000+'[1]Presupuesto 2021'!O14/1000)-IF(ISNA(VLOOKUP($D16,base76,+R$1,FALSE))=FALSE,VLOOKUP($D16,base76,+R$1,FALSE),0)/1000</f>
        <v>1588.1342399999999</v>
      </c>
      <c r="S16" s="77">
        <f>+R16/R$12</f>
        <v>0.83502358211178596</v>
      </c>
      <c r="T16" s="59">
        <f>IF(+T$5="Real",IF(ISNA(VLOOKUP($A16,base76,+T$1,FALSE))=FALSE,VLOOKUP($A16,base76,+T$1,FALSE),0)/1000-T24+IF(ISNA(VLOOKUP($B16,base76,+T$1,FALSE))=FALSE,VLOOKUP($B16,base76,+T$1,FALSE),0)/1000+IF(ISNA(VLOOKUP($C16,base76,+T$1,FALSE))=FALSE,VLOOKUP($C16,base76,+T$1,FALSE),0)/1000-T17,'[1]Presupuesto 2021'!Q12/1000+'[1]Presupuesto 2021'!Q14/1000)-IF(ISNA(VLOOKUP($D16,base76,+T$1,FALSE))=FALSE,VLOOKUP($D16,base76,+T$1,FALSE),0)/1000</f>
        <v>1832.6583200000005</v>
      </c>
      <c r="U16" s="77">
        <f>+T16/T$12</f>
        <v>0.77396957999364069</v>
      </c>
      <c r="V16" s="59">
        <f>IF(+V$5="Real",IF(ISNA(VLOOKUP($A16,base76,+V$1,FALSE))=FALSE,VLOOKUP($A16,base76,+V$1,FALSE),0)/1000-V24+IF(ISNA(VLOOKUP($B16,base76,+V$1,FALSE))=FALSE,VLOOKUP($B16,base76,+V$1,FALSE),0)/1000+IF(ISNA(VLOOKUP($C16,base76,+V$1,FALSE))=FALSE,VLOOKUP($C16,base76,+V$1,FALSE),0)/1000-V17,'[1]Presupuesto 2021'!S12/1000+'[1]Presupuesto 2021'!S14/1000)-IF(ISNA(VLOOKUP($D16,base76,+V$1,FALSE))=FALSE,VLOOKUP($D16,base76,+V$1,FALSE),0)/1000</f>
        <v>2165.6389800000006</v>
      </c>
      <c r="W16" s="77">
        <f>+V16/V$12</f>
        <v>0.7348431679459364</v>
      </c>
      <c r="X16" s="59">
        <f>IF(+X$5="Real",IF(ISNA(VLOOKUP($A16,base76,+X$1,FALSE))=FALSE,VLOOKUP($A16,base76,+X$1,FALSE),0)/1000-X24+IF(ISNA(VLOOKUP($B16,base76,+X$1,FALSE))=FALSE,VLOOKUP($B16,base76,+X$1,FALSE),0)/1000+IF(ISNA(VLOOKUP($C16,base76,+X$1,FALSE))=FALSE,VLOOKUP($C16,base76,+X$1,FALSE),0)/1000-X17,'[1]Presupuesto 2021'!U12/1000+'[1]Presupuesto 2021'!U14/1000)-IF(ISNA(VLOOKUP($D16,base76,+X$1,FALSE))=FALSE,VLOOKUP($D16,base76,+X$1,FALSE),0)/1000</f>
        <v>2251.83313</v>
      </c>
      <c r="Y16" s="77">
        <f>+X16/X$12</f>
        <v>0.75675263837818074</v>
      </c>
      <c r="Z16" s="59">
        <f>IF(+Z$5="Real",IF(ISNA(VLOOKUP($A16,base76,+Z$1,FALSE))=FALSE,VLOOKUP($A16,base76,+Z$1,FALSE),0)/1000-Z24+IF(ISNA(VLOOKUP($B16,base76,+Z$1,FALSE))=FALSE,VLOOKUP($B16,base76,+Z$1,FALSE),0)/1000+IF(ISNA(VLOOKUP($C16,base76,+Z$1,FALSE))=FALSE,VLOOKUP($C16,base76,+Z$1,FALSE),0)/1000-Z17,'[1]Presupuesto 2021'!W12/1000+'[1]Presupuesto 2021'!W14/1000)-IF(ISNA(VLOOKUP($D16,base76,+Z$1,FALSE))=FALSE,VLOOKUP($D16,base76,+Z$1,FALSE),0)/1000</f>
        <v>2280.2648400000003</v>
      </c>
      <c r="AA16" s="77">
        <f>+Z16/Z$12</f>
        <v>0.58817717330367125</v>
      </c>
      <c r="AB16" s="59">
        <f>IF(+AB$5="Real",IF(ISNA(VLOOKUP($A16,base76,+AB$1,FALSE))=FALSE,VLOOKUP($A16,base76,+AB$1,FALSE),0)/1000-AB24+IF(ISNA(VLOOKUP($B16,base76,+AB$1,FALSE))=FALSE,VLOOKUP($B16,base76,+AB$1,FALSE),0)/1000+IF(ISNA(VLOOKUP($C16,base76,+AB$1,FALSE))=FALSE,VLOOKUP($C16,base76,+AB$1,FALSE),0)/1000-AB17,'[1]Presupuesto 2021'!Y12/1000+'[1]Presupuesto 2021'!Y14/1000)-IF(ISNA(VLOOKUP($D16,base76,+AB$1,FALSE))=FALSE,VLOOKUP($D16,base76,+AB$1,FALSE),0)/1000</f>
        <v>2548.9243799999995</v>
      </c>
      <c r="AC16" s="77">
        <f>+AB16/AB$12</f>
        <v>0.6285942663537829</v>
      </c>
      <c r="AD16" s="59">
        <f>IF(+AD$5="Real",IF(ISNA(VLOOKUP($A16,base76,+AD$1,FALSE))=FALSE,VLOOKUP($A16,base76,+AD$1,FALSE),0)/1000-AD24+IF(ISNA(VLOOKUP($B16,base76,+AD$1,FALSE))=FALSE,VLOOKUP($B16,base76,+AD$1,FALSE),0)/1000+IF(ISNA(VLOOKUP($C16,base76,+AD$1,FALSE))=FALSE,VLOOKUP($C16,base76,+AD$1,FALSE),0)/1000-AD17,'[1]Presupuesto 2021'!AA12/1000+'[1]Presupuesto 2021'!AA14/1000)-IF(ISNA(VLOOKUP($D16,base76,+AD$1,FALSE))=FALSE,VLOOKUP($D16,base76,+AD$1,FALSE),0)/1000</f>
        <v>4299.0358799999995</v>
      </c>
      <c r="AE16" s="77">
        <f>+AD16/AD$12</f>
        <v>2.1977338807572302</v>
      </c>
      <c r="AG16" s="59">
        <f ca="1">SUM(H46:INDIRECT("F46C"&amp;[1]Cabecera!$C$8,0))</f>
        <v>23031.401289999998</v>
      </c>
      <c r="AH16" s="77">
        <f ca="1">+AG16/AG$12</f>
        <v>0.82002657974192183</v>
      </c>
      <c r="AI16" s="59">
        <f>+H16+J16+L16+N16+P16+R16+T16+V16+X16+Z16+AB16+AD16</f>
        <v>23031.401289999998</v>
      </c>
      <c r="AJ16" s="77">
        <f>+AI16/AI$12</f>
        <v>0.82002657974192183</v>
      </c>
    </row>
    <row r="17" spans="1:41" x14ac:dyDescent="0.25">
      <c r="A17" s="61">
        <v>510101010010</v>
      </c>
      <c r="B17" s="61"/>
      <c r="C17" s="61"/>
      <c r="D17" s="61"/>
      <c r="E17" s="57" t="s">
        <v>57</v>
      </c>
      <c r="F17" s="58"/>
      <c r="H17" s="59">
        <f>IF(+H$5="Real",IF(ISNA(VLOOKUP($A17,base76,+H$1,FALSE))=FALSE,VLOOKUP($A17,base76,+H$1,FALSE),0)/1000-IF(ISNA(VLOOKUP($B17,base76,+H$1,FALSE))=FALSE,VLOOKUP($B17,base76,+H$1,FALSE),0)/1000,+'[1]Presupuesto 2021'!E13/1000)</f>
        <v>100.1648</v>
      </c>
      <c r="I17" s="77">
        <f>+H17/H$13</f>
        <v>0.67782644684920546</v>
      </c>
      <c r="J17" s="59">
        <f>IF(+J$5="Real",IF(ISNA(VLOOKUP($A17,base76,+J$1,FALSE))=FALSE,VLOOKUP($A17,base76,+J$1,FALSE),0)/1000-IF(ISNA(VLOOKUP($B17,base76,+J$1,FALSE))=FALSE,VLOOKUP($B17,base76,+J$1,FALSE),0)/1000,+'[1]Presupuesto 2021'!G13/1000)</f>
        <v>92.151949999999999</v>
      </c>
      <c r="K17" s="77">
        <f>+J17/J$13</f>
        <v>0.58975545729848045</v>
      </c>
      <c r="L17" s="59">
        <f>IF(+L$5="Real",IF(ISNA(VLOOKUP($A17,base76,+L$1,FALSE))=FALSE,VLOOKUP($A17,base76,+L$1,FALSE),0)/1000-IF(ISNA(VLOOKUP($B17,base76,+L$1,FALSE))=FALSE,VLOOKUP($B17,base76,+L$1,FALSE),0)/1000,+'[1]Presupuesto 2021'!I13/1000)</f>
        <v>41.688420000000001</v>
      </c>
      <c r="M17" s="77">
        <f>+L17/L$13</f>
        <v>0.38164546237106856</v>
      </c>
      <c r="N17" s="59">
        <f>IF(+N$5="Real",IF(ISNA(VLOOKUP($A17,base76,+N$1,FALSE))=FALSE,VLOOKUP($A17,base76,+N$1,FALSE),0)/1000-IF(ISNA(VLOOKUP($B17,base76,+N$1,FALSE))=FALSE,VLOOKUP($B17,base76,+N$1,FALSE),0)/1000,+'[1]Presupuesto 2021'!K13/1000)</f>
        <v>151.19839999999999</v>
      </c>
      <c r="O17" s="77">
        <f>+N17/N$13</f>
        <v>0.82897300068867963</v>
      </c>
      <c r="P17" s="59">
        <f>IF(+P$5="Real",IF(ISNA(VLOOKUP($A17,base76,+P$1,FALSE))=FALSE,VLOOKUP($A17,base76,+P$1,FALSE),0)/1000-IF(ISNA(VLOOKUP($B17,base76,+P$1,FALSE))=FALSE,VLOOKUP($B17,base76,+P$1,FALSE),0)/1000,+'[1]Presupuesto 2021'!M13/1000)</f>
        <v>57.663059999999994</v>
      </c>
      <c r="Q17" s="77">
        <f>+P17/P$13</f>
        <v>0.29904029029950463</v>
      </c>
      <c r="R17" s="59">
        <f>IF(+R$5="Real",IF(ISNA(VLOOKUP($A17,base76,+R$1,FALSE))=FALSE,VLOOKUP($A17,base76,+R$1,FALSE),0)/1000-IF(ISNA(VLOOKUP($B17,base76,+R$1,FALSE))=FALSE,VLOOKUP($B17,base76,+R$1,FALSE),0)/1000,+'[1]Presupuesto 2021'!O13/1000)</f>
        <v>69.83005</v>
      </c>
      <c r="S17" s="77">
        <f>+R17/R$13</f>
        <v>0.70311968230250133</v>
      </c>
      <c r="T17" s="59">
        <f>IF(+T$5="Real",IF(ISNA(VLOOKUP($A17,base76,+T$1,FALSE))=FALSE,VLOOKUP($A17,base76,+T$1,FALSE),0)/1000-IF(ISNA(VLOOKUP($B17,base76,+T$1,FALSE))=FALSE,VLOOKUP($B17,base76,+T$1,FALSE),0)/1000,+'[1]Presupuesto 2021'!Q13/1000)+200</f>
        <v>266.91773999999998</v>
      </c>
      <c r="U17" s="77">
        <f>+T17/T$13</f>
        <v>1.8940307368907754</v>
      </c>
      <c r="V17" s="59">
        <f>IF(+V$5="Real",IF(ISNA(VLOOKUP($A17,base76,+V$1,FALSE))=FALSE,VLOOKUP($A17,base76,+V$1,FALSE),0)/1000-IF(ISNA(VLOOKUP($B17,base76,+V$1,FALSE))=FALSE,VLOOKUP($B17,base76,+V$1,FALSE),0)/1000,+'[1]Presupuesto 2021'!S13/1000)</f>
        <v>85.552480000000003</v>
      </c>
      <c r="W17" s="77">
        <f>+V17/V$13</f>
        <v>0.62780406740666406</v>
      </c>
      <c r="X17" s="59">
        <f>IF(+X$5="Real",IF(ISNA(VLOOKUP($A17,base76,+X$1,FALSE))=FALSE,VLOOKUP($A17,base76,+X$1,FALSE),0)/1000-IF(ISNA(VLOOKUP($B17,base76,+X$1,FALSE))=FALSE,VLOOKUP($B17,base76,+X$1,FALSE),0)/1000,+'[1]Presupuesto 2021'!U13/1000)</f>
        <v>95.316670000000002</v>
      </c>
      <c r="Y17" s="77">
        <f>+X17/X$13</f>
        <v>0.5917027978860846</v>
      </c>
      <c r="Z17" s="59">
        <f>IF(+Z$5="Real",IF(ISNA(VLOOKUP($A17,base76,+Z$1,FALSE))=FALSE,VLOOKUP($A17,base76,+Z$1,FALSE),0)/1000-IF(ISNA(VLOOKUP($B17,base76,+Z$1,FALSE))=FALSE,VLOOKUP($B17,base76,+Z$1,FALSE),0)/1000,+'[1]Presupuesto 2021'!W13/1000)</f>
        <v>119.39964999999999</v>
      </c>
      <c r="AA17" s="77">
        <f>+Z17/Z$13</f>
        <v>0.51812377544623323</v>
      </c>
      <c r="AB17" s="59">
        <f>IF(+AB$5="Real",IF(ISNA(VLOOKUP($A17,base76,+AB$1,FALSE))=FALSE,VLOOKUP($A17,base76,+AB$1,FALSE),0)/1000-IF(ISNA(VLOOKUP($B17,base76,+AB$1,FALSE))=FALSE,VLOOKUP($B17,base76,+AB$1,FALSE),0)/1000,+'[1]Presupuesto 2021'!Y13/1000)</f>
        <v>311.25749999999999</v>
      </c>
      <c r="AC17" s="77">
        <f>+AB17/AB$13</f>
        <v>0.76680394651732331</v>
      </c>
      <c r="AD17" s="59">
        <f>IF(+AD$5="Real",IF(ISNA(VLOOKUP($A17,base76,+AD$1,FALSE))=FALSE,VLOOKUP($A17,base76,+AD$1,FALSE),0)/1000-IF(ISNA(VLOOKUP($B17,base76,+AD$1,FALSE))=FALSE,VLOOKUP($B17,base76,+AD$1,FALSE),0)/1000,+'[1]Presupuesto 2021'!AA13/1000)</f>
        <v>270.50939</v>
      </c>
      <c r="AE17" s="77">
        <f>+AD17/AD$13</f>
        <v>1.3375296353892221</v>
      </c>
      <c r="AG17" s="59">
        <f ca="1">SUM(H47:INDIRECT("F47C"&amp;[1]Cabecera!$C$8,0))</f>
        <v>1661.6501099999998</v>
      </c>
      <c r="AH17" s="77">
        <f ca="1">+AG17/AG$13</f>
        <v>0.76761585060081194</v>
      </c>
      <c r="AI17" s="59">
        <f>+H17+J17+L17+N17+P17+R17+T17+V17+X17+Z17+AB17+AD17</f>
        <v>1661.6501099999998</v>
      </c>
      <c r="AJ17" s="77">
        <f>+AI17/AI$13</f>
        <v>0.76761585060081194</v>
      </c>
      <c r="AO17">
        <f>19527/8000</f>
        <v>2.4408750000000001</v>
      </c>
    </row>
    <row r="18" spans="1:41" ht="9" customHeight="1" thickBot="1" x14ac:dyDescent="0.3">
      <c r="E18" s="78"/>
      <c r="F18" s="79"/>
      <c r="H18" s="80"/>
      <c r="I18" s="81"/>
      <c r="J18" s="80"/>
      <c r="K18" s="81"/>
      <c r="L18" s="80"/>
      <c r="M18" s="81"/>
      <c r="N18" s="80"/>
      <c r="O18" s="81"/>
      <c r="P18" s="80"/>
      <c r="Q18" s="81"/>
      <c r="R18" s="80"/>
      <c r="S18" s="81"/>
      <c r="T18" s="80"/>
      <c r="U18" s="81"/>
      <c r="V18" s="80"/>
      <c r="W18" s="81"/>
      <c r="X18" s="80"/>
      <c r="Y18" s="81"/>
      <c r="Z18" s="80"/>
      <c r="AA18" s="81"/>
      <c r="AB18" s="80"/>
      <c r="AC18" s="81"/>
      <c r="AD18" s="80"/>
      <c r="AE18" s="81"/>
      <c r="AG18" s="80"/>
      <c r="AH18" s="81"/>
      <c r="AI18" s="80"/>
      <c r="AJ18" s="81"/>
    </row>
    <row r="19" spans="1:41" s="35" customFormat="1" ht="13.5" thickBot="1" x14ac:dyDescent="0.25">
      <c r="E19" s="82" t="s">
        <v>58</v>
      </c>
      <c r="F19" s="83"/>
      <c r="H19" s="84">
        <f>+H14-H16-H17</f>
        <v>464.64355999999952</v>
      </c>
      <c r="I19" s="85">
        <f>+H19/H$14</f>
        <v>0.26829892606705652</v>
      </c>
      <c r="J19" s="84">
        <f>+J14-J16-J17</f>
        <v>460.07181000000008</v>
      </c>
      <c r="K19" s="85">
        <f>+J19/J$14</f>
        <v>0.26615280312230427</v>
      </c>
      <c r="L19" s="84">
        <f>+L14-L16-L17</f>
        <v>484.61686999999978</v>
      </c>
      <c r="M19" s="85">
        <f>+L19/L$14</f>
        <v>0.27445583068646895</v>
      </c>
      <c r="N19" s="84">
        <f>+N14-N16-N17</f>
        <v>446.0130300000003</v>
      </c>
      <c r="O19" s="85">
        <f>+N19/N$14</f>
        <v>0.24245873173955854</v>
      </c>
      <c r="P19" s="84">
        <f>+P14-P16-P17</f>
        <v>431.10538000000031</v>
      </c>
      <c r="Q19" s="85">
        <f>+P19/P$14</f>
        <v>0.24940487365290015</v>
      </c>
      <c r="R19" s="84">
        <f>+R14-R16-R17</f>
        <v>343.25377000000003</v>
      </c>
      <c r="S19" s="85">
        <f>+R19/R$14</f>
        <v>0.17152242269890372</v>
      </c>
      <c r="T19" s="84">
        <f>+T14-T16-T17</f>
        <v>409.21837999999923</v>
      </c>
      <c r="U19" s="85">
        <f>+T19/T$14</f>
        <v>0.16311355505076744</v>
      </c>
      <c r="V19" s="84">
        <f>+V14-V16-V17</f>
        <v>832.15754999999922</v>
      </c>
      <c r="W19" s="85">
        <f>+V19/V$14</f>
        <v>0.26988756293923383</v>
      </c>
      <c r="X19" s="84">
        <f>+X14-X16-X17</f>
        <v>789.59179000000006</v>
      </c>
      <c r="Y19" s="85">
        <f>+X19/X$14</f>
        <v>0.25172356961671172</v>
      </c>
      <c r="Z19" s="84">
        <f>+Z14-Z16-Z17</f>
        <v>1707.6149799999992</v>
      </c>
      <c r="AA19" s="85">
        <f>+Z19/Z$14</f>
        <v>0.41575329667060601</v>
      </c>
      <c r="AB19" s="84">
        <f>+AB14-AB16-AB17</f>
        <v>1600.6931200000006</v>
      </c>
      <c r="AC19" s="85">
        <f>+AB19/AB$14</f>
        <v>0.35882940454507256</v>
      </c>
      <c r="AD19" s="84">
        <f>+AD14-AD16-AD17</f>
        <v>-2411.1776099999997</v>
      </c>
      <c r="AE19" s="85">
        <f>+AD19/AD$14</f>
        <v>-1.1171301602990102</v>
      </c>
      <c r="AG19" s="84">
        <f ca="1">+AG14-AG16-AG17</f>
        <v>5557.802630000001</v>
      </c>
      <c r="AH19" s="85">
        <f ca="1">+AG19/AG$14</f>
        <v>0.18372382559805706</v>
      </c>
      <c r="AI19" s="84">
        <f>+AI14-AI16-AI17</f>
        <v>5557.802630000001</v>
      </c>
      <c r="AJ19" s="85">
        <f>+AI19/AI$14</f>
        <v>0.18372382559805706</v>
      </c>
      <c r="AO19" s="35">
        <f>1500/9</f>
        <v>166.66666666666666</v>
      </c>
    </row>
    <row r="20" spans="1:41" ht="8.25" customHeight="1" x14ac:dyDescent="0.25">
      <c r="E20" s="57"/>
      <c r="F20" s="58"/>
      <c r="H20" s="59"/>
      <c r="I20" s="77"/>
      <c r="J20" s="59"/>
      <c r="K20" s="77"/>
      <c r="L20" s="59"/>
      <c r="M20" s="77"/>
      <c r="N20" s="59"/>
      <c r="O20" s="77"/>
      <c r="P20" s="59"/>
      <c r="Q20" s="77"/>
      <c r="R20" s="59"/>
      <c r="S20" s="77"/>
      <c r="T20" s="59"/>
      <c r="U20" s="77"/>
      <c r="V20" s="59"/>
      <c r="W20" s="77"/>
      <c r="X20" s="59"/>
      <c r="Y20" s="77"/>
      <c r="Z20" s="59"/>
      <c r="AA20" s="77"/>
      <c r="AB20" s="59"/>
      <c r="AC20" s="77"/>
      <c r="AD20" s="59"/>
      <c r="AE20" s="77"/>
      <c r="AG20" s="59"/>
      <c r="AH20" s="77"/>
      <c r="AI20" s="59"/>
      <c r="AJ20" s="77"/>
    </row>
    <row r="21" spans="1:41" x14ac:dyDescent="0.25">
      <c r="A21" s="61">
        <v>5201</v>
      </c>
      <c r="E21" s="57" t="s">
        <v>59</v>
      </c>
      <c r="F21" s="58"/>
      <c r="H21" s="59">
        <f>IF(+H$5="Real",IF(ISNA(VLOOKUP($A21,base76,+H$1,FALSE))=FALSE,VLOOKUP($A21,base76,+H$1,FALSE),0)/1000-H23,+'[1]Presupuesto 2021'!E20/1000)</f>
        <v>31.08324</v>
      </c>
      <c r="I21" s="77">
        <f>+H21/H$14</f>
        <v>1.7948381573790851E-2</v>
      </c>
      <c r="J21" s="59">
        <f>IF(+J$5="Real",IF(ISNA(VLOOKUP($A21,base76,+J$1,FALSE))=FALSE,VLOOKUP($A21,base76,+J$1,FALSE),0)/1000-J23,+'[1]Presupuesto 2021'!G20/1000)</f>
        <v>31.330369999999998</v>
      </c>
      <c r="K21" s="77">
        <f>+J21/J$14</f>
        <v>1.8124704920214403E-2</v>
      </c>
      <c r="L21" s="59">
        <f>IF(+L$5="Real",IF(ISNA(VLOOKUP($A21,base76,+L$1,FALSE))=FALSE,VLOOKUP($A21,base76,+L$1,FALSE),0)/1000-L23,+'[1]Presupuesto 2021'!I20/1000)</f>
        <v>33.318629999999999</v>
      </c>
      <c r="M21" s="77">
        <f>+L21/L$14</f>
        <v>1.8869529395427586E-2</v>
      </c>
      <c r="N21" s="59">
        <f>IF(+N$5="Real",IF(ISNA(VLOOKUP($A21,base76,+N$1,FALSE))=FALSE,VLOOKUP($A21,base76,+N$1,FALSE),0)/1000-N23,+'[1]Presupuesto 2021'!K20/1000)</f>
        <v>36.582889999999999</v>
      </c>
      <c r="O21" s="77">
        <f>+N21/N$14</f>
        <v>1.9886955124983167E-2</v>
      </c>
      <c r="P21" s="59">
        <f>IF(+P$5="Real",IF(ISNA(VLOOKUP($A21,base76,+P$1,FALSE))=FALSE,VLOOKUP($A21,base76,+P$1,FALSE),0)/1000-P23,+'[1]Presupuesto 2021'!M20/1000)</f>
        <v>35.036910000000006</v>
      </c>
      <c r="Q21" s="77">
        <f>+P21/P$14</f>
        <v>2.0269698586777157E-2</v>
      </c>
      <c r="R21" s="59">
        <f>IF(+R$5="Real",IF(ISNA(VLOOKUP($A21,base76,+R$1,FALSE))=FALSE,VLOOKUP($A21,base76,+R$1,FALSE),0)/1000-R23,+'[1]Presupuesto 2021'!O20/1000)</f>
        <v>40.170679999999997</v>
      </c>
      <c r="S21" s="77">
        <f>+R21/R$14</f>
        <v>2.0073114870850204E-2</v>
      </c>
      <c r="T21" s="59">
        <f>IF(+T$5="Real",IF(ISNA(VLOOKUP($A21,base76,+T$1,FALSE))=FALSE,VLOOKUP($A21,base76,+T$1,FALSE),0)/1000-T23,+'[1]Presupuesto 2021'!Q20/1000)</f>
        <v>36.01182</v>
      </c>
      <c r="U21" s="77">
        <f>+T21/T$14</f>
        <v>1.4354233023571276E-2</v>
      </c>
      <c r="V21" s="59">
        <f>IF(+V$5="Real",IF(ISNA(VLOOKUP($A21,base76,+V$1,FALSE))=FALSE,VLOOKUP($A21,base76,+V$1,FALSE),0)/1000-V23,+'[1]Presupuesto 2021'!S20/1000)</f>
        <v>35.436589999999995</v>
      </c>
      <c r="W21" s="77">
        <f>+V21/V$14</f>
        <v>1.1492889674529577E-2</v>
      </c>
      <c r="X21" s="59">
        <f>IF(+X$5="Real",IF(ISNA(VLOOKUP($A21,base76,+X$1,FALSE))=FALSE,VLOOKUP($A21,base76,+X$1,FALSE),0)/1000-X23,+'[1]Presupuesto 2021'!U20/1000)</f>
        <v>38.596530000000001</v>
      </c>
      <c r="Y21" s="77">
        <f>+X21/X$14</f>
        <v>1.2304657203209397E-2</v>
      </c>
      <c r="Z21" s="59">
        <f>IF(+Z$5="Real",IF(ISNA(VLOOKUP($A21,base76,+Z$1,FALSE))=FALSE,VLOOKUP($A21,base76,+Z$1,FALSE),0)/1000-Z23,+'[1]Presupuesto 2021'!W20/1000)</f>
        <v>49.697470000000003</v>
      </c>
      <c r="AA21" s="77">
        <f>+Z21/Z$14</f>
        <v>1.2099851096813729E-2</v>
      </c>
      <c r="AB21" s="59">
        <f>IF(+AB$5="Real",IF(ISNA(VLOOKUP($A21,base76,+AB$1,FALSE))=FALSE,VLOOKUP($A21,base76,+AB$1,FALSE),0)/1000-AB23,+'[1]Presupuesto 2021'!Y20/1000)</f>
        <v>47.040860000000002</v>
      </c>
      <c r="AC21" s="77">
        <f>+AB21/AB$14</f>
        <v>1.0545209179813378E-2</v>
      </c>
      <c r="AD21" s="59">
        <f>IF(+AD$5="Real",IF(ISNA(VLOOKUP($A21,base76,+AD$1,FALSE))=FALSE,VLOOKUP($A21,base76,+AD$1,FALSE),0)/1000-AD23,+'[1]Presupuesto 2021'!AA20/1000)</f>
        <v>39.758470000000003</v>
      </c>
      <c r="AE21" s="77">
        <f>+AD21/AD$14</f>
        <v>1.8420619775224027E-2</v>
      </c>
      <c r="AG21" s="59">
        <f ca="1">SUM(H51:INDIRECT("F51C"&amp;[1]Cabecera!$C$8,0))</f>
        <v>454.06446000000005</v>
      </c>
      <c r="AH21" s="77">
        <f t="shared" ref="AH21:AJ25" ca="1" si="1">+AG21/AG$14</f>
        <v>1.5009971604428124E-2</v>
      </c>
      <c r="AI21" s="59">
        <f>+H21+J21+L21+N21+P21+R21+T21+V21+X21+Z21+AB21+AD21</f>
        <v>454.06446000000005</v>
      </c>
      <c r="AJ21" s="77">
        <f t="shared" si="1"/>
        <v>1.5009971604428124E-2</v>
      </c>
      <c r="AM21">
        <v>90</v>
      </c>
    </row>
    <row r="22" spans="1:41" x14ac:dyDescent="0.25">
      <c r="A22" s="61">
        <v>5202</v>
      </c>
      <c r="E22" s="57" t="s">
        <v>60</v>
      </c>
      <c r="F22" s="58"/>
      <c r="H22" s="59">
        <f>IF(+H$5="Real",IF(ISNA(VLOOKUP($A22,base76,+H$1,FALSE))=FALSE,VLOOKUP($A22,base76,+H$1,FALSE),0)/1000,+'[1]Presupuesto 2021'!E21/1000+'[1]Presupuesto 2021'!E24/1000)</f>
        <v>106.61497</v>
      </c>
      <c r="I22" s="77">
        <f>+H22/H$14</f>
        <v>6.1562635138366018E-2</v>
      </c>
      <c r="J22" s="59">
        <f>IF(+J$5="Real",IF(ISNA(VLOOKUP($A22,base76,+J$1,FALSE))=FALSE,VLOOKUP($A22,base76,+J$1,FALSE),0)/1000,+'[1]Presupuesto 2021'!G21/1000+'[1]Presupuesto 2021'!G24/1000)</f>
        <v>89.193029999999993</v>
      </c>
      <c r="K22" s="77">
        <f>+J22/J$14</f>
        <v>5.1598412329309576E-2</v>
      </c>
      <c r="L22" s="59">
        <f>IF(+L$5="Real",IF(ISNA(VLOOKUP($A22,base76,+L$1,FALSE))=FALSE,VLOOKUP($A22,base76,+L$1,FALSE),0)/1000,+'[1]Presupuesto 2021'!I21/1000+'[1]Presupuesto 2021'!I24/1000)</f>
        <v>127.37639999999999</v>
      </c>
      <c r="M22" s="77">
        <f>+L22/L$14</f>
        <v>7.2137801706845153E-2</v>
      </c>
      <c r="N22" s="59">
        <f>IF(+N$5="Real",IF(ISNA(VLOOKUP($A22,base76,+N$1,FALSE))=FALSE,VLOOKUP($A22,base76,+N$1,FALSE),0)/1000,+'[1]Presupuesto 2021'!K21/1000+'[1]Presupuesto 2021'!K24/1000)</f>
        <v>89.190359999999998</v>
      </c>
      <c r="O22" s="77">
        <f>+N22/N$14</f>
        <v>4.8485089256236832E-2</v>
      </c>
      <c r="P22" s="59">
        <f>IF(+P$5="Real",IF(ISNA(VLOOKUP($A22,base76,+P$1,FALSE))=FALSE,VLOOKUP($A22,base76,+P$1,FALSE),0)/1000,+'[1]Presupuesto 2021'!M21/1000+'[1]Presupuesto 2021'!M24/1000)</f>
        <v>87.014350000000007</v>
      </c>
      <c r="Q22" s="77">
        <f>+P22/P$14</f>
        <v>5.0339902897382584E-2</v>
      </c>
      <c r="R22" s="59">
        <f>IF(+R$5="Real",IF(ISNA(VLOOKUP($A22,base76,+R$1,FALSE))=FALSE,VLOOKUP($A22,base76,+R$1,FALSE),0)/1000,+'[1]Presupuesto 2021'!O21/1000+'[1]Presupuesto 2021'!O24/1000)</f>
        <v>124.98963999999999</v>
      </c>
      <c r="S22" s="77">
        <f>+R22/R$14</f>
        <v>6.2456781946091375E-2</v>
      </c>
      <c r="T22" s="59">
        <f>IF(+T$5="Real",IF(ISNA(VLOOKUP($A22,base76,+T$1,FALSE))=FALSE,VLOOKUP($A22,base76,+T$1,FALSE),0)/1000,+'[1]Presupuesto 2021'!Q21/1000+'[1]Presupuesto 2021'!Q24/1000)</f>
        <v>122.64789</v>
      </c>
      <c r="U22" s="77">
        <f>+T22/T$14</f>
        <v>4.8887181844998039E-2</v>
      </c>
      <c r="V22" s="59">
        <f>IF(+V$5="Real",IF(ISNA(VLOOKUP($A22,base76,+V$1,FALSE))=FALSE,VLOOKUP($A22,base76,+V$1,FALSE),0)/1000,+'[1]Presupuesto 2021'!S21/1000+'[1]Presupuesto 2021'!S24/1000)</f>
        <v>162.34774999999999</v>
      </c>
      <c r="W22" s="77">
        <f>+V22/V$14</f>
        <v>5.2653056619107803E-2</v>
      </c>
      <c r="X22" s="59">
        <f>IF(+X$5="Real",IF(ISNA(VLOOKUP($A22,base76,+X$1,FALSE))=FALSE,VLOOKUP($A22,base76,+X$1,FALSE),0)/1000,+'[1]Presupuesto 2021'!U21/1000+'[1]Presupuesto 2021'!U24/1000)</f>
        <v>129.85905</v>
      </c>
      <c r="Y22" s="77">
        <f>+X22/X$14</f>
        <v>4.1399345873435495E-2</v>
      </c>
      <c r="Z22" s="59">
        <f>IF(+Z$5="Real",IF(ISNA(VLOOKUP($A22,base76,+Z$1,FALSE))=FALSE,VLOOKUP($A22,base76,+Z$1,FALSE),0)/1000,+'[1]Presupuesto 2021'!W21/1000+'[1]Presupuesto 2021'!W24/1000)</f>
        <v>116.83918</v>
      </c>
      <c r="AA22" s="77">
        <f>+Z22/Z$14</f>
        <v>2.844685414114273E-2</v>
      </c>
      <c r="AB22" s="59">
        <f>IF(+AB$5="Real",IF(ISNA(VLOOKUP($A22,base76,+AB$1,FALSE))=FALSE,VLOOKUP($A22,base76,+AB$1,FALSE),0)/1000,+'[1]Presupuesto 2021'!Y21/1000+'[1]Presupuesto 2021'!Y24/1000)</f>
        <v>568.69432999999992</v>
      </c>
      <c r="AC22" s="77">
        <f>+AB22/AB$14</f>
        <v>0.12748492840530162</v>
      </c>
      <c r="AD22" s="59">
        <f>IF(+AD$5="Real",IF(ISNA(VLOOKUP($A22,base76,+AD$1,FALSE))=FALSE,VLOOKUP($A22,base76,+AD$1,FALSE),0)/1000,+'[1]Presupuesto 2021'!AA21/1000+'[1]Presupuesto 2021'!AA24/1000)</f>
        <v>989.53747999999996</v>
      </c>
      <c r="AE22" s="77">
        <f>+AD22/AD$14</f>
        <v>0.45846567215522493</v>
      </c>
      <c r="AG22" s="59">
        <f ca="1">SUM(H52:INDIRECT("F52C"&amp;[1]Cabecera!$C$8,0))</f>
        <v>2714.3044299999997</v>
      </c>
      <c r="AH22" s="77">
        <f t="shared" ca="1" si="1"/>
        <v>8.9726538870876296E-2</v>
      </c>
      <c r="AI22" s="59">
        <f>+H22+J22+L22+N22+P22+R22+T22+V22+X22+Z22+AB22+AD22</f>
        <v>2714.3044299999997</v>
      </c>
      <c r="AJ22" s="77">
        <f t="shared" si="1"/>
        <v>8.9726538870876296E-2</v>
      </c>
      <c r="AM22">
        <f>80*9</f>
        <v>720</v>
      </c>
    </row>
    <row r="23" spans="1:41" x14ac:dyDescent="0.25">
      <c r="A23" s="61">
        <v>520101030002</v>
      </c>
      <c r="E23" s="57" t="s">
        <v>61</v>
      </c>
      <c r="F23" s="58"/>
      <c r="H23" s="59">
        <f>IF(+H$5="Real",IF(ISNA(VLOOKUP($A23,base76,+H$1,FALSE))=FALSE,VLOOKUP($A23,base76,+H$1,FALSE),0)/1000,+'[1]Presupuesto 2021'!E22/1000)</f>
        <v>0</v>
      </c>
      <c r="I23" s="77">
        <f>+H23/H$14</f>
        <v>0</v>
      </c>
      <c r="J23" s="59">
        <f>IF(+J$5="Real",IF(ISNA(VLOOKUP($A23,base76,+J$1,FALSE))=FALSE,VLOOKUP($A23,base76,+J$1,FALSE),0)/1000,+'[1]Presupuesto 2021'!G22/1000)</f>
        <v>0.39750000000000002</v>
      </c>
      <c r="K23" s="77">
        <f>+J23/J$14</f>
        <v>2.2995483953062879E-4</v>
      </c>
      <c r="L23" s="59">
        <f>IF(+L$5="Real",IF(ISNA(VLOOKUP($A23,base76,+L$1,FALSE))=FALSE,VLOOKUP($A23,base76,+L$1,FALSE),0)/1000,+'[1]Presupuesto 2021'!I22/1000)</f>
        <v>0.39750000000000002</v>
      </c>
      <c r="M23" s="77">
        <f>+L23/L$14</f>
        <v>2.2511843778338022E-4</v>
      </c>
      <c r="N23" s="59">
        <f>IF(+N$5="Real",IF(ISNA(VLOOKUP($A23,base76,+N$1,FALSE))=FALSE,VLOOKUP($A23,base76,+N$1,FALSE),0)/1000,+'[1]Presupuesto 2021'!K22/1000)</f>
        <v>0.39750000000000002</v>
      </c>
      <c r="O23" s="77">
        <f>+N23/N$14</f>
        <v>2.1608639071929008E-4</v>
      </c>
      <c r="P23" s="59">
        <f>IF(+P$5="Real",IF(ISNA(VLOOKUP($A23,base76,+P$1,FALSE))=FALSE,VLOOKUP($A23,base76,+P$1,FALSE),0)/1000,+'[1]Presupuesto 2021'!M22/1000)</f>
        <v>0.39750000000000002</v>
      </c>
      <c r="Q23" s="77">
        <f>+P23/P$14</f>
        <v>2.2996334974299728E-4</v>
      </c>
      <c r="R23" s="59">
        <f>IF(+R$5="Real",IF(ISNA(VLOOKUP($A23,base76,+R$1,FALSE))=FALSE,VLOOKUP($A23,base76,+R$1,FALSE),0)/1000,+'[1]Presupuesto 2021'!O22/1000)</f>
        <v>0.39750000000000002</v>
      </c>
      <c r="S23" s="77">
        <f>+R23/R$14</f>
        <v>1.9862902896249099E-4</v>
      </c>
      <c r="T23" s="59">
        <f>IF(+T$5="Real",IF(ISNA(VLOOKUP($A23,base76,+T$1,FALSE))=FALSE,VLOOKUP($A23,base76,+T$1,FALSE),0)/1000,+'[1]Presupuesto 2021'!Q22/1000)</f>
        <v>0.39750000000000002</v>
      </c>
      <c r="U23" s="77">
        <f>+T23/T$14</f>
        <v>1.5844263430366979E-4</v>
      </c>
      <c r="V23" s="59">
        <f>IF(+V$5="Real",IF(ISNA(VLOOKUP($A23,base76,+V$1,FALSE))=FALSE,VLOOKUP($A23,base76,+V$1,FALSE),0)/1000,+'[1]Presupuesto 2021'!S22/1000)</f>
        <v>0.39750000000000002</v>
      </c>
      <c r="W23" s="77">
        <f>+V23/V$14</f>
        <v>1.2891826345665618E-4</v>
      </c>
      <c r="X23" s="59">
        <f>IF(+X$5="Real",IF(ISNA(VLOOKUP($A23,base76,+X$1,FALSE))=FALSE,VLOOKUP($A23,base76,+X$1,FALSE),0)/1000,+'[1]Presupuesto 2021'!U22/1000)</f>
        <v>2.9375</v>
      </c>
      <c r="Y23" s="77">
        <f>+X23/X$14</f>
        <v>9.3648135038117695E-4</v>
      </c>
      <c r="Z23" s="59">
        <f>IF(+Z$5="Real",IF(ISNA(VLOOKUP($A23,base76,+Z$1,FALSE))=FALSE,VLOOKUP($A23,base76,+Z$1,FALSE),0)/1000,+'[1]Presupuesto 2021'!W22/1000)</f>
        <v>0</v>
      </c>
      <c r="AA23" s="77">
        <f>+Z23/Z$14</f>
        <v>0</v>
      </c>
      <c r="AB23" s="59">
        <f>IF(+AB$5="Real",IF(ISNA(VLOOKUP($A23,base76,+AB$1,FALSE))=FALSE,VLOOKUP($A23,base76,+AB$1,FALSE),0)/1000,+'[1]Presupuesto 2021'!Y22/1000)</f>
        <v>1.5</v>
      </c>
      <c r="AC23" s="77">
        <f>+AB23/AB$14</f>
        <v>3.3625690027180768E-4</v>
      </c>
      <c r="AD23" s="59">
        <f>IF(+AD$5="Real",IF(ISNA(VLOOKUP($A23,base76,+AD$1,FALSE))=FALSE,VLOOKUP($A23,base76,+AD$1,FALSE),0)/1000,+'[1]Presupuesto 2021'!AA22/1000)</f>
        <v>0</v>
      </c>
      <c r="AE23" s="77">
        <f>+AD23/AD$14</f>
        <v>0</v>
      </c>
      <c r="AG23" s="59">
        <f ca="1">SUM(H53:INDIRECT("F53C"&amp;[1]Cabecera!$C$8,0))</f>
        <v>7.2200000000000006</v>
      </c>
      <c r="AH23" s="77">
        <f t="shared" ca="1" si="1"/>
        <v>2.3867094769753846E-4</v>
      </c>
      <c r="AI23" s="59">
        <f>+H23+J23+L23+N23+P23+R23+T23+V23+X23+Z23+AB23+AD23</f>
        <v>7.2200000000000006</v>
      </c>
      <c r="AJ23" s="77">
        <f t="shared" si="1"/>
        <v>2.3867094769753846E-4</v>
      </c>
      <c r="AM23">
        <v>1300</v>
      </c>
    </row>
    <row r="24" spans="1:41" ht="15.75" thickBot="1" x14ac:dyDescent="0.3">
      <c r="A24" s="61">
        <v>510202050010</v>
      </c>
      <c r="E24" s="57" t="s">
        <v>62</v>
      </c>
      <c r="F24" s="58"/>
      <c r="H24" s="59">
        <f>IF(+H$5="Real",IF(ISNA(VLOOKUP($A24,base76,+H$1,FALSE))=FALSE,VLOOKUP($A24,base76,+H$1,FALSE),0)/1000,+'[1]Presupuesto 2021'!E23/1000)</f>
        <v>10.685</v>
      </c>
      <c r="I24" s="77">
        <f>+H24/H$14</f>
        <v>6.1698348407680549E-3</v>
      </c>
      <c r="J24" s="59">
        <f>IF(+J$5="Real",IF(ISNA(VLOOKUP($A24,base76,+J$1,FALSE))=FALSE,VLOOKUP($A24,base76,+J$1,FALSE),0)/1000,+'[1]Presupuesto 2021'!G23/1000)</f>
        <v>0.7</v>
      </c>
      <c r="K24" s="77">
        <f>+J24/J$14</f>
        <v>4.0495191867028965E-4</v>
      </c>
      <c r="L24" s="59">
        <f>IF(+L$5="Real",IF(ISNA(VLOOKUP($A24,base76,+L$1,FALSE))=FALSE,VLOOKUP($A24,base76,+L$1,FALSE),0)/1000,+'[1]Presupuesto 2021'!I23/1000)</f>
        <v>9.4749999999999996</v>
      </c>
      <c r="M24" s="77">
        <f>+L24/L$14</f>
        <v>5.3660306867862329E-3</v>
      </c>
      <c r="N24" s="59">
        <f>IF(+N$5="Real",IF(ISNA(VLOOKUP($A24,base76,+N$1,FALSE))=FALSE,VLOOKUP($A24,base76,+N$1,FALSE),0)/1000,+'[1]Presupuesto 2021'!K23/1000)</f>
        <v>0</v>
      </c>
      <c r="O24" s="77">
        <f>+N24/N$14</f>
        <v>0</v>
      </c>
      <c r="P24" s="59">
        <f>IF(+P$5="Real",IF(ISNA(VLOOKUP($A24,base76,+P$1,FALSE))=FALSE,VLOOKUP($A24,base76,+P$1,FALSE),0)/1000,+'[1]Presupuesto 2021'!M23/1000)</f>
        <v>9.1829999999999998</v>
      </c>
      <c r="Q24" s="77">
        <f>+P24/P$14</f>
        <v>5.3125872721759594E-3</v>
      </c>
      <c r="R24" s="59">
        <f>IF(+R$5="Real",IF(ISNA(VLOOKUP($A24,base76,+R$1,FALSE))=FALSE,VLOOKUP($A24,base76,+R$1,FALSE),0)/1000,+'[1]Presupuesto 2021'!O23/1000)</f>
        <v>8.51</v>
      </c>
      <c r="S24" s="77">
        <f>+R24/R$14</f>
        <v>4.2524101546435175E-3</v>
      </c>
      <c r="T24" s="59">
        <f>IF(+T$5="Real",IF(ISNA(VLOOKUP($A24,base76,+T$1,FALSE))=FALSE,VLOOKUP($A24,base76,+T$1,FALSE),0)/1000,+'[1]Presupuesto 2021'!Q23/1000)</f>
        <v>9.9700000000000006</v>
      </c>
      <c r="U24" s="77">
        <f>+T24/T$14</f>
        <v>3.9740202868115424E-3</v>
      </c>
      <c r="V24" s="59">
        <f>IF(+V$5="Real",IF(ISNA(VLOOKUP($A24,base76,+V$1,FALSE))=FALSE,VLOOKUP($A24,base76,+V$1,FALSE),0)/1000,+'[1]Presupuesto 2021'!S23/1000)</f>
        <v>12.595000000000001</v>
      </c>
      <c r="W24" s="77">
        <f>+V24/V$14</f>
        <v>4.0848440961926656E-3</v>
      </c>
      <c r="X24" s="59">
        <f>IF(+X$5="Real",IF(ISNA(VLOOKUP($A24,base76,+X$1,FALSE))=FALSE,VLOOKUP($A24,base76,+X$1,FALSE),0)/1000,+'[1]Presupuesto 2021'!U23/1000)</f>
        <v>7.6</v>
      </c>
      <c r="Y24" s="77">
        <f>+X24/X$14</f>
        <v>2.4228964299223641E-3</v>
      </c>
      <c r="Z24" s="59">
        <f>IF(+Z$5="Real",IF(ISNA(VLOOKUP($A24,base76,+Z$1,FALSE))=FALSE,VLOOKUP($A24,base76,+Z$1,FALSE),0)/1000,+'[1]Presupuesto 2021'!W23/1000)</f>
        <v>8.940100000000001</v>
      </c>
      <c r="AA24" s="77">
        <f>+Z24/Z$14</f>
        <v>2.1766475997797153E-3</v>
      </c>
      <c r="AB24" s="59">
        <f>IF(+AB$5="Real",IF(ISNA(VLOOKUP($A24,base76,+AB$1,FALSE))=FALSE,VLOOKUP($A24,base76,+AB$1,FALSE),0)/1000,+'[1]Presupuesto 2021'!Y23/1000)</f>
        <v>11.8</v>
      </c>
      <c r="AC24" s="77">
        <f>+AB24/AB$14</f>
        <v>2.6452209488048873E-3</v>
      </c>
      <c r="AD24" s="59">
        <f>IF(+AD$5="Real",IF(ISNA(VLOOKUP($A24,base76,+AD$1,FALSE))=FALSE,VLOOKUP($A24,base76,+AD$1,FALSE),0)/1000,+'[1]Presupuesto 2021'!AA23/1000)</f>
        <v>0.13</v>
      </c>
      <c r="AE24" s="77">
        <f>+AD24/AD$14</f>
        <v>6.0230702307687474E-5</v>
      </c>
      <c r="AG24" s="59">
        <f ca="1">SUM(H54:INDIRECT("F54C"&amp;[1]Cabecera!$C$8,0))</f>
        <v>89.588099999999983</v>
      </c>
      <c r="AH24" s="77">
        <f t="shared" ca="1" si="1"/>
        <v>2.9615064722190916E-3</v>
      </c>
      <c r="AI24" s="59">
        <f>+H24+J24+L24+N24+P24+R24+T24+V24+X24+Z24+AB24+AD24</f>
        <v>89.588099999999983</v>
      </c>
      <c r="AJ24" s="77">
        <f t="shared" si="1"/>
        <v>2.9615064722190916E-3</v>
      </c>
      <c r="AL24">
        <f>4000000*0.15</f>
        <v>600000</v>
      </c>
      <c r="AM24">
        <v>200</v>
      </c>
    </row>
    <row r="25" spans="1:41" ht="15.75" thickBot="1" x14ac:dyDescent="0.3">
      <c r="E25" s="82" t="s">
        <v>63</v>
      </c>
      <c r="F25" s="83"/>
      <c r="H25" s="84">
        <f>SUM(H20:H24)</f>
        <v>148.38320999999999</v>
      </c>
      <c r="I25" s="85">
        <f>+H25/H$14</f>
        <v>8.5680851552924917E-2</v>
      </c>
      <c r="J25" s="84">
        <f>SUM(J20:J24)</f>
        <v>121.62089999999999</v>
      </c>
      <c r="K25" s="85">
        <f>+J25/J$14</f>
        <v>7.0358024007724895E-2</v>
      </c>
      <c r="L25" s="84">
        <f>SUM(L20:L24)</f>
        <v>170.56752999999998</v>
      </c>
      <c r="M25" s="85">
        <f>+L25/L$14</f>
        <v>9.6598480226842351E-2</v>
      </c>
      <c r="N25" s="84">
        <f>SUM(N20:N24)</f>
        <v>126.17074999999998</v>
      </c>
      <c r="O25" s="85">
        <f>+N25/N$14</f>
        <v>6.8588130771939287E-2</v>
      </c>
      <c r="P25" s="84">
        <f>SUM(P20:P24)</f>
        <v>131.63176000000001</v>
      </c>
      <c r="Q25" s="85">
        <f>+P25/P$14</f>
        <v>7.6152152106078702E-2</v>
      </c>
      <c r="R25" s="84">
        <f>SUM(R20:R24)</f>
        <v>174.06781999999998</v>
      </c>
      <c r="S25" s="85">
        <f>+R25/R$14</f>
        <v>8.6980936000547585E-2</v>
      </c>
      <c r="T25" s="84">
        <f>SUM(T20:T24)</f>
        <v>169.02721000000003</v>
      </c>
      <c r="U25" s="85">
        <f>+T25/T$14</f>
        <v>6.7373877789684539E-2</v>
      </c>
      <c r="V25" s="84">
        <f>SUM(V20:V24)</f>
        <v>210.77683999999999</v>
      </c>
      <c r="W25" s="85">
        <f>+V25/V$14</f>
        <v>6.8359708653286708E-2</v>
      </c>
      <c r="X25" s="84">
        <f>SUM(X20:X24)</f>
        <v>178.99307999999999</v>
      </c>
      <c r="Y25" s="85">
        <f>+X25/X$14</f>
        <v>5.7063380856948433E-2</v>
      </c>
      <c r="Z25" s="84">
        <f>SUM(Z20:Z24)</f>
        <v>175.47675000000001</v>
      </c>
      <c r="AA25" s="85">
        <f>+Z25/Z$14</f>
        <v>4.2723352837736171E-2</v>
      </c>
      <c r="AB25" s="84">
        <f>SUM(AB20:AB24)</f>
        <v>629.03518999999983</v>
      </c>
      <c r="AC25" s="85">
        <f>+AB25/AB$14</f>
        <v>0.14101161543419169</v>
      </c>
      <c r="AD25" s="84">
        <f>SUM(AD20:AD24)</f>
        <v>1029.4259500000001</v>
      </c>
      <c r="AE25" s="85">
        <f>+AD25/AD$14</f>
        <v>0.47694652263275672</v>
      </c>
      <c r="AG25" s="84">
        <f ca="1">SUM(AG20:AG24)</f>
        <v>3265.1769899999995</v>
      </c>
      <c r="AH25" s="85">
        <f t="shared" ca="1" si="1"/>
        <v>0.10793668789522104</v>
      </c>
      <c r="AI25" s="84">
        <f>SUM(AI20:AI24)</f>
        <v>3265.1769899999995</v>
      </c>
      <c r="AJ25" s="85">
        <f t="shared" si="1"/>
        <v>0.10793668789522104</v>
      </c>
    </row>
    <row r="26" spans="1:41" ht="8.25" customHeight="1" thickBot="1" x14ac:dyDescent="0.3">
      <c r="H26" s="86"/>
      <c r="I26" s="87"/>
      <c r="J26" s="86"/>
      <c r="K26" s="87"/>
      <c r="L26" s="86"/>
      <c r="M26" s="87"/>
      <c r="N26" s="86"/>
      <c r="O26" s="87"/>
      <c r="P26" s="86"/>
      <c r="Q26" s="87"/>
      <c r="R26" s="86"/>
      <c r="S26" s="87"/>
      <c r="T26" s="86"/>
      <c r="U26" s="87"/>
      <c r="V26" s="86"/>
      <c r="W26" s="87"/>
      <c r="X26" s="86"/>
      <c r="Y26" s="87"/>
      <c r="Z26" s="86"/>
      <c r="AA26" s="87"/>
      <c r="AB26" s="86"/>
      <c r="AC26" s="87"/>
      <c r="AD26" s="86"/>
      <c r="AE26" s="87"/>
      <c r="AG26" s="86"/>
      <c r="AH26" s="87"/>
      <c r="AI26" s="86"/>
      <c r="AJ26" s="87"/>
    </row>
    <row r="27" spans="1:41" s="35" customFormat="1" ht="13.5" thickBot="1" x14ac:dyDescent="0.25">
      <c r="E27" s="82" t="s">
        <v>64</v>
      </c>
      <c r="F27" s="83"/>
      <c r="H27" s="84">
        <f>+H19-H25</f>
        <v>316.26034999999956</v>
      </c>
      <c r="I27" s="85">
        <f>+H27/H$14</f>
        <v>0.18261807451413165</v>
      </c>
      <c r="J27" s="84">
        <f>+J19-J25</f>
        <v>338.45091000000008</v>
      </c>
      <c r="K27" s="85">
        <f>+J27/J$14</f>
        <v>0.19579477911457938</v>
      </c>
      <c r="L27" s="84">
        <f>+L19-L25</f>
        <v>314.0493399999998</v>
      </c>
      <c r="M27" s="85">
        <f>+L27/L$14</f>
        <v>0.17785735045962661</v>
      </c>
      <c r="N27" s="84">
        <f>+N19-N25</f>
        <v>319.8422800000003</v>
      </c>
      <c r="O27" s="85">
        <f>+N27/N$14</f>
        <v>0.17387060096761922</v>
      </c>
      <c r="P27" s="84">
        <f>+P19-P25</f>
        <v>299.47362000000032</v>
      </c>
      <c r="Q27" s="85">
        <f>+P27/P$14</f>
        <v>0.17325272154682148</v>
      </c>
      <c r="R27" s="84">
        <f>+R19-R25</f>
        <v>169.18595000000005</v>
      </c>
      <c r="S27" s="85">
        <f>+R27/R$14</f>
        <v>8.4541486698356122E-2</v>
      </c>
      <c r="T27" s="84">
        <f>+T19-T25</f>
        <v>240.1911699999992</v>
      </c>
      <c r="U27" s="85">
        <f>+T27/T$14</f>
        <v>9.5739677261082914E-2</v>
      </c>
      <c r="V27" s="84">
        <f>+V19-V25</f>
        <v>621.38070999999923</v>
      </c>
      <c r="W27" s="85">
        <f>+V27/V$14</f>
        <v>0.20152785428594711</v>
      </c>
      <c r="X27" s="84">
        <f>+X19-X25</f>
        <v>610.5987100000001</v>
      </c>
      <c r="Y27" s="85">
        <f>+X27/X$14</f>
        <v>0.19466018875976329</v>
      </c>
      <c r="Z27" s="84">
        <f>+Z19-Z25</f>
        <v>1532.1382299999991</v>
      </c>
      <c r="AA27" s="85">
        <f>+Z27/Z$14</f>
        <v>0.3730299438328698</v>
      </c>
      <c r="AB27" s="84">
        <f>+AB19-AB25</f>
        <v>971.65793000000076</v>
      </c>
      <c r="AC27" s="85">
        <f>+AB27/AB$14</f>
        <v>0.21781778911088087</v>
      </c>
      <c r="AD27" s="84">
        <f>+AD19-AD25</f>
        <v>-3440.6035599999996</v>
      </c>
      <c r="AE27" s="85">
        <f>+AD27/AD$14</f>
        <v>-1.594076682931767</v>
      </c>
      <c r="AG27" s="84">
        <f ca="1">+AG19-AG25</f>
        <v>2292.6256400000016</v>
      </c>
      <c r="AH27" s="85">
        <f ca="1">+AG27/AG$14</f>
        <v>7.5787137702836016E-2</v>
      </c>
      <c r="AI27" s="84">
        <f>+AI19-AI25</f>
        <v>2292.6256400000016</v>
      </c>
      <c r="AJ27" s="85">
        <f>+AI27/AI$14</f>
        <v>7.5787137702836016E-2</v>
      </c>
    </row>
    <row r="28" spans="1:41" ht="9.75" customHeight="1" x14ac:dyDescent="0.25">
      <c r="E28" s="57"/>
      <c r="F28" s="58"/>
      <c r="H28" s="88"/>
      <c r="I28" s="74"/>
      <c r="J28" s="88"/>
      <c r="K28" s="74"/>
      <c r="L28" s="88"/>
      <c r="M28" s="74"/>
      <c r="N28" s="88"/>
      <c r="O28" s="74"/>
      <c r="P28" s="88"/>
      <c r="Q28" s="74"/>
      <c r="R28" s="88"/>
      <c r="S28" s="74"/>
      <c r="T28" s="88"/>
      <c r="U28" s="74"/>
      <c r="V28" s="88"/>
      <c r="W28" s="74"/>
      <c r="X28" s="88"/>
      <c r="Y28" s="74"/>
      <c r="Z28" s="88"/>
      <c r="AA28" s="74"/>
      <c r="AB28" s="88"/>
      <c r="AC28" s="74"/>
      <c r="AD28" s="88"/>
      <c r="AE28" s="74"/>
      <c r="AG28" s="88"/>
      <c r="AH28" s="74"/>
      <c r="AI28" s="88"/>
      <c r="AJ28" s="74"/>
    </row>
    <row r="29" spans="1:41" x14ac:dyDescent="0.25">
      <c r="A29" s="61">
        <v>5203</v>
      </c>
      <c r="E29" s="89" t="s">
        <v>65</v>
      </c>
      <c r="F29" s="58"/>
      <c r="H29" s="59">
        <f>IF(+H$5="Real",IF(ISNA(VLOOKUP($A29,base76,+H$1,FALSE))=FALSE,VLOOKUP($A29,base76,+H$1,FALSE),0)/1000,+'[1]Presupuesto 2021'!E30/1000)</f>
        <v>1.3818599999999999</v>
      </c>
      <c r="I29" s="77">
        <f>+H29/H$14</f>
        <v>7.9792681076871715E-4</v>
      </c>
      <c r="J29" s="59">
        <f>IF(+J$5="Real",IF(ISNA(VLOOKUP($A29,base76,+J$1,FALSE))=FALSE,VLOOKUP($A29,base76,+J$1,FALSE),0)/1000,+'[1]Presupuesto 2021'!G30/1000)</f>
        <v>0.66063000000000005</v>
      </c>
      <c r="K29" s="77">
        <f>+J29/J$14</f>
        <v>3.821762657587907E-4</v>
      </c>
      <c r="L29" s="59">
        <f>IF(+L$5="Real",IF(ISNA(VLOOKUP($A29,base76,+L$1,FALSE))=FALSE,VLOOKUP($A29,base76,+L$1,FALSE),0)/1000,+'[1]Presupuesto 2021'!I30/1000)</f>
        <v>1.16625</v>
      </c>
      <c r="M29" s="77">
        <f>+L29/L$14</f>
        <v>6.6048900142104947E-4</v>
      </c>
      <c r="N29" s="59">
        <f>IF(+N$5="Real",IF(ISNA(VLOOKUP($A29,base76,+N$1,FALSE))=FALSE,VLOOKUP($A29,base76,+N$1,FALSE),0)/1000,+'[1]Presupuesto 2021'!K30/1000)</f>
        <v>0.85047000000000006</v>
      </c>
      <c r="O29" s="77">
        <f>+N29/N$14</f>
        <v>4.6232702569820036E-4</v>
      </c>
      <c r="P29" s="59">
        <f>IF(+P$5="Real",IF(ISNA(VLOOKUP($A29,base76,+P$1,FALSE))=FALSE,VLOOKUP($A29,base76,+P$1,FALSE),0)/1000,+'[1]Presupuesto 2021'!M30/1000)</f>
        <v>0.50348999999999999</v>
      </c>
      <c r="Q29" s="77">
        <f>+P29/P$14</f>
        <v>2.9128112443296025E-4</v>
      </c>
      <c r="R29" s="59">
        <f>IF(+R$5="Real",IF(ISNA(VLOOKUP($A29,base76,+R$1,FALSE))=FALSE,VLOOKUP($A29,base76,+R$1,FALSE),0)/1000,+'[1]Presupuesto 2021'!O30/1000)</f>
        <v>1.01373</v>
      </c>
      <c r="S29" s="77">
        <f>+R29/R$14</f>
        <v>5.065564918997383E-4</v>
      </c>
      <c r="T29" s="59">
        <f>IF(+T$5="Real",IF(ISNA(VLOOKUP($A29,base76,+T$1,FALSE))=FALSE,VLOOKUP($A29,base76,+T$1,FALSE),0)/1000,+'[1]Presupuesto 2021'!Q30/1000)</f>
        <v>13.185709999999998</v>
      </c>
      <c r="U29" s="77">
        <f>+T29/T$14</f>
        <v>5.2557952894697899E-3</v>
      </c>
      <c r="V29" s="59">
        <f>IF(+V$5="Real",IF(ISNA(VLOOKUP($A29,base76,+V$1,FALSE))=FALSE,VLOOKUP($A29,base76,+V$1,FALSE),0)/1000,+'[1]Presupuesto 2021'!S30/1000)</f>
        <v>22.570900000000002</v>
      </c>
      <c r="W29" s="77">
        <f>+V29/V$14</f>
        <v>7.3202546733429968E-3</v>
      </c>
      <c r="X29" s="59">
        <f>IF(+X$5="Real",IF(ISNA(VLOOKUP($A29,base76,+X$1,FALSE))=FALSE,VLOOKUP($A29,base76,+X$1,FALSE),0)/1000,+'[1]Presupuesto 2021'!U30/1000)</f>
        <v>1.3366600000000002</v>
      </c>
      <c r="Y29" s="77">
        <f>+X29/X$14</f>
        <v>4.2613009763421418E-4</v>
      </c>
      <c r="Z29" s="59">
        <f>IF(+Z$5="Real",IF(ISNA(VLOOKUP($A29,base76,+Z$1,FALSE))=FALSE,VLOOKUP($A29,base76,+Z$1,FALSE),0)/1000,+'[1]Presupuesto 2021'!W30/1000)</f>
        <v>0.88200000000000001</v>
      </c>
      <c r="AA29" s="77">
        <f>+Z29/Z$14</f>
        <v>2.1474068332632843E-4</v>
      </c>
      <c r="AB29" s="59">
        <f>IF(+AB$5="Real",IF(ISNA(VLOOKUP($A29,base76,+AB$1,FALSE))=FALSE,VLOOKUP($A29,base76,+AB$1,FALSE),0)/1000,+'[1]Presupuesto 2021'!Y30/1000)</f>
        <v>1.0890199999999999</v>
      </c>
      <c r="AC29" s="77">
        <f>+AB29/AB$14</f>
        <v>2.441269930226693E-4</v>
      </c>
      <c r="AD29" s="59">
        <f>IF(+AD$5="Real",IF(ISNA(VLOOKUP($A29,base76,+AD$1,FALSE))=FALSE,VLOOKUP($A29,base76,+AD$1,FALSE),0)/1000,+'[1]Presupuesto 2021'!AA30/1000)</f>
        <v>1.42808</v>
      </c>
      <c r="AE29" s="77">
        <f>+AD29/AD$14</f>
        <v>6.6164816424278715E-4</v>
      </c>
      <c r="AG29" s="59">
        <f ca="1">SUM(H59:INDIRECT("F59C"&amp;[1]Cabecera!$C$8,0))</f>
        <v>46.068799999999996</v>
      </c>
      <c r="AH29" s="77">
        <f t="shared" ref="AH29:AJ31" ca="1" si="2">+AG29/AG$14</f>
        <v>1.5228925422837061E-3</v>
      </c>
      <c r="AI29" s="59">
        <f>+H29+J29+L29+N29+P29+R29+T29+V29+X29+Z29+AB29+AD29</f>
        <v>46.068799999999996</v>
      </c>
      <c r="AJ29" s="77">
        <f t="shared" si="2"/>
        <v>1.5228925422837061E-3</v>
      </c>
    </row>
    <row r="30" spans="1:41" x14ac:dyDescent="0.25">
      <c r="A30" s="61">
        <v>54</v>
      </c>
      <c r="B30" s="61">
        <v>42</v>
      </c>
      <c r="C30" s="61"/>
      <c r="D30" s="61"/>
      <c r="E30" s="89" t="s">
        <v>66</v>
      </c>
      <c r="F30" s="58"/>
      <c r="H30" s="59">
        <f>IF(+H$5="Real",IF(ISNA(VLOOKUP($A30,base76,+H$1,FALSE))=FALSE,VLOOKUP($A30,base76,+H$1,FALSE),0)/1000-IF(ISNA(VLOOKUP($B30,base76,+H$1,FALSE))=FALSE,VLOOKUP($B30,base76,+H$1,FALSE),0)/1000-H31,+'[1]Presupuesto 2021'!E31/1000)</f>
        <v>-8.6999999999999994E-2</v>
      </c>
      <c r="I30" s="77">
        <f>+H30/H$14</f>
        <v>-5.0236371656230298E-5</v>
      </c>
      <c r="J30" s="59">
        <f>IF(+J$5="Real",IF(ISNA(VLOOKUP($A30,base76,+J$1,FALSE))=FALSE,VLOOKUP($A30,base76,+J$1,FALSE),0)/1000-IF(ISNA(VLOOKUP($B30,base76,+J$1,FALSE))=FALSE,VLOOKUP($B30,base76,+J$1,FALSE),0)/1000-J31,+'[1]Presupuesto 2021'!G31/1000)</f>
        <v>-9.1000000000000011E-4</v>
      </c>
      <c r="K30" s="77">
        <f>+J30/J$14</f>
        <v>-5.2643749427137666E-7</v>
      </c>
      <c r="L30" s="59">
        <f>IF(+L$5="Real",IF(ISNA(VLOOKUP($A30,base76,+L$1,FALSE))=FALSE,VLOOKUP($A30,base76,+L$1,FALSE),0)/1000-IF(ISNA(VLOOKUP($B30,base76,+L$1,FALSE))=FALSE,VLOOKUP($B30,base76,+L$1,FALSE),0)/1000-L31,+'[1]Presupuesto 2021'!I31/1000)</f>
        <v>-1.4386300000000001</v>
      </c>
      <c r="M30" s="77">
        <f>+L30/L$14</f>
        <v>-8.1474751735422467E-4</v>
      </c>
      <c r="N30" s="59">
        <f>IF(+N$5="Real",IF(ISNA(VLOOKUP($A30,base76,+N$1,FALSE))=FALSE,VLOOKUP($A30,base76,+N$1,FALSE),0)/1000-IF(ISNA(VLOOKUP($B30,base76,+N$1,FALSE))=FALSE,VLOOKUP($B30,base76,+N$1,FALSE),0)/1000-N31,+'[1]Presupuesto 2021'!K31/1000)</f>
        <v>-2.3962899999999934</v>
      </c>
      <c r="O30" s="77">
        <f>+N30/N$14</f>
        <v>-1.3026557414257264E-3</v>
      </c>
      <c r="P30" s="59">
        <f>IF(+P$5="Real",IF(ISNA(VLOOKUP($A30,base76,+P$1,FALSE))=FALSE,VLOOKUP($A30,base76,+P$1,FALSE),0)/1000-IF(ISNA(VLOOKUP($B30,base76,+P$1,FALSE))=FALSE,VLOOKUP($B30,base76,+P$1,FALSE),0)/1000-P31,+'[1]Presupuesto 2021'!M31/1000)</f>
        <v>-0.69176000000000004</v>
      </c>
      <c r="Q30" s="77">
        <f>+P30/P$14</f>
        <v>-4.0019986620934791E-4</v>
      </c>
      <c r="R30" s="59">
        <f>IF(+R$5="Real",IF(ISNA(VLOOKUP($A30,base76,+R$1,FALSE))=FALSE,VLOOKUP($A30,base76,+R$1,FALSE),0)/1000-IF(ISNA(VLOOKUP($B30,base76,+R$1,FALSE))=FALSE,VLOOKUP($B30,base76,+R$1,FALSE),0)/1000-R31,+'[1]Presupuesto 2021'!O31/1000)</f>
        <v>-3.3364099999999866</v>
      </c>
      <c r="S30" s="77">
        <f>+R30/R$14</f>
        <v>-1.6671896314987217E-3</v>
      </c>
      <c r="T30" s="59">
        <f>IF(+T$5="Real",IF(ISNA(VLOOKUP($A30,base76,+T$1,FALSE))=FALSE,VLOOKUP($A30,base76,+T$1,FALSE),0)/1000-IF(ISNA(VLOOKUP($B30,base76,+T$1,FALSE))=FALSE,VLOOKUP($B30,base76,+T$1,FALSE),0)/1000-T31,+'[1]Presupuesto 2021'!Q31/1000)</f>
        <v>-0.72789999999999999</v>
      </c>
      <c r="U30" s="77">
        <f>+T30/T$14</f>
        <v>-2.9013935474123581E-4</v>
      </c>
      <c r="V30" s="59">
        <f>IF(+V$5="Real",IF(ISNA(VLOOKUP($A30,base76,+V$1,FALSE))=FALSE,VLOOKUP($A30,base76,+V$1,FALSE),0)/1000-IF(ISNA(VLOOKUP($B30,base76,+V$1,FALSE))=FALSE,VLOOKUP($B30,base76,+V$1,FALSE),0)/1000-V31,+'[1]Presupuesto 2021'!S31/1000)</f>
        <v>-11.060979999999999</v>
      </c>
      <c r="W30" s="77">
        <f>+V30/V$14</f>
        <v>-3.5873266257328419E-3</v>
      </c>
      <c r="X30" s="59">
        <f>IF(+X$5="Real",IF(ISNA(VLOOKUP($A30,base76,+X$1,FALSE))=FALSE,VLOOKUP($A30,base76,+X$1,FALSE),0)/1000-IF(ISNA(VLOOKUP($B30,base76,+X$1,FALSE))=FALSE,VLOOKUP($B30,base76,+X$1,FALSE),0)/1000-X31,+'[1]Presupuesto 2021'!U31/1000)</f>
        <v>-1.29626</v>
      </c>
      <c r="Y30" s="77">
        <f>+X30/X$14</f>
        <v>-4.1325049029620575E-4</v>
      </c>
      <c r="Z30" s="59">
        <f>IF(+Z$5="Real",IF(ISNA(VLOOKUP($A30,base76,+Z$1,FALSE))=FALSE,VLOOKUP($A30,base76,+Z$1,FALSE),0)/1000-IF(ISNA(VLOOKUP($B30,base76,+Z$1,FALSE))=FALSE,VLOOKUP($B30,base76,+Z$1,FALSE),0)/1000-Z31,+'[1]Presupuesto 2021'!W31/1000)</f>
        <v>-2.8749999999999996</v>
      </c>
      <c r="AA30" s="77">
        <f>+Z30/Z$14</f>
        <v>-6.9997671719183017E-4</v>
      </c>
      <c r="AB30" s="59">
        <f>IF(+AB$5="Real",IF(ISNA(VLOOKUP($A30,base76,+AB$1,FALSE))=FALSE,VLOOKUP($A30,base76,+AB$1,FALSE),0)/1000-IF(ISNA(VLOOKUP($B30,base76,+AB$1,FALSE))=FALSE,VLOOKUP($B30,base76,+AB$1,FALSE),0)/1000-AB31,+'[1]Presupuesto 2021'!Y31/1000)</f>
        <v>-6.9568000000000003</v>
      </c>
      <c r="AC30" s="77">
        <f>+AB30/AB$14</f>
        <v>-1.5595146692072744E-3</v>
      </c>
      <c r="AD30" s="59">
        <f>IF(+AD$5="Real",IF(ISNA(VLOOKUP($A30,base76,+AD$1,FALSE))=FALSE,VLOOKUP($A30,base76,+AD$1,FALSE),0)/1000-IF(ISNA(VLOOKUP($B30,base76,+AD$1,FALSE))=FALSE,VLOOKUP($B30,base76,+AD$1,FALSE),0)/1000-AD31,+'[1]Presupuesto 2021'!AA31/1000)</f>
        <v>-12.029570000000001</v>
      </c>
      <c r="AE30" s="77">
        <f>+AD30/AD$14</f>
        <v>-5.5734573043037545E-3</v>
      </c>
      <c r="AG30" s="59">
        <f ca="1">SUM(H60:INDIRECT("F60C"&amp;[1]Cabecera!$C$8,0))</f>
        <v>-42.897509999999983</v>
      </c>
      <c r="AH30" s="77">
        <f t="shared" ca="1" si="2"/>
        <v>-1.4180594689147685E-3</v>
      </c>
      <c r="AI30" s="59">
        <f>+H30+J30+L30+N30+P30+R30+T30+V30+X30+Z30+AB30+AD30</f>
        <v>-42.897509999999983</v>
      </c>
      <c r="AJ30" s="77">
        <f t="shared" si="2"/>
        <v>-1.4180594689147685E-3</v>
      </c>
      <c r="AL30">
        <f>1173-1350</f>
        <v>-177</v>
      </c>
    </row>
    <row r="31" spans="1:41" x14ac:dyDescent="0.25">
      <c r="A31" s="61">
        <v>54010104</v>
      </c>
      <c r="E31" s="89" t="s">
        <v>67</v>
      </c>
      <c r="F31" s="58"/>
      <c r="H31" s="59">
        <f>IF(+H$5="Real",IF(ISNA(VLOOKUP($A31,base76,+H$1,FALSE))=FALSE,VLOOKUP($A31,base76,+H$1,FALSE),0)/1000,+'[1]Presupuesto 2021'!E32/1000)</f>
        <v>2.9999999999999997E-5</v>
      </c>
      <c r="I31" s="77">
        <f>+H31/H$14</f>
        <v>1.7322886778010445E-8</v>
      </c>
      <c r="J31" s="59">
        <f>IF(+J$5="Real",IF(ISNA(VLOOKUP($A31,base76,+J$1,FALSE))=FALSE,VLOOKUP($A31,base76,+J$1,FALSE),0)/1000,+'[1]Presupuesto 2021'!G32/1000)</f>
        <v>1.5200000000000001E-3</v>
      </c>
      <c r="K31" s="77">
        <f>+J31/J$14</f>
        <v>8.7932416625548619E-7</v>
      </c>
      <c r="L31" s="59">
        <f>IF(+L$5="Real",IF(ISNA(VLOOKUP($A31,base76,+L$1,FALSE))=FALSE,VLOOKUP($A31,base76,+L$1,FALSE),0)/1000,+'[1]Presupuesto 2021'!I32/1000)</f>
        <v>1.1E-4</v>
      </c>
      <c r="M31" s="77">
        <f>+L31/L$14</f>
        <v>6.2296926179048618E-8</v>
      </c>
      <c r="N31" s="59">
        <f>IF(+N$5="Real",IF(ISNA(VLOOKUP($A31,base76,+N$1,FALSE))=FALSE,VLOOKUP($A31,base76,+N$1,FALSE),0)/1000,+'[1]Presupuesto 2021'!K32/1000)</f>
        <v>102.12742999999999</v>
      </c>
      <c r="O31" s="77">
        <f>+N31/N$14</f>
        <v>5.55178559550615E-2</v>
      </c>
      <c r="P31" s="59">
        <f>IF(+P$5="Real",IF(ISNA(VLOOKUP($A31,base76,+P$1,FALSE))=FALSE,VLOOKUP($A31,base76,+P$1,FALSE),0)/1000,+'[1]Presupuesto 2021'!M32/1000)</f>
        <v>5.0000000000000002E-5</v>
      </c>
      <c r="Q31" s="77">
        <f>+P31/P$14</f>
        <v>2.8926207514842425E-8</v>
      </c>
      <c r="R31" s="59">
        <f>IF(+R$5="Real",IF(ISNA(VLOOKUP($A31,base76,+R$1,FALSE))=FALSE,VLOOKUP($A31,base76,+R$1,FALSE),0)/1000,+'[1]Presupuesto 2021'!O32/1000)</f>
        <v>77.913210000000007</v>
      </c>
      <c r="S31" s="77">
        <f>+R31/R$14</f>
        <v>3.8932893699750046E-2</v>
      </c>
      <c r="T31" s="59">
        <f>IF(+T$5="Real",IF(ISNA(VLOOKUP($A31,base76,+T$1,FALSE))=FALSE,VLOOKUP($A31,base76,+T$1,FALSE),0)/1000,+'[1]Presupuesto 2021'!Q32/1000)</f>
        <v>8.3000000000000001E-4</v>
      </c>
      <c r="U31" s="77">
        <f>+T31/T$14</f>
        <v>3.3083619238250549E-7</v>
      </c>
      <c r="V31" s="59">
        <f>IF(+V$5="Real",IF(ISNA(VLOOKUP($A31,base76,+V$1,FALSE))=FALSE,VLOOKUP($A31,base76,+V$1,FALSE),0)/1000,+'[1]Presupuesto 2021'!S32/1000)</f>
        <v>5.9999999999999995E-5</v>
      </c>
      <c r="W31" s="77">
        <f>+V31/V$14</f>
        <v>1.9459360521759423E-8</v>
      </c>
      <c r="X31" s="59">
        <f>IF(+X$5="Real",IF(ISNA(VLOOKUP($A31,base76,+X$1,FALSE))=FALSE,VLOOKUP($A31,base76,+X$1,FALSE),0)/1000,+'[1]Presupuesto 2021'!U32/1000)</f>
        <v>4.0000000000000003E-5</v>
      </c>
      <c r="Y31" s="77">
        <f>+X31/X$14</f>
        <v>1.2752086473275601E-8</v>
      </c>
      <c r="Z31" s="59">
        <f>IF(+Z$5="Real",IF(ISNA(VLOOKUP($A31,base76,+Z$1,FALSE))=FALSE,VLOOKUP($A31,base76,+Z$1,FALSE),0)/1000,+'[1]Presupuesto 2021'!W32/1000)</f>
        <v>1.1E-4</v>
      </c>
      <c r="AA31" s="77">
        <f>+Z31/Z$14</f>
        <v>2.6781717875165678E-8</v>
      </c>
      <c r="AB31" s="59">
        <f>IF(+AB$5="Real",IF(ISNA(VLOOKUP($A31,base76,+AB$1,FALSE))=FALSE,VLOOKUP($A31,base76,+AB$1,FALSE),0)/1000,+'[1]Presupuesto 2021'!Y32/1000)</f>
        <v>5.4000000000000001E-4</v>
      </c>
      <c r="AC31" s="77">
        <f>+AB31/AB$14</f>
        <v>1.2105248409785075E-7</v>
      </c>
      <c r="AD31" s="59">
        <f>IF(+AD$5="Real",IF(ISNA(VLOOKUP($A31,base76,+AD$1,FALSE))=FALSE,VLOOKUP($A31,base76,+AD$1,FALSE),0)/1000,+'[1]Presupuesto 2021'!AA32/1000)</f>
        <v>6.0999999999999997E-4</v>
      </c>
      <c r="AE31" s="77">
        <f>+AD31/AD$14</f>
        <v>2.8262098775145656E-7</v>
      </c>
      <c r="AG31" s="59">
        <f ca="1">SUM(H61:INDIRECT("F61C"&amp;[1]Cabecera!$C$8,0))</f>
        <v>180.04454000000001</v>
      </c>
      <c r="AH31" s="77">
        <f t="shared" ca="1" si="2"/>
        <v>5.9517175885827386E-3</v>
      </c>
      <c r="AI31" s="59">
        <f>+H31+J31+L31+N31+P31+R31+T31+V31+X31+Z31+AB31+AD31</f>
        <v>180.04454000000001</v>
      </c>
      <c r="AJ31" s="77">
        <f t="shared" si="2"/>
        <v>5.9517175885827386E-3</v>
      </c>
    </row>
    <row r="32" spans="1:41" ht="7.5" customHeight="1" thickBot="1" x14ac:dyDescent="0.3">
      <c r="E32" s="78"/>
      <c r="F32" s="79"/>
      <c r="H32" s="90"/>
      <c r="I32" s="81"/>
      <c r="J32" s="90"/>
      <c r="K32" s="81"/>
      <c r="L32" s="90"/>
      <c r="M32" s="81"/>
      <c r="N32" s="90"/>
      <c r="O32" s="81"/>
      <c r="P32" s="90"/>
      <c r="Q32" s="81"/>
      <c r="R32" s="90"/>
      <c r="S32" s="81"/>
      <c r="T32" s="90"/>
      <c r="U32" s="81"/>
      <c r="V32" s="90"/>
      <c r="W32" s="81"/>
      <c r="X32" s="90"/>
      <c r="Y32" s="81"/>
      <c r="Z32" s="90"/>
      <c r="AA32" s="81"/>
      <c r="AB32" s="90"/>
      <c r="AC32" s="81"/>
      <c r="AD32" s="90"/>
      <c r="AE32" s="81"/>
      <c r="AG32" s="90"/>
      <c r="AH32" s="81"/>
      <c r="AI32" s="90"/>
      <c r="AJ32" s="81"/>
    </row>
    <row r="33" spans="5:40" s="35" customFormat="1" ht="13.5" thickBot="1" x14ac:dyDescent="0.25">
      <c r="E33" s="82" t="s">
        <v>68</v>
      </c>
      <c r="F33" s="83"/>
      <c r="H33" s="84">
        <f>+H27-H29-H30-H31</f>
        <v>314.96545999999955</v>
      </c>
      <c r="I33" s="85">
        <f>+H33/H$14</f>
        <v>0.18187036675213236</v>
      </c>
      <c r="J33" s="84">
        <f>+J27-J29-J30-J31</f>
        <v>337.78967</v>
      </c>
      <c r="K33" s="85">
        <f>+J33/J$14</f>
        <v>0.19541224996214857</v>
      </c>
      <c r="L33" s="84">
        <f>+L27-L29-L30-L31</f>
        <v>314.32160999999979</v>
      </c>
      <c r="M33" s="85">
        <f>+L33/L$14</f>
        <v>0.17801154667863359</v>
      </c>
      <c r="N33" s="84">
        <f>+N27-N29-N30-N31</f>
        <v>219.26067000000035</v>
      </c>
      <c r="O33" s="85">
        <f>+N33/N$14</f>
        <v>0.11919307372828528</v>
      </c>
      <c r="P33" s="84">
        <f>+P27-P29-P30-P31</f>
        <v>299.66184000000032</v>
      </c>
      <c r="Q33" s="85">
        <f>+P33/P$14</f>
        <v>0.17336161136239034</v>
      </c>
      <c r="R33" s="84">
        <f>+R27-R29-R30-R31</f>
        <v>93.595420000000033</v>
      </c>
      <c r="S33" s="85">
        <f>+R33/R$14</f>
        <v>4.6769226138205069E-2</v>
      </c>
      <c r="T33" s="84">
        <f>+T27-T29-T30-T31</f>
        <v>227.7325299999992</v>
      </c>
      <c r="U33" s="85">
        <f>+T33/T$14</f>
        <v>9.0773690490161971E-2</v>
      </c>
      <c r="V33" s="84">
        <f>+V27-V29-V30-V31</f>
        <v>609.87072999999918</v>
      </c>
      <c r="W33" s="85">
        <f>+V33/V$14</f>
        <v>0.1977949067789764</v>
      </c>
      <c r="X33" s="84">
        <f>+X27-X29-X30-X31</f>
        <v>610.55826999999999</v>
      </c>
      <c r="Y33" s="85">
        <f>+X33/X$14</f>
        <v>0.19464729640033879</v>
      </c>
      <c r="Z33" s="84">
        <f>+Z27-Z29-Z30-Z31</f>
        <v>1534.1311199999991</v>
      </c>
      <c r="AA33" s="85">
        <f>+Z33/Z$14</f>
        <v>0.37351515308501743</v>
      </c>
      <c r="AB33" s="84">
        <f>+AB27-AB29-AB30-AB31</f>
        <v>977.5251700000008</v>
      </c>
      <c r="AC33" s="85">
        <f>+AB33/AB$14</f>
        <v>0.21913305573458139</v>
      </c>
      <c r="AD33" s="84">
        <f>+AD27-AD29-AD30-AD31</f>
        <v>-3430.0026799999996</v>
      </c>
      <c r="AE33" s="85">
        <f>+AD33/AD$14</f>
        <v>-1.5891651564126938</v>
      </c>
      <c r="AG33" s="84">
        <f ca="1">+AG27-AG29-AG30-AG31</f>
        <v>2109.4098100000015</v>
      </c>
      <c r="AH33" s="85">
        <f ca="1">+AG33/AG$14</f>
        <v>6.9730587040884334E-2</v>
      </c>
      <c r="AI33" s="84">
        <f>+AI27-AI29-AI30-AI31</f>
        <v>2109.4098100000015</v>
      </c>
      <c r="AJ33" s="85">
        <f>+AI33/AI$14</f>
        <v>6.9730587040884334E-2</v>
      </c>
      <c r="AL33" s="35">
        <v>1815953.5</v>
      </c>
      <c r="AM33" s="66">
        <f>+AL33/1000</f>
        <v>1815.9535000000001</v>
      </c>
      <c r="AN33" s="91">
        <f>+AI33-AM33</f>
        <v>293.45631000000139</v>
      </c>
    </row>
    <row r="34" spans="5:40" ht="7.5" customHeight="1" x14ac:dyDescent="0.25">
      <c r="E34" s="53"/>
      <c r="F34" s="54"/>
      <c r="H34" s="92"/>
      <c r="I34" s="76"/>
      <c r="J34" s="92"/>
      <c r="K34" s="76"/>
      <c r="L34" s="92"/>
      <c r="M34" s="76"/>
      <c r="N34" s="92"/>
      <c r="O34" s="76"/>
      <c r="P34" s="92"/>
      <c r="Q34" s="76"/>
      <c r="R34" s="92"/>
      <c r="S34" s="76"/>
      <c r="T34" s="92"/>
      <c r="U34" s="76"/>
      <c r="V34" s="92"/>
      <c r="W34" s="76"/>
      <c r="X34" s="92"/>
      <c r="Y34" s="76"/>
      <c r="Z34" s="92"/>
      <c r="AA34" s="76"/>
      <c r="AB34" s="92"/>
      <c r="AC34" s="76"/>
      <c r="AD34" s="92"/>
      <c r="AE34" s="76"/>
      <c r="AG34" s="92"/>
      <c r="AH34" s="76"/>
      <c r="AI34" s="92"/>
      <c r="AJ34" s="76"/>
    </row>
    <row r="35" spans="5:40" x14ac:dyDescent="0.25">
      <c r="E35" s="89" t="s">
        <v>69</v>
      </c>
      <c r="F35" s="58"/>
      <c r="H35" s="59">
        <f>IF(+H$5="Real",+H33*15%,'[1]Presupuesto 2021'!E37/1000)</f>
        <v>47.244818999999929</v>
      </c>
      <c r="I35" s="77">
        <f>+H35/H$14</f>
        <v>2.7280555012819851E-2</v>
      </c>
      <c r="J35" s="59">
        <f>IF(+J$5="Real",+J33*15%,'[1]Presupuesto 2021'!G37/1000)</f>
        <v>50.668450499999999</v>
      </c>
      <c r="K35" s="77">
        <f>+J35/J$14</f>
        <v>2.9311837494322281E-2</v>
      </c>
      <c r="L35" s="59">
        <f>IF(+L$5="Real",+L33*15%,'[1]Presupuesto 2021'!I37/1000)</f>
        <v>47.148241499999969</v>
      </c>
      <c r="M35" s="77">
        <f>+L35/L$14</f>
        <v>2.6701732001795039E-2</v>
      </c>
      <c r="N35" s="59">
        <f>IF(+N$5="Real",+N33*15%,'[1]Presupuesto 2021'!K37/1000)</f>
        <v>32.889100500000048</v>
      </c>
      <c r="O35" s="77">
        <f>+N35/N$14</f>
        <v>1.787896105924279E-2</v>
      </c>
      <c r="P35" s="59">
        <f>IF(+P$5="Real",+P33*15%,'[1]Presupuesto 2021'!M37/1000)</f>
        <v>44.949276000000047</v>
      </c>
      <c r="Q35" s="77">
        <f>+P35/P$14</f>
        <v>2.6004241704358552E-2</v>
      </c>
      <c r="R35" s="59">
        <f>IF(+R$5="Real",+R33*15%,'[1]Presupuesto 2021'!O37/1000)</f>
        <v>14.039313000000005</v>
      </c>
      <c r="S35" s="77">
        <f>+R35/R$14</f>
        <v>7.0153839207307599E-3</v>
      </c>
      <c r="T35" s="59">
        <f>IF(+T$5="Real",+T33*15%,'[1]Presupuesto 2021'!Q37/1000)</f>
        <v>34.159879499999882</v>
      </c>
      <c r="U35" s="77">
        <f>+T35/T$14</f>
        <v>1.3616053573524297E-2</v>
      </c>
      <c r="V35" s="59">
        <f>IF(+V$5="Real",+V33*15%,'[1]Presupuesto 2021'!S37/1000)</f>
        <v>91.480609499999872</v>
      </c>
      <c r="W35" s="77">
        <f>+V35/V$14</f>
        <v>2.966923601684646E-2</v>
      </c>
      <c r="X35" s="59">
        <f>IF(+X$5="Real",+X33*15%,'[1]Presupuesto 2021'!U37/1000)</f>
        <v>91.58374049999999</v>
      </c>
      <c r="Y35" s="77">
        <f>+X35/X$14</f>
        <v>2.9197094460050817E-2</v>
      </c>
      <c r="Z35" s="59">
        <f>IF(+Z$5="Real",+Z33*15%,'[1]Presupuesto 2021'!W37/1000)</f>
        <v>230.11966799999985</v>
      </c>
      <c r="AA35" s="77">
        <f>+Z35/Z$14</f>
        <v>5.602727296275261E-2</v>
      </c>
      <c r="AB35" s="59">
        <f>IF(+AB$5="Real",+AB33*15%,'[1]Presupuesto 2021'!Y37/1000)</f>
        <v>146.6287755000001</v>
      </c>
      <c r="AC35" s="77">
        <f>+AB35/AB$14</f>
        <v>3.2869958360187204E-2</v>
      </c>
      <c r="AD35" s="59">
        <f>IF(+AD$5="Real",+AD33*15%,'[1]Presupuesto 2021'!AA37/1000)</f>
        <v>-514.50040199999989</v>
      </c>
      <c r="AE35" s="77">
        <f>+AD35/AD$14</f>
        <v>-0.23837477346190403</v>
      </c>
      <c r="AG35" s="59">
        <f ca="1">SUM(H65:INDIRECT("F65C"&amp;[1]Cabecera!$C$8,0))</f>
        <v>316.41147149999972</v>
      </c>
      <c r="AH35" s="77">
        <f t="shared" ref="AH35:AJ36" ca="1" si="3">+AG35/AG$14</f>
        <v>1.0459588056132634E-2</v>
      </c>
      <c r="AI35" s="59">
        <f>+H35+J35+L35+N35+P35+R35+T35+V35+X35+Z35+AB35+AD35</f>
        <v>316.41147149999972</v>
      </c>
      <c r="AJ35" s="77">
        <f t="shared" si="3"/>
        <v>1.0459588056132634E-2</v>
      </c>
      <c r="AN35">
        <f>+AN33/2</f>
        <v>146.7281550000007</v>
      </c>
    </row>
    <row r="36" spans="5:40" x14ac:dyDescent="0.25">
      <c r="E36" s="89" t="s">
        <v>70</v>
      </c>
      <c r="F36" s="58"/>
      <c r="H36" s="59">
        <f>IF(+H$5="Real",(+H33-H35)*25%,+'[1]Presupuesto 2021'!E39/1000)</f>
        <v>66.930160249999901</v>
      </c>
      <c r="I36" s="77">
        <f>+H36/H$14</f>
        <v>3.8647452934828123E-2</v>
      </c>
      <c r="J36" s="59">
        <f>IF(+J$5="Real",(+J33-J35)*25%,+'[1]Presupuesto 2021'!G39/1000)</f>
        <v>71.780304874999999</v>
      </c>
      <c r="K36" s="77">
        <f>+J36/J$14</f>
        <v>4.152510311695657E-2</v>
      </c>
      <c r="L36" s="59">
        <f>IF(+L$5="Real",(+L33-L35)*25%,+'[1]Presupuesto 2021'!I39/1000)</f>
        <v>66.793342124999953</v>
      </c>
      <c r="M36" s="77">
        <f>+L36/L$14</f>
        <v>3.7827453669209636E-2</v>
      </c>
      <c r="N36" s="59">
        <f>IF(+N$5="Real",(+N33-N35)*25%,+'[1]Presupuesto 2021'!K39/1000)</f>
        <v>46.592892375000076</v>
      </c>
      <c r="O36" s="77">
        <f>+N36/N$14</f>
        <v>2.5328528167260625E-2</v>
      </c>
      <c r="P36" s="59">
        <f>IF(+P$5="Real",(+P33-P35)*25%,+'[1]Presupuesto 2021'!M39/1000)</f>
        <v>63.678141000000068</v>
      </c>
      <c r="Q36" s="77">
        <f>+P36/P$14</f>
        <v>3.6839342414507946E-2</v>
      </c>
      <c r="R36" s="59">
        <f>IF(+R$5="Real",(+R33-R35)*25%,+'[1]Presupuesto 2021'!O39/1000)</f>
        <v>19.889026750000006</v>
      </c>
      <c r="S36" s="77">
        <f>+R36/R$14</f>
        <v>9.9384605543685767E-3</v>
      </c>
      <c r="T36" s="59">
        <f>IF(+T$5="Real",(+T33-T35)*25%,+'[1]Presupuesto 2021'!Q39/1000)</f>
        <v>48.393162624999832</v>
      </c>
      <c r="U36" s="77">
        <f>+T36/T$14</f>
        <v>1.9289409229159421E-2</v>
      </c>
      <c r="V36" s="59">
        <f>IF(+V$5="Real",(+V33-V35)*25%,+'[1]Presupuesto 2021'!S39/1000)</f>
        <v>129.59753012499982</v>
      </c>
      <c r="W36" s="77">
        <f>+V36/V$14</f>
        <v>4.2031417690532487E-2</v>
      </c>
      <c r="X36" s="59">
        <f>IF(+X$5="Real",(+X33-X35)*25%,+'[1]Presupuesto 2021'!U39/1000)</f>
        <v>129.743632375</v>
      </c>
      <c r="Y36" s="77">
        <f>+X36/X$14</f>
        <v>4.1362550485071994E-2</v>
      </c>
      <c r="Z36" s="59">
        <f>IF(+Z$5="Real",(+Z33-Z35)*25%,+'[1]Presupuesto 2021'!W39/1000)</f>
        <v>326.00286299999982</v>
      </c>
      <c r="AA36" s="77">
        <f>+Z36/Z$14</f>
        <v>7.9371970030566202E-2</v>
      </c>
      <c r="AB36" s="59">
        <f>IF(+AB$5="Real",(+AB33-AB35)*25%,+'[1]Presupuesto 2021'!Y39/1000)</f>
        <v>207.72409862500018</v>
      </c>
      <c r="AC36" s="77">
        <f>+AB36/AB$14</f>
        <v>4.656577434359855E-2</v>
      </c>
      <c r="AD36" s="59">
        <f>IF(+AD$5="Real",(+AD33-AD35)*25%,+'[1]Presupuesto 2021'!AA39/1000)</f>
        <v>-728.87556949999998</v>
      </c>
      <c r="AE36" s="77">
        <f>+AD36/AD$14</f>
        <v>-0.33769759573769748</v>
      </c>
      <c r="AG36" s="59">
        <f ca="1">SUM(H66:INDIRECT("F66C"&amp;[1]Cabecera!$C$8,0))</f>
        <v>448.2495846249999</v>
      </c>
      <c r="AH36" s="77">
        <f t="shared" ca="1" si="3"/>
        <v>1.4817749746187906E-2</v>
      </c>
      <c r="AI36" s="59">
        <f>+H36+J36+L36+N36+P36+R36+T36+V36+X36+Z36+AB36+AD36</f>
        <v>448.2495846249999</v>
      </c>
      <c r="AJ36" s="77">
        <f t="shared" si="3"/>
        <v>1.4817749746187906E-2</v>
      </c>
    </row>
    <row r="37" spans="5:40" ht="6" customHeight="1" thickBot="1" x14ac:dyDescent="0.3">
      <c r="E37" s="78"/>
      <c r="F37" s="79"/>
      <c r="H37" s="90"/>
      <c r="I37" s="81"/>
      <c r="J37" s="90"/>
      <c r="K37" s="81"/>
      <c r="L37" s="90"/>
      <c r="M37" s="81"/>
      <c r="N37" s="90"/>
      <c r="O37" s="81"/>
      <c r="P37" s="90"/>
      <c r="Q37" s="81"/>
      <c r="R37" s="90"/>
      <c r="S37" s="81"/>
      <c r="T37" s="90"/>
      <c r="U37" s="81"/>
      <c r="V37" s="90"/>
      <c r="W37" s="81"/>
      <c r="X37" s="90"/>
      <c r="Y37" s="81"/>
      <c r="Z37" s="90"/>
      <c r="AA37" s="81"/>
      <c r="AB37" s="90"/>
      <c r="AC37" s="81"/>
      <c r="AD37" s="90"/>
      <c r="AE37" s="81"/>
      <c r="AG37" s="90"/>
      <c r="AH37" s="81"/>
      <c r="AI37" s="90"/>
      <c r="AJ37" s="81"/>
    </row>
    <row r="38" spans="5:40" s="35" customFormat="1" ht="13.5" thickBot="1" x14ac:dyDescent="0.25">
      <c r="E38" s="82" t="s">
        <v>71</v>
      </c>
      <c r="F38" s="83"/>
      <c r="H38" s="84">
        <f>+H33-H35-H36</f>
        <v>200.79048074999969</v>
      </c>
      <c r="I38" s="85">
        <f>+H38/H$14</f>
        <v>0.11594235880448436</v>
      </c>
      <c r="J38" s="84">
        <f>+J33-J35-J36</f>
        <v>215.34091462499998</v>
      </c>
      <c r="K38" s="85">
        <f>+J38/J$14</f>
        <v>0.12457530935086969</v>
      </c>
      <c r="L38" s="84">
        <f>+L33-L35-L36</f>
        <v>200.38002637499986</v>
      </c>
      <c r="M38" s="85">
        <f>+L38/L$14</f>
        <v>0.11348236100762892</v>
      </c>
      <c r="N38" s="84">
        <f>+N33-N35-N36</f>
        <v>139.77867712500023</v>
      </c>
      <c r="O38" s="85">
        <f>+N38/N$14</f>
        <v>7.5985584501781875E-2</v>
      </c>
      <c r="P38" s="84">
        <f>+P33-P35-P36</f>
        <v>191.0344230000002</v>
      </c>
      <c r="Q38" s="85">
        <f>+P38/P$14</f>
        <v>0.11051802724352384</v>
      </c>
      <c r="R38" s="84">
        <f>+R33-R35-R36</f>
        <v>59.667080250000019</v>
      </c>
      <c r="S38" s="85">
        <f>+R38/R$14</f>
        <v>2.9815381663105728E-2</v>
      </c>
      <c r="T38" s="84">
        <f>+T33-T35-T36</f>
        <v>145.1794878749995</v>
      </c>
      <c r="U38" s="85">
        <f>+T38/T$14</f>
        <v>5.7868227687478256E-2</v>
      </c>
      <c r="V38" s="84">
        <f>+V33-V35-V36</f>
        <v>388.79259037499946</v>
      </c>
      <c r="W38" s="85">
        <f>+V38/V$14</f>
        <v>0.12609425307159747</v>
      </c>
      <c r="X38" s="84">
        <f>+X33-X35-X36</f>
        <v>389.23089712500001</v>
      </c>
      <c r="Y38" s="85">
        <f>+X38/X$14</f>
        <v>0.12408765145521598</v>
      </c>
      <c r="Z38" s="84">
        <f>+Z33-Z35-Z36</f>
        <v>978.00858899999946</v>
      </c>
      <c r="AA38" s="85">
        <f>+Z38/Z$14</f>
        <v>0.23811591009169863</v>
      </c>
      <c r="AB38" s="84">
        <f>+AB33-AB35-AB36</f>
        <v>623.1722958750006</v>
      </c>
      <c r="AC38" s="85">
        <f>+AB38/AB$14</f>
        <v>0.13969732303079566</v>
      </c>
      <c r="AD38" s="84">
        <f>+AD33-AD35-AD36</f>
        <v>-2186.6267084999999</v>
      </c>
      <c r="AE38" s="85">
        <f>+AD38/AD$14</f>
        <v>-1.0130927872130924</v>
      </c>
      <c r="AG38" s="84">
        <f ca="1">+AG33-AG35-AG36</f>
        <v>1344.748753875002</v>
      </c>
      <c r="AH38" s="85">
        <f ca="1">+AG38/AG$14</f>
        <v>4.4453249238563794E-2</v>
      </c>
      <c r="AI38" s="84">
        <f>+AI33-AI35-AI36</f>
        <v>1344.748753875002</v>
      </c>
      <c r="AJ38" s="85">
        <f>+AI38/AI$14</f>
        <v>4.4453249238563794E-2</v>
      </c>
    </row>
    <row r="39" spans="5:40" ht="5.25" customHeight="1" x14ac:dyDescent="0.25">
      <c r="E39" s="53"/>
      <c r="F39" s="54"/>
      <c r="H39" s="92"/>
      <c r="I39" s="76"/>
      <c r="J39" s="92"/>
      <c r="K39" s="76"/>
      <c r="L39" s="92"/>
      <c r="M39" s="76"/>
      <c r="N39" s="92"/>
      <c r="O39" s="76"/>
      <c r="P39" s="92"/>
      <c r="Q39" s="76"/>
      <c r="R39" s="92"/>
      <c r="S39" s="76"/>
      <c r="T39" s="92"/>
      <c r="U39" s="76"/>
      <c r="V39" s="92"/>
      <c r="W39" s="76"/>
      <c r="X39" s="92"/>
      <c r="Y39" s="76"/>
      <c r="Z39" s="92"/>
      <c r="AA39" s="76"/>
      <c r="AB39" s="92"/>
      <c r="AC39" s="76"/>
      <c r="AD39" s="92"/>
      <c r="AE39" s="76"/>
      <c r="AG39" s="92"/>
      <c r="AH39" s="76"/>
      <c r="AI39" s="92"/>
      <c r="AJ39" s="76"/>
    </row>
    <row r="40" spans="5:40" s="35" customFormat="1" ht="13.5" thickBot="1" x14ac:dyDescent="0.25">
      <c r="E40" s="67" t="s">
        <v>72</v>
      </c>
      <c r="F40" s="68"/>
      <c r="H40" s="93">
        <f>IF(+H$5="Real",+H38+50+H36+1,+'[1]Presupuesto 2021'!E47/1000)</f>
        <v>318.7206409999996</v>
      </c>
      <c r="I40" s="70">
        <f>+H40/H$14</f>
        <v>0.18403871926193027</v>
      </c>
      <c r="J40" s="93">
        <f>IF(+J$5="Real",+J38+50+J36+1,+'[1]Presupuesto 2021'!G47/1000)</f>
        <v>338.1212195</v>
      </c>
      <c r="K40" s="70">
        <f>+J40/J$14</f>
        <v>0.19560405225666166</v>
      </c>
      <c r="L40" s="93">
        <f>IF(+L$5="Real",+L38+50+L36+1,+'[1]Presupuesto 2021'!I47/1000)</f>
        <v>318.17336849999981</v>
      </c>
      <c r="M40" s="70">
        <f>+L40/L$14</f>
        <v>0.18019293499621564</v>
      </c>
      <c r="N40" s="93">
        <f>IF(+N$5="Real",+N38+50+N36+1,+'[1]Presupuesto 2021'!K47/1000)</f>
        <v>237.37156950000031</v>
      </c>
      <c r="O40" s="70">
        <f>+N40/N$14</f>
        <v>0.12903840430849858</v>
      </c>
      <c r="P40" s="93">
        <f>IF(+P$5="Real",+P38+50+P36+1,+'[1]Presupuesto 2021'!M47/1000)</f>
        <v>305.71256400000027</v>
      </c>
      <c r="Q40" s="70">
        <f>+P40/P$14</f>
        <v>0.17686210132317107</v>
      </c>
      <c r="R40" s="93">
        <f>IF(+R$5="Real",+R38+50+R36+1,+'[1]Presupuesto 2021'!O47/1000)</f>
        <v>130.55610700000003</v>
      </c>
      <c r="S40" s="70">
        <f>+R40/R$14</f>
        <v>6.5238321405114652E-2</v>
      </c>
      <c r="T40" s="93">
        <f>IF(+T$5="Real",+T38+50+T36+1,+'[1]Presupuesto 2021'!Q47/1000)</f>
        <v>244.57265049999933</v>
      </c>
      <c r="U40" s="70">
        <f>+T40/T$14</f>
        <v>9.7486125846165131E-2</v>
      </c>
      <c r="V40" s="93">
        <f>IF(+V$5="Real",+V38+50+V36+1,+'[1]Presupuesto 2021'!S47/1000)</f>
        <v>569.39012049999928</v>
      </c>
      <c r="W40" s="70">
        <f>+V40/V$14</f>
        <v>0.18466612720562545</v>
      </c>
      <c r="X40" s="93">
        <f>IF(+X$5="Real",+X38+50+X36+1,+'[1]Presupuesto 2021'!U47/1000)</f>
        <v>569.97452950000002</v>
      </c>
      <c r="Y40" s="70">
        <f>+X40/X$14</f>
        <v>0.18170911219371438</v>
      </c>
      <c r="Z40" s="93">
        <f>IF(+Z$5="Real",+Z38+50+Z36+1,+'[1]Presupuesto 2021'!W47/1000)</f>
        <v>1355.0114519999993</v>
      </c>
      <c r="AA40" s="70">
        <f>+Z40/Z$14</f>
        <v>0.32990485840984163</v>
      </c>
      <c r="AB40" s="93">
        <f>IF(+AB$5="Real",+AB38+50+AB36+1,+'[1]Presupuesto 2021'!Y47/1000)</f>
        <v>881.89639450000072</v>
      </c>
      <c r="AC40" s="70">
        <f>+AB40/AB$14</f>
        <v>0.19769583198363566</v>
      </c>
      <c r="AD40" s="93">
        <f>IF(+AD$5="Real",+AD38+50+AD36+1,+'[1]Presupuesto 2021'!AA47/1000)</f>
        <v>-2864.5022779999999</v>
      </c>
      <c r="AE40" s="70">
        <f>+AD40/AD$14</f>
        <v>-1.3271614151223894</v>
      </c>
      <c r="AG40" s="93">
        <f ca="1">SUM(H70:INDIRECT("F70C"&amp;[1]Cabecera!$C$8,0))</f>
        <v>2404.9983384999987</v>
      </c>
      <c r="AH40" s="70">
        <f ca="1">+AG40/AG$14</f>
        <v>7.9501832778504158E-2</v>
      </c>
      <c r="AI40" s="93">
        <f>+H40+J40+L40+N40+P40+R40+T40+V40+X40+Z40+AB40+AD40</f>
        <v>2404.9983384999987</v>
      </c>
      <c r="AJ40" s="70">
        <f>+AI40/AI$14</f>
        <v>7.9501832778504158E-2</v>
      </c>
    </row>
    <row r="42" spans="5:40" x14ac:dyDescent="0.25">
      <c r="H42" s="94">
        <f>+H12</f>
        <v>1584.0394499999998</v>
      </c>
      <c r="J42" s="94">
        <f t="shared" ref="J42:J91" si="4">+J12</f>
        <v>1572.3457700000001</v>
      </c>
      <c r="L42" s="94">
        <f t="shared" ref="L42:L91" si="5">+L12</f>
        <v>1656.5038300000001</v>
      </c>
      <c r="N42" s="94">
        <f t="shared" ref="N42:N91" si="6">+N12</f>
        <v>1657.1496100000002</v>
      </c>
      <c r="P42" s="94">
        <f t="shared" ref="P42:P91" si="7">+P12</f>
        <v>1535.7092500000001</v>
      </c>
      <c r="R42" s="94">
        <f t="shared" ref="R42:R91" si="8">+R12</f>
        <v>1901.90346</v>
      </c>
      <c r="T42" s="94">
        <f t="shared" ref="T42:T91" si="9">+T12</f>
        <v>2367.8686699999998</v>
      </c>
      <c r="V42" s="94">
        <f t="shared" ref="V42:V91" si="10">+V12</f>
        <v>2947.0764300000001</v>
      </c>
      <c r="X42" s="94">
        <f t="shared" ref="X42:X91" si="11">+X12</f>
        <v>2975.65283</v>
      </c>
      <c r="Z42" s="94">
        <f t="shared" ref="Z42:Z91" si="12">+Z12</f>
        <v>3876.8332799999998</v>
      </c>
      <c r="AB42" s="94">
        <f t="shared" ref="AB42:AB91" si="13">+AB12</f>
        <v>4054.95964</v>
      </c>
      <c r="AD42" s="94">
        <f t="shared" ref="AD42:AD91" si="14">+AD12</f>
        <v>1956.12213</v>
      </c>
    </row>
    <row r="43" spans="5:40" x14ac:dyDescent="0.25">
      <c r="H43" s="94">
        <f t="shared" ref="H43:H91" si="15">+H13</f>
        <v>147.77351999999999</v>
      </c>
      <c r="J43" s="94">
        <f t="shared" si="4"/>
        <v>156.25451000000001</v>
      </c>
      <c r="L43" s="94">
        <f t="shared" si="5"/>
        <v>109.23336999999998</v>
      </c>
      <c r="N43" s="94">
        <f t="shared" si="6"/>
        <v>182.39243000000005</v>
      </c>
      <c r="P43" s="94">
        <f t="shared" si="7"/>
        <v>192.82705999999999</v>
      </c>
      <c r="R43" s="94">
        <f t="shared" si="8"/>
        <v>99.314599999999999</v>
      </c>
      <c r="T43" s="94">
        <f t="shared" si="9"/>
        <v>140.92577000000003</v>
      </c>
      <c r="V43" s="94">
        <f t="shared" si="10"/>
        <v>136.27257999999998</v>
      </c>
      <c r="X43" s="94">
        <f t="shared" si="11"/>
        <v>161.08876000000001</v>
      </c>
      <c r="Z43" s="94">
        <f t="shared" si="12"/>
        <v>230.44619</v>
      </c>
      <c r="AB43" s="94">
        <f t="shared" si="13"/>
        <v>405.91535999999996</v>
      </c>
      <c r="AD43" s="94">
        <f t="shared" si="14"/>
        <v>202.24553</v>
      </c>
    </row>
    <row r="44" spans="5:40" x14ac:dyDescent="0.25">
      <c r="H44" s="94">
        <f t="shared" si="15"/>
        <v>1731.8129699999997</v>
      </c>
      <c r="J44" s="94">
        <f t="shared" si="4"/>
        <v>1728.6002800000001</v>
      </c>
      <c r="L44" s="94">
        <f t="shared" si="5"/>
        <v>1765.7372</v>
      </c>
      <c r="N44" s="94">
        <f t="shared" si="6"/>
        <v>1839.5420400000003</v>
      </c>
      <c r="P44" s="94">
        <f t="shared" si="7"/>
        <v>1728.5363100000002</v>
      </c>
      <c r="R44" s="94">
        <f t="shared" si="8"/>
        <v>2001.2180599999999</v>
      </c>
      <c r="T44" s="94">
        <f t="shared" si="9"/>
        <v>2508.7944399999997</v>
      </c>
      <c r="V44" s="94">
        <f t="shared" si="10"/>
        <v>3083.3490099999999</v>
      </c>
      <c r="X44" s="94">
        <f t="shared" si="11"/>
        <v>3136.7415900000001</v>
      </c>
      <c r="Z44" s="94">
        <f t="shared" si="12"/>
        <v>4107.2794699999995</v>
      </c>
      <c r="AB44" s="94">
        <f t="shared" si="13"/>
        <v>4460.875</v>
      </c>
      <c r="AD44" s="94">
        <f t="shared" si="14"/>
        <v>2158.3676599999999</v>
      </c>
    </row>
    <row r="45" spans="5:40" x14ac:dyDescent="0.25">
      <c r="H45" s="94">
        <f t="shared" si="15"/>
        <v>0</v>
      </c>
      <c r="J45" s="94">
        <f t="shared" si="4"/>
        <v>0</v>
      </c>
      <c r="L45" s="94">
        <f t="shared" si="5"/>
        <v>0</v>
      </c>
      <c r="N45" s="94">
        <f t="shared" si="6"/>
        <v>0</v>
      </c>
      <c r="P45" s="94">
        <f t="shared" si="7"/>
        <v>0</v>
      </c>
      <c r="R45" s="94">
        <f t="shared" si="8"/>
        <v>0</v>
      </c>
      <c r="T45" s="94">
        <f t="shared" si="9"/>
        <v>0</v>
      </c>
      <c r="V45" s="94">
        <f t="shared" si="10"/>
        <v>0</v>
      </c>
      <c r="X45" s="94">
        <f t="shared" si="11"/>
        <v>0</v>
      </c>
      <c r="Z45" s="94">
        <f t="shared" si="12"/>
        <v>0</v>
      </c>
      <c r="AB45" s="94">
        <f t="shared" si="13"/>
        <v>0</v>
      </c>
      <c r="AD45" s="94">
        <f t="shared" si="14"/>
        <v>0</v>
      </c>
    </row>
    <row r="46" spans="5:40" x14ac:dyDescent="0.25">
      <c r="H46" s="94">
        <f t="shared" si="15"/>
        <v>1167.0046100000002</v>
      </c>
      <c r="J46" s="94">
        <f t="shared" si="4"/>
        <v>1176.37652</v>
      </c>
      <c r="L46" s="94">
        <f t="shared" si="5"/>
        <v>1239.4319100000002</v>
      </c>
      <c r="N46" s="94">
        <f t="shared" si="6"/>
        <v>1242.33061</v>
      </c>
      <c r="P46" s="94">
        <f t="shared" si="7"/>
        <v>1239.7678699999999</v>
      </c>
      <c r="R46" s="94">
        <f t="shared" si="8"/>
        <v>1588.1342399999999</v>
      </c>
      <c r="T46" s="94">
        <f t="shared" si="9"/>
        <v>1832.6583200000005</v>
      </c>
      <c r="V46" s="94">
        <f t="shared" si="10"/>
        <v>2165.6389800000006</v>
      </c>
      <c r="X46" s="94">
        <f t="shared" si="11"/>
        <v>2251.83313</v>
      </c>
      <c r="Z46" s="94">
        <f t="shared" si="12"/>
        <v>2280.2648400000003</v>
      </c>
      <c r="AB46" s="94">
        <f t="shared" si="13"/>
        <v>2548.9243799999995</v>
      </c>
      <c r="AD46" s="94">
        <f t="shared" si="14"/>
        <v>4299.0358799999995</v>
      </c>
    </row>
    <row r="47" spans="5:40" x14ac:dyDescent="0.25">
      <c r="H47" s="94">
        <f t="shared" si="15"/>
        <v>100.1648</v>
      </c>
      <c r="J47" s="94">
        <f t="shared" si="4"/>
        <v>92.151949999999999</v>
      </c>
      <c r="L47" s="94">
        <f t="shared" si="5"/>
        <v>41.688420000000001</v>
      </c>
      <c r="N47" s="94">
        <f t="shared" si="6"/>
        <v>151.19839999999999</v>
      </c>
      <c r="P47" s="94">
        <f t="shared" si="7"/>
        <v>57.663059999999994</v>
      </c>
      <c r="R47" s="94">
        <f t="shared" si="8"/>
        <v>69.83005</v>
      </c>
      <c r="T47" s="94">
        <f t="shared" si="9"/>
        <v>266.91773999999998</v>
      </c>
      <c r="V47" s="94">
        <f t="shared" si="10"/>
        <v>85.552480000000003</v>
      </c>
      <c r="X47" s="94">
        <f t="shared" si="11"/>
        <v>95.316670000000002</v>
      </c>
      <c r="Z47" s="94">
        <f t="shared" si="12"/>
        <v>119.39964999999999</v>
      </c>
      <c r="AB47" s="94">
        <f t="shared" si="13"/>
        <v>311.25749999999999</v>
      </c>
      <c r="AD47" s="94">
        <f t="shared" si="14"/>
        <v>270.50939</v>
      </c>
    </row>
    <row r="48" spans="5:40" x14ac:dyDescent="0.25">
      <c r="H48" s="94">
        <f t="shared" si="15"/>
        <v>0</v>
      </c>
      <c r="J48" s="94">
        <f t="shared" si="4"/>
        <v>0</v>
      </c>
      <c r="L48" s="94">
        <f t="shared" si="5"/>
        <v>0</v>
      </c>
      <c r="N48" s="94">
        <f t="shared" si="6"/>
        <v>0</v>
      </c>
      <c r="P48" s="94">
        <f t="shared" si="7"/>
        <v>0</v>
      </c>
      <c r="R48" s="94">
        <f t="shared" si="8"/>
        <v>0</v>
      </c>
      <c r="T48" s="94">
        <f t="shared" si="9"/>
        <v>0</v>
      </c>
      <c r="V48" s="94">
        <f t="shared" si="10"/>
        <v>0</v>
      </c>
      <c r="X48" s="94">
        <f t="shared" si="11"/>
        <v>0</v>
      </c>
      <c r="Z48" s="94">
        <f t="shared" si="12"/>
        <v>0</v>
      </c>
      <c r="AB48" s="94">
        <f t="shared" si="13"/>
        <v>0</v>
      </c>
      <c r="AD48" s="94">
        <f t="shared" si="14"/>
        <v>0</v>
      </c>
    </row>
    <row r="49" spans="8:30" x14ac:dyDescent="0.25">
      <c r="H49" s="94">
        <f t="shared" si="15"/>
        <v>464.64355999999952</v>
      </c>
      <c r="J49" s="94">
        <f t="shared" si="4"/>
        <v>460.07181000000008</v>
      </c>
      <c r="L49" s="94">
        <f t="shared" si="5"/>
        <v>484.61686999999978</v>
      </c>
      <c r="N49" s="94">
        <f t="shared" si="6"/>
        <v>446.0130300000003</v>
      </c>
      <c r="P49" s="94">
        <f t="shared" si="7"/>
        <v>431.10538000000031</v>
      </c>
      <c r="R49" s="94">
        <f t="shared" si="8"/>
        <v>343.25377000000003</v>
      </c>
      <c r="T49" s="94">
        <f t="shared" si="9"/>
        <v>409.21837999999923</v>
      </c>
      <c r="V49" s="94">
        <f t="shared" si="10"/>
        <v>832.15754999999922</v>
      </c>
      <c r="X49" s="94">
        <f t="shared" si="11"/>
        <v>789.59179000000006</v>
      </c>
      <c r="Z49" s="94">
        <f t="shared" si="12"/>
        <v>1707.6149799999992</v>
      </c>
      <c r="AB49" s="94">
        <f t="shared" si="13"/>
        <v>1600.6931200000006</v>
      </c>
      <c r="AD49" s="94">
        <f t="shared" si="14"/>
        <v>-2411.1776099999997</v>
      </c>
    </row>
    <row r="50" spans="8:30" x14ac:dyDescent="0.25">
      <c r="H50" s="94">
        <f t="shared" si="15"/>
        <v>0</v>
      </c>
      <c r="J50" s="94">
        <f t="shared" si="4"/>
        <v>0</v>
      </c>
      <c r="L50" s="94">
        <f t="shared" si="5"/>
        <v>0</v>
      </c>
      <c r="N50" s="94">
        <f t="shared" si="6"/>
        <v>0</v>
      </c>
      <c r="P50" s="94">
        <f t="shared" si="7"/>
        <v>0</v>
      </c>
      <c r="R50" s="94">
        <f t="shared" si="8"/>
        <v>0</v>
      </c>
      <c r="T50" s="94">
        <f t="shared" si="9"/>
        <v>0</v>
      </c>
      <c r="V50" s="94">
        <f t="shared" si="10"/>
        <v>0</v>
      </c>
      <c r="X50" s="94">
        <f t="shared" si="11"/>
        <v>0</v>
      </c>
      <c r="Z50" s="94">
        <f t="shared" si="12"/>
        <v>0</v>
      </c>
      <c r="AB50" s="94">
        <f t="shared" si="13"/>
        <v>0</v>
      </c>
      <c r="AD50" s="94">
        <f t="shared" si="14"/>
        <v>0</v>
      </c>
    </row>
    <row r="51" spans="8:30" x14ac:dyDescent="0.25">
      <c r="H51" s="94">
        <f t="shared" si="15"/>
        <v>31.08324</v>
      </c>
      <c r="J51" s="94">
        <f t="shared" si="4"/>
        <v>31.330369999999998</v>
      </c>
      <c r="L51" s="94">
        <f t="shared" si="5"/>
        <v>33.318629999999999</v>
      </c>
      <c r="N51" s="94">
        <f t="shared" si="6"/>
        <v>36.582889999999999</v>
      </c>
      <c r="P51" s="94">
        <f t="shared" si="7"/>
        <v>35.036910000000006</v>
      </c>
      <c r="R51" s="94">
        <f t="shared" si="8"/>
        <v>40.170679999999997</v>
      </c>
      <c r="T51" s="94">
        <f t="shared" si="9"/>
        <v>36.01182</v>
      </c>
      <c r="V51" s="94">
        <f t="shared" si="10"/>
        <v>35.436589999999995</v>
      </c>
      <c r="X51" s="94">
        <f t="shared" si="11"/>
        <v>38.596530000000001</v>
      </c>
      <c r="Z51" s="94">
        <f t="shared" si="12"/>
        <v>49.697470000000003</v>
      </c>
      <c r="AB51" s="94">
        <f t="shared" si="13"/>
        <v>47.040860000000002</v>
      </c>
      <c r="AD51" s="94">
        <f t="shared" si="14"/>
        <v>39.758470000000003</v>
      </c>
    </row>
    <row r="52" spans="8:30" x14ac:dyDescent="0.25">
      <c r="H52" s="94">
        <f t="shared" si="15"/>
        <v>106.61497</v>
      </c>
      <c r="J52" s="94">
        <f t="shared" si="4"/>
        <v>89.193029999999993</v>
      </c>
      <c r="L52" s="94">
        <f t="shared" si="5"/>
        <v>127.37639999999999</v>
      </c>
      <c r="N52" s="94">
        <f t="shared" si="6"/>
        <v>89.190359999999998</v>
      </c>
      <c r="P52" s="94">
        <f t="shared" si="7"/>
        <v>87.014350000000007</v>
      </c>
      <c r="R52" s="94">
        <f t="shared" si="8"/>
        <v>124.98963999999999</v>
      </c>
      <c r="T52" s="94">
        <f t="shared" si="9"/>
        <v>122.64789</v>
      </c>
      <c r="V52" s="94">
        <f t="shared" si="10"/>
        <v>162.34774999999999</v>
      </c>
      <c r="X52" s="94">
        <f t="shared" si="11"/>
        <v>129.85905</v>
      </c>
      <c r="Z52" s="94">
        <f t="shared" si="12"/>
        <v>116.83918</v>
      </c>
      <c r="AB52" s="94">
        <f t="shared" si="13"/>
        <v>568.69432999999992</v>
      </c>
      <c r="AD52" s="94">
        <f t="shared" si="14"/>
        <v>989.53747999999996</v>
      </c>
    </row>
    <row r="53" spans="8:30" x14ac:dyDescent="0.25">
      <c r="H53" s="94">
        <f t="shared" si="15"/>
        <v>0</v>
      </c>
      <c r="J53" s="94">
        <f t="shared" si="4"/>
        <v>0.39750000000000002</v>
      </c>
      <c r="L53" s="94">
        <f t="shared" si="5"/>
        <v>0.39750000000000002</v>
      </c>
      <c r="N53" s="94">
        <f t="shared" si="6"/>
        <v>0.39750000000000002</v>
      </c>
      <c r="P53" s="94">
        <f t="shared" si="7"/>
        <v>0.39750000000000002</v>
      </c>
      <c r="R53" s="94">
        <f t="shared" si="8"/>
        <v>0.39750000000000002</v>
      </c>
      <c r="T53" s="94">
        <f t="shared" si="9"/>
        <v>0.39750000000000002</v>
      </c>
      <c r="V53" s="94">
        <f t="shared" si="10"/>
        <v>0.39750000000000002</v>
      </c>
      <c r="X53" s="94">
        <f t="shared" si="11"/>
        <v>2.9375</v>
      </c>
      <c r="Z53" s="94">
        <f t="shared" si="12"/>
        <v>0</v>
      </c>
      <c r="AB53" s="94">
        <f t="shared" si="13"/>
        <v>1.5</v>
      </c>
      <c r="AD53" s="94">
        <f t="shared" si="14"/>
        <v>0</v>
      </c>
    </row>
    <row r="54" spans="8:30" x14ac:dyDescent="0.25">
      <c r="H54" s="94">
        <f t="shared" si="15"/>
        <v>10.685</v>
      </c>
      <c r="J54" s="94">
        <f t="shared" si="4"/>
        <v>0.7</v>
      </c>
      <c r="L54" s="94">
        <f t="shared" si="5"/>
        <v>9.4749999999999996</v>
      </c>
      <c r="N54" s="94">
        <f t="shared" si="6"/>
        <v>0</v>
      </c>
      <c r="P54" s="94">
        <f t="shared" si="7"/>
        <v>9.1829999999999998</v>
      </c>
      <c r="R54" s="94">
        <f t="shared" si="8"/>
        <v>8.51</v>
      </c>
      <c r="T54" s="94">
        <f t="shared" si="9"/>
        <v>9.9700000000000006</v>
      </c>
      <c r="V54" s="94">
        <f t="shared" si="10"/>
        <v>12.595000000000001</v>
      </c>
      <c r="X54" s="94">
        <f t="shared" si="11"/>
        <v>7.6</v>
      </c>
      <c r="Z54" s="94">
        <f t="shared" si="12"/>
        <v>8.940100000000001</v>
      </c>
      <c r="AB54" s="94">
        <f t="shared" si="13"/>
        <v>11.8</v>
      </c>
      <c r="AD54" s="94">
        <f t="shared" si="14"/>
        <v>0.13</v>
      </c>
    </row>
    <row r="55" spans="8:30" x14ac:dyDescent="0.25">
      <c r="H55" s="94">
        <f t="shared" si="15"/>
        <v>148.38320999999999</v>
      </c>
      <c r="J55" s="94">
        <f t="shared" si="4"/>
        <v>121.62089999999999</v>
      </c>
      <c r="L55" s="94">
        <f t="shared" si="5"/>
        <v>170.56752999999998</v>
      </c>
      <c r="N55" s="94">
        <f t="shared" si="6"/>
        <v>126.17074999999998</v>
      </c>
      <c r="P55" s="94">
        <f t="shared" si="7"/>
        <v>131.63176000000001</v>
      </c>
      <c r="R55" s="94">
        <f t="shared" si="8"/>
        <v>174.06781999999998</v>
      </c>
      <c r="T55" s="94">
        <f t="shared" si="9"/>
        <v>169.02721000000003</v>
      </c>
      <c r="V55" s="94">
        <f t="shared" si="10"/>
        <v>210.77683999999999</v>
      </c>
      <c r="X55" s="94">
        <f t="shared" si="11"/>
        <v>178.99307999999999</v>
      </c>
      <c r="Z55" s="94">
        <f t="shared" si="12"/>
        <v>175.47675000000001</v>
      </c>
      <c r="AB55" s="94">
        <f t="shared" si="13"/>
        <v>629.03518999999983</v>
      </c>
      <c r="AD55" s="94">
        <f t="shared" si="14"/>
        <v>1029.4259500000001</v>
      </c>
    </row>
    <row r="56" spans="8:30" x14ac:dyDescent="0.25">
      <c r="H56" s="94">
        <f t="shared" si="15"/>
        <v>0</v>
      </c>
      <c r="J56" s="94">
        <f t="shared" si="4"/>
        <v>0</v>
      </c>
      <c r="L56" s="94">
        <f t="shared" si="5"/>
        <v>0</v>
      </c>
      <c r="N56" s="94">
        <f t="shared" si="6"/>
        <v>0</v>
      </c>
      <c r="P56" s="94">
        <f t="shared" si="7"/>
        <v>0</v>
      </c>
      <c r="R56" s="94">
        <f t="shared" si="8"/>
        <v>0</v>
      </c>
      <c r="T56" s="94">
        <f t="shared" si="9"/>
        <v>0</v>
      </c>
      <c r="V56" s="94">
        <f t="shared" si="10"/>
        <v>0</v>
      </c>
      <c r="X56" s="94">
        <f t="shared" si="11"/>
        <v>0</v>
      </c>
      <c r="Z56" s="94">
        <f t="shared" si="12"/>
        <v>0</v>
      </c>
      <c r="AB56" s="94">
        <f t="shared" si="13"/>
        <v>0</v>
      </c>
      <c r="AD56" s="94">
        <f t="shared" si="14"/>
        <v>0</v>
      </c>
    </row>
    <row r="57" spans="8:30" x14ac:dyDescent="0.25">
      <c r="H57" s="94">
        <f t="shared" si="15"/>
        <v>316.26034999999956</v>
      </c>
      <c r="J57" s="94">
        <f t="shared" si="4"/>
        <v>338.45091000000008</v>
      </c>
      <c r="L57" s="94">
        <f t="shared" si="5"/>
        <v>314.0493399999998</v>
      </c>
      <c r="N57" s="94">
        <f t="shared" si="6"/>
        <v>319.8422800000003</v>
      </c>
      <c r="P57" s="94">
        <f t="shared" si="7"/>
        <v>299.47362000000032</v>
      </c>
      <c r="R57" s="94">
        <f t="shared" si="8"/>
        <v>169.18595000000005</v>
      </c>
      <c r="T57" s="94">
        <f t="shared" si="9"/>
        <v>240.1911699999992</v>
      </c>
      <c r="V57" s="94">
        <f t="shared" si="10"/>
        <v>621.38070999999923</v>
      </c>
      <c r="X57" s="94">
        <f t="shared" si="11"/>
        <v>610.5987100000001</v>
      </c>
      <c r="Z57" s="94">
        <f t="shared" si="12"/>
        <v>1532.1382299999991</v>
      </c>
      <c r="AB57" s="94">
        <f t="shared" si="13"/>
        <v>971.65793000000076</v>
      </c>
      <c r="AD57" s="94">
        <f t="shared" si="14"/>
        <v>-3440.6035599999996</v>
      </c>
    </row>
    <row r="58" spans="8:30" x14ac:dyDescent="0.25">
      <c r="H58" s="94">
        <f t="shared" si="15"/>
        <v>0</v>
      </c>
      <c r="J58" s="94">
        <f t="shared" si="4"/>
        <v>0</v>
      </c>
      <c r="L58" s="94">
        <f t="shared" si="5"/>
        <v>0</v>
      </c>
      <c r="N58" s="94">
        <f t="shared" si="6"/>
        <v>0</v>
      </c>
      <c r="P58" s="94">
        <f t="shared" si="7"/>
        <v>0</v>
      </c>
      <c r="R58" s="94">
        <f t="shared" si="8"/>
        <v>0</v>
      </c>
      <c r="T58" s="94">
        <f t="shared" si="9"/>
        <v>0</v>
      </c>
      <c r="V58" s="94">
        <f t="shared" si="10"/>
        <v>0</v>
      </c>
      <c r="X58" s="94">
        <f t="shared" si="11"/>
        <v>0</v>
      </c>
      <c r="Z58" s="94">
        <f t="shared" si="12"/>
        <v>0</v>
      </c>
      <c r="AB58" s="94">
        <f t="shared" si="13"/>
        <v>0</v>
      </c>
      <c r="AD58" s="94">
        <f t="shared" si="14"/>
        <v>0</v>
      </c>
    </row>
    <row r="59" spans="8:30" x14ac:dyDescent="0.25">
      <c r="H59" s="94">
        <f t="shared" si="15"/>
        <v>1.3818599999999999</v>
      </c>
      <c r="J59" s="94">
        <f t="shared" si="4"/>
        <v>0.66063000000000005</v>
      </c>
      <c r="L59" s="94">
        <f t="shared" si="5"/>
        <v>1.16625</v>
      </c>
      <c r="N59" s="94">
        <f t="shared" si="6"/>
        <v>0.85047000000000006</v>
      </c>
      <c r="P59" s="94">
        <f t="shared" si="7"/>
        <v>0.50348999999999999</v>
      </c>
      <c r="R59" s="94">
        <f t="shared" si="8"/>
        <v>1.01373</v>
      </c>
      <c r="T59" s="94">
        <f t="shared" si="9"/>
        <v>13.185709999999998</v>
      </c>
      <c r="V59" s="94">
        <f t="shared" si="10"/>
        <v>22.570900000000002</v>
      </c>
      <c r="X59" s="94">
        <f t="shared" si="11"/>
        <v>1.3366600000000002</v>
      </c>
      <c r="Z59" s="94">
        <f t="shared" si="12"/>
        <v>0.88200000000000001</v>
      </c>
      <c r="AB59" s="94">
        <f t="shared" si="13"/>
        <v>1.0890199999999999</v>
      </c>
      <c r="AD59" s="94">
        <f t="shared" si="14"/>
        <v>1.42808</v>
      </c>
    </row>
    <row r="60" spans="8:30" x14ac:dyDescent="0.25">
      <c r="H60" s="94">
        <f t="shared" si="15"/>
        <v>-8.6999999999999994E-2</v>
      </c>
      <c r="J60" s="94">
        <f t="shared" si="4"/>
        <v>-9.1000000000000011E-4</v>
      </c>
      <c r="L60" s="94">
        <f t="shared" si="5"/>
        <v>-1.4386300000000001</v>
      </c>
      <c r="N60" s="94">
        <f t="shared" si="6"/>
        <v>-2.3962899999999934</v>
      </c>
      <c r="P60" s="94">
        <f t="shared" si="7"/>
        <v>-0.69176000000000004</v>
      </c>
      <c r="R60" s="94">
        <f t="shared" si="8"/>
        <v>-3.3364099999999866</v>
      </c>
      <c r="T60" s="94">
        <f t="shared" si="9"/>
        <v>-0.72789999999999999</v>
      </c>
      <c r="V60" s="94">
        <f t="shared" si="10"/>
        <v>-11.060979999999999</v>
      </c>
      <c r="X60" s="94">
        <f t="shared" si="11"/>
        <v>-1.29626</v>
      </c>
      <c r="Z60" s="94">
        <f t="shared" si="12"/>
        <v>-2.8749999999999996</v>
      </c>
      <c r="AB60" s="94">
        <f t="shared" si="13"/>
        <v>-6.9568000000000003</v>
      </c>
      <c r="AD60" s="94">
        <f t="shared" si="14"/>
        <v>-12.029570000000001</v>
      </c>
    </row>
    <row r="61" spans="8:30" x14ac:dyDescent="0.25">
      <c r="H61" s="94">
        <f t="shared" si="15"/>
        <v>2.9999999999999997E-5</v>
      </c>
      <c r="J61" s="94">
        <f t="shared" si="4"/>
        <v>1.5200000000000001E-3</v>
      </c>
      <c r="L61" s="94">
        <f t="shared" si="5"/>
        <v>1.1E-4</v>
      </c>
      <c r="N61" s="94">
        <f t="shared" si="6"/>
        <v>102.12742999999999</v>
      </c>
      <c r="P61" s="94">
        <f t="shared" si="7"/>
        <v>5.0000000000000002E-5</v>
      </c>
      <c r="R61" s="94">
        <f t="shared" si="8"/>
        <v>77.913210000000007</v>
      </c>
      <c r="T61" s="94">
        <f t="shared" si="9"/>
        <v>8.3000000000000001E-4</v>
      </c>
      <c r="V61" s="94">
        <f t="shared" si="10"/>
        <v>5.9999999999999995E-5</v>
      </c>
      <c r="X61" s="94">
        <f t="shared" si="11"/>
        <v>4.0000000000000003E-5</v>
      </c>
      <c r="Z61" s="94">
        <f t="shared" si="12"/>
        <v>1.1E-4</v>
      </c>
      <c r="AB61" s="94">
        <f t="shared" si="13"/>
        <v>5.4000000000000001E-4</v>
      </c>
      <c r="AD61" s="94">
        <f t="shared" si="14"/>
        <v>6.0999999999999997E-4</v>
      </c>
    </row>
    <row r="62" spans="8:30" x14ac:dyDescent="0.25">
      <c r="H62" s="94">
        <f t="shared" si="15"/>
        <v>0</v>
      </c>
      <c r="J62" s="94">
        <f t="shared" si="4"/>
        <v>0</v>
      </c>
      <c r="L62" s="94">
        <f t="shared" si="5"/>
        <v>0</v>
      </c>
      <c r="N62" s="94">
        <f t="shared" si="6"/>
        <v>0</v>
      </c>
      <c r="P62" s="94">
        <f t="shared" si="7"/>
        <v>0</v>
      </c>
      <c r="R62" s="94">
        <f t="shared" si="8"/>
        <v>0</v>
      </c>
      <c r="T62" s="94">
        <f t="shared" si="9"/>
        <v>0</v>
      </c>
      <c r="V62" s="94">
        <f t="shared" si="10"/>
        <v>0</v>
      </c>
      <c r="X62" s="94">
        <f t="shared" si="11"/>
        <v>0</v>
      </c>
      <c r="Z62" s="94">
        <f t="shared" si="12"/>
        <v>0</v>
      </c>
      <c r="AB62" s="94">
        <f t="shared" si="13"/>
        <v>0</v>
      </c>
      <c r="AD62" s="94">
        <f t="shared" si="14"/>
        <v>0</v>
      </c>
    </row>
    <row r="63" spans="8:30" x14ac:dyDescent="0.25">
      <c r="H63" s="94">
        <f t="shared" si="15"/>
        <v>314.96545999999955</v>
      </c>
      <c r="J63" s="94">
        <f t="shared" si="4"/>
        <v>337.78967</v>
      </c>
      <c r="L63" s="94">
        <f t="shared" si="5"/>
        <v>314.32160999999979</v>
      </c>
      <c r="N63" s="94">
        <f t="shared" si="6"/>
        <v>219.26067000000035</v>
      </c>
      <c r="P63" s="94">
        <f t="shared" si="7"/>
        <v>299.66184000000032</v>
      </c>
      <c r="R63" s="94">
        <f t="shared" si="8"/>
        <v>93.595420000000033</v>
      </c>
      <c r="T63" s="94">
        <f t="shared" si="9"/>
        <v>227.7325299999992</v>
      </c>
      <c r="V63" s="94">
        <f t="shared" si="10"/>
        <v>609.87072999999918</v>
      </c>
      <c r="X63" s="94">
        <f t="shared" si="11"/>
        <v>610.55826999999999</v>
      </c>
      <c r="Z63" s="94">
        <f t="shared" si="12"/>
        <v>1534.1311199999991</v>
      </c>
      <c r="AB63" s="94">
        <f t="shared" si="13"/>
        <v>977.5251700000008</v>
      </c>
      <c r="AD63" s="94">
        <f t="shared" si="14"/>
        <v>-3430.0026799999996</v>
      </c>
    </row>
    <row r="64" spans="8:30" x14ac:dyDescent="0.25">
      <c r="H64" s="94">
        <f t="shared" si="15"/>
        <v>0</v>
      </c>
      <c r="J64" s="94">
        <f t="shared" si="4"/>
        <v>0</v>
      </c>
      <c r="L64" s="94">
        <f t="shared" si="5"/>
        <v>0</v>
      </c>
      <c r="N64" s="94">
        <f t="shared" si="6"/>
        <v>0</v>
      </c>
      <c r="P64" s="94">
        <f t="shared" si="7"/>
        <v>0</v>
      </c>
      <c r="R64" s="94">
        <f t="shared" si="8"/>
        <v>0</v>
      </c>
      <c r="T64" s="94">
        <f t="shared" si="9"/>
        <v>0</v>
      </c>
      <c r="V64" s="94">
        <f t="shared" si="10"/>
        <v>0</v>
      </c>
      <c r="X64" s="94">
        <f t="shared" si="11"/>
        <v>0</v>
      </c>
      <c r="Z64" s="94">
        <f t="shared" si="12"/>
        <v>0</v>
      </c>
      <c r="AB64" s="94">
        <f t="shared" si="13"/>
        <v>0</v>
      </c>
      <c r="AD64" s="94">
        <f t="shared" si="14"/>
        <v>0</v>
      </c>
    </row>
    <row r="65" spans="8:30" x14ac:dyDescent="0.25">
      <c r="H65" s="94">
        <f t="shared" si="15"/>
        <v>47.244818999999929</v>
      </c>
      <c r="J65" s="94">
        <f t="shared" si="4"/>
        <v>50.668450499999999</v>
      </c>
      <c r="L65" s="94">
        <f t="shared" si="5"/>
        <v>47.148241499999969</v>
      </c>
      <c r="N65" s="94">
        <f t="shared" si="6"/>
        <v>32.889100500000048</v>
      </c>
      <c r="P65" s="94">
        <f t="shared" si="7"/>
        <v>44.949276000000047</v>
      </c>
      <c r="R65" s="94">
        <f t="shared" si="8"/>
        <v>14.039313000000005</v>
      </c>
      <c r="T65" s="94">
        <f t="shared" si="9"/>
        <v>34.159879499999882</v>
      </c>
      <c r="V65" s="94">
        <f t="shared" si="10"/>
        <v>91.480609499999872</v>
      </c>
      <c r="X65" s="94">
        <f t="shared" si="11"/>
        <v>91.58374049999999</v>
      </c>
      <c r="Z65" s="94">
        <f t="shared" si="12"/>
        <v>230.11966799999985</v>
      </c>
      <c r="AB65" s="94">
        <f t="shared" si="13"/>
        <v>146.6287755000001</v>
      </c>
      <c r="AD65" s="94">
        <f t="shared" si="14"/>
        <v>-514.50040199999989</v>
      </c>
    </row>
    <row r="66" spans="8:30" x14ac:dyDescent="0.25">
      <c r="H66" s="94">
        <f t="shared" si="15"/>
        <v>66.930160249999901</v>
      </c>
      <c r="J66" s="94">
        <f t="shared" si="4"/>
        <v>71.780304874999999</v>
      </c>
      <c r="L66" s="94">
        <f t="shared" si="5"/>
        <v>66.793342124999953</v>
      </c>
      <c r="N66" s="94">
        <f t="shared" si="6"/>
        <v>46.592892375000076</v>
      </c>
      <c r="P66" s="94">
        <f t="shared" si="7"/>
        <v>63.678141000000068</v>
      </c>
      <c r="R66" s="94">
        <f t="shared" si="8"/>
        <v>19.889026750000006</v>
      </c>
      <c r="T66" s="94">
        <f t="shared" si="9"/>
        <v>48.393162624999832</v>
      </c>
      <c r="V66" s="94">
        <f t="shared" si="10"/>
        <v>129.59753012499982</v>
      </c>
      <c r="X66" s="94">
        <f t="shared" si="11"/>
        <v>129.743632375</v>
      </c>
      <c r="Z66" s="94">
        <f t="shared" si="12"/>
        <v>326.00286299999982</v>
      </c>
      <c r="AB66" s="94">
        <f t="shared" si="13"/>
        <v>207.72409862500018</v>
      </c>
      <c r="AD66" s="94">
        <f t="shared" si="14"/>
        <v>-728.87556949999998</v>
      </c>
    </row>
    <row r="67" spans="8:30" x14ac:dyDescent="0.25">
      <c r="H67" s="94">
        <f t="shared" si="15"/>
        <v>0</v>
      </c>
      <c r="J67" s="94">
        <f t="shared" si="4"/>
        <v>0</v>
      </c>
      <c r="L67" s="94">
        <f t="shared" si="5"/>
        <v>0</v>
      </c>
      <c r="N67" s="94">
        <f t="shared" si="6"/>
        <v>0</v>
      </c>
      <c r="P67" s="94">
        <f t="shared" si="7"/>
        <v>0</v>
      </c>
      <c r="R67" s="94">
        <f t="shared" si="8"/>
        <v>0</v>
      </c>
      <c r="T67" s="94">
        <f t="shared" si="9"/>
        <v>0</v>
      </c>
      <c r="V67" s="94">
        <f t="shared" si="10"/>
        <v>0</v>
      </c>
      <c r="X67" s="94">
        <f t="shared" si="11"/>
        <v>0</v>
      </c>
      <c r="Z67" s="94">
        <f t="shared" si="12"/>
        <v>0</v>
      </c>
      <c r="AB67" s="94">
        <f t="shared" si="13"/>
        <v>0</v>
      </c>
      <c r="AD67" s="94">
        <f t="shared" si="14"/>
        <v>0</v>
      </c>
    </row>
    <row r="68" spans="8:30" x14ac:dyDescent="0.25">
      <c r="H68" s="94">
        <f t="shared" si="15"/>
        <v>200.79048074999969</v>
      </c>
      <c r="J68" s="94">
        <f t="shared" si="4"/>
        <v>215.34091462499998</v>
      </c>
      <c r="L68" s="94">
        <f t="shared" si="5"/>
        <v>200.38002637499986</v>
      </c>
      <c r="N68" s="94">
        <f t="shared" si="6"/>
        <v>139.77867712500023</v>
      </c>
      <c r="P68" s="94">
        <f t="shared" si="7"/>
        <v>191.0344230000002</v>
      </c>
      <c r="R68" s="94">
        <f t="shared" si="8"/>
        <v>59.667080250000019</v>
      </c>
      <c r="T68" s="94">
        <f t="shared" si="9"/>
        <v>145.1794878749995</v>
      </c>
      <c r="V68" s="94">
        <f t="shared" si="10"/>
        <v>388.79259037499946</v>
      </c>
      <c r="X68" s="94">
        <f t="shared" si="11"/>
        <v>389.23089712500001</v>
      </c>
      <c r="Z68" s="94">
        <f t="shared" si="12"/>
        <v>978.00858899999946</v>
      </c>
      <c r="AB68" s="94">
        <f t="shared" si="13"/>
        <v>623.1722958750006</v>
      </c>
      <c r="AD68" s="94">
        <f t="shared" si="14"/>
        <v>-2186.6267084999999</v>
      </c>
    </row>
    <row r="69" spans="8:30" x14ac:dyDescent="0.25">
      <c r="H69" s="94">
        <f t="shared" si="15"/>
        <v>0</v>
      </c>
      <c r="J69" s="94">
        <f t="shared" si="4"/>
        <v>0</v>
      </c>
      <c r="L69" s="94">
        <f t="shared" si="5"/>
        <v>0</v>
      </c>
      <c r="N69" s="94">
        <f t="shared" si="6"/>
        <v>0</v>
      </c>
      <c r="P69" s="94">
        <f t="shared" si="7"/>
        <v>0</v>
      </c>
      <c r="R69" s="94">
        <f t="shared" si="8"/>
        <v>0</v>
      </c>
      <c r="T69" s="94">
        <f t="shared" si="9"/>
        <v>0</v>
      </c>
      <c r="V69" s="94">
        <f t="shared" si="10"/>
        <v>0</v>
      </c>
      <c r="X69" s="94">
        <f t="shared" si="11"/>
        <v>0</v>
      </c>
      <c r="Z69" s="94">
        <f t="shared" si="12"/>
        <v>0</v>
      </c>
      <c r="AB69" s="94">
        <f t="shared" si="13"/>
        <v>0</v>
      </c>
      <c r="AD69" s="94">
        <f t="shared" si="14"/>
        <v>0</v>
      </c>
    </row>
    <row r="70" spans="8:30" x14ac:dyDescent="0.25">
      <c r="H70" s="94">
        <f t="shared" si="15"/>
        <v>318.7206409999996</v>
      </c>
      <c r="J70" s="94">
        <f t="shared" si="4"/>
        <v>338.1212195</v>
      </c>
      <c r="L70" s="94">
        <f t="shared" si="5"/>
        <v>318.17336849999981</v>
      </c>
      <c r="N70" s="94">
        <f t="shared" si="6"/>
        <v>237.37156950000031</v>
      </c>
      <c r="P70" s="94">
        <f t="shared" si="7"/>
        <v>305.71256400000027</v>
      </c>
      <c r="R70" s="94">
        <f t="shared" si="8"/>
        <v>130.55610700000003</v>
      </c>
      <c r="T70" s="94">
        <f t="shared" si="9"/>
        <v>244.57265049999933</v>
      </c>
      <c r="V70" s="94">
        <f t="shared" si="10"/>
        <v>569.39012049999928</v>
      </c>
      <c r="X70" s="94">
        <f t="shared" si="11"/>
        <v>569.97452950000002</v>
      </c>
      <c r="Z70" s="94">
        <f t="shared" si="12"/>
        <v>1355.0114519999993</v>
      </c>
      <c r="AB70" s="94">
        <f t="shared" si="13"/>
        <v>881.89639450000072</v>
      </c>
      <c r="AD70" s="94">
        <f t="shared" si="14"/>
        <v>-2864.5022779999999</v>
      </c>
    </row>
    <row r="71" spans="8:30" x14ac:dyDescent="0.25">
      <c r="H71" s="94">
        <f t="shared" si="15"/>
        <v>0</v>
      </c>
      <c r="J71" s="94">
        <f t="shared" si="4"/>
        <v>0</v>
      </c>
      <c r="L71" s="94">
        <f t="shared" si="5"/>
        <v>0</v>
      </c>
      <c r="N71" s="94">
        <f t="shared" si="6"/>
        <v>0</v>
      </c>
      <c r="P71" s="94">
        <f t="shared" si="7"/>
        <v>0</v>
      </c>
      <c r="R71" s="94">
        <f t="shared" si="8"/>
        <v>0</v>
      </c>
      <c r="T71" s="94">
        <f t="shared" si="9"/>
        <v>0</v>
      </c>
      <c r="V71" s="94">
        <f t="shared" si="10"/>
        <v>0</v>
      </c>
      <c r="X71" s="94">
        <f t="shared" si="11"/>
        <v>0</v>
      </c>
      <c r="Z71" s="94">
        <f t="shared" si="12"/>
        <v>0</v>
      </c>
      <c r="AB71" s="94">
        <f t="shared" si="13"/>
        <v>0</v>
      </c>
      <c r="AD71" s="94">
        <f t="shared" si="14"/>
        <v>0</v>
      </c>
    </row>
    <row r="72" spans="8:30" x14ac:dyDescent="0.25">
      <c r="H72" s="94">
        <f t="shared" si="15"/>
        <v>1584.0394499999998</v>
      </c>
      <c r="J72" s="94">
        <f t="shared" si="4"/>
        <v>1572.3457700000001</v>
      </c>
      <c r="L72" s="94">
        <f t="shared" si="5"/>
        <v>1656.5038300000001</v>
      </c>
      <c r="N72" s="94">
        <f t="shared" si="6"/>
        <v>1657.1496100000002</v>
      </c>
      <c r="P72" s="94">
        <f t="shared" si="7"/>
        <v>1535.7092500000001</v>
      </c>
      <c r="R72" s="94">
        <f t="shared" si="8"/>
        <v>1901.90346</v>
      </c>
      <c r="T72" s="94">
        <f t="shared" si="9"/>
        <v>2367.8686699999998</v>
      </c>
      <c r="V72" s="94">
        <f t="shared" si="10"/>
        <v>2947.0764300000001</v>
      </c>
      <c r="X72" s="94">
        <f t="shared" si="11"/>
        <v>2975.65283</v>
      </c>
      <c r="Z72" s="94">
        <f t="shared" si="12"/>
        <v>3876.8332799999998</v>
      </c>
      <c r="AB72" s="94">
        <f t="shared" si="13"/>
        <v>4054.95964</v>
      </c>
      <c r="AD72" s="94">
        <f t="shared" si="14"/>
        <v>1956.12213</v>
      </c>
    </row>
    <row r="73" spans="8:30" x14ac:dyDescent="0.25">
      <c r="H73" s="94">
        <f t="shared" si="15"/>
        <v>147.77351999999999</v>
      </c>
      <c r="J73" s="94">
        <f t="shared" si="4"/>
        <v>156.25451000000001</v>
      </c>
      <c r="L73" s="94">
        <f t="shared" si="5"/>
        <v>109.23336999999998</v>
      </c>
      <c r="N73" s="94">
        <f t="shared" si="6"/>
        <v>182.39243000000005</v>
      </c>
      <c r="P73" s="94">
        <f t="shared" si="7"/>
        <v>192.82705999999999</v>
      </c>
      <c r="R73" s="94">
        <f t="shared" si="8"/>
        <v>99.314599999999999</v>
      </c>
      <c r="T73" s="94">
        <f t="shared" si="9"/>
        <v>140.92577000000003</v>
      </c>
      <c r="V73" s="94">
        <f t="shared" si="10"/>
        <v>136.27257999999998</v>
      </c>
      <c r="X73" s="94">
        <f t="shared" si="11"/>
        <v>161.08876000000001</v>
      </c>
      <c r="Z73" s="94">
        <f t="shared" si="12"/>
        <v>230.44619</v>
      </c>
      <c r="AB73" s="94">
        <f t="shared" si="13"/>
        <v>405.91535999999996</v>
      </c>
      <c r="AD73" s="94">
        <f t="shared" si="14"/>
        <v>202.24553</v>
      </c>
    </row>
    <row r="74" spans="8:30" x14ac:dyDescent="0.25">
      <c r="H74" s="94">
        <f t="shared" si="15"/>
        <v>1731.8129699999997</v>
      </c>
      <c r="J74" s="94">
        <f t="shared" si="4"/>
        <v>1728.6002800000001</v>
      </c>
      <c r="L74" s="94">
        <f t="shared" si="5"/>
        <v>1765.7372</v>
      </c>
      <c r="N74" s="94">
        <f t="shared" si="6"/>
        <v>1839.5420400000003</v>
      </c>
      <c r="P74" s="94">
        <f t="shared" si="7"/>
        <v>1728.5363100000002</v>
      </c>
      <c r="R74" s="94">
        <f t="shared" si="8"/>
        <v>2001.2180599999999</v>
      </c>
      <c r="T74" s="94">
        <f t="shared" si="9"/>
        <v>2508.7944399999997</v>
      </c>
      <c r="V74" s="94">
        <f t="shared" si="10"/>
        <v>3083.3490099999999</v>
      </c>
      <c r="X74" s="94">
        <f t="shared" si="11"/>
        <v>3136.7415900000001</v>
      </c>
      <c r="Z74" s="94">
        <f t="shared" si="12"/>
        <v>4107.2794699999995</v>
      </c>
      <c r="AB74" s="94">
        <f t="shared" si="13"/>
        <v>4460.875</v>
      </c>
      <c r="AD74" s="94">
        <f t="shared" si="14"/>
        <v>2158.3676599999999</v>
      </c>
    </row>
    <row r="75" spans="8:30" x14ac:dyDescent="0.25">
      <c r="H75" s="94">
        <f t="shared" si="15"/>
        <v>0</v>
      </c>
      <c r="J75" s="94">
        <f t="shared" si="4"/>
        <v>0</v>
      </c>
      <c r="L75" s="94">
        <f t="shared" si="5"/>
        <v>0</v>
      </c>
      <c r="N75" s="94">
        <f t="shared" si="6"/>
        <v>0</v>
      </c>
      <c r="P75" s="94">
        <f t="shared" si="7"/>
        <v>0</v>
      </c>
      <c r="R75" s="94">
        <f t="shared" si="8"/>
        <v>0</v>
      </c>
      <c r="T75" s="94">
        <f t="shared" si="9"/>
        <v>0</v>
      </c>
      <c r="V75" s="94">
        <f t="shared" si="10"/>
        <v>0</v>
      </c>
      <c r="X75" s="94">
        <f t="shared" si="11"/>
        <v>0</v>
      </c>
      <c r="Z75" s="94">
        <f t="shared" si="12"/>
        <v>0</v>
      </c>
      <c r="AB75" s="94">
        <f t="shared" si="13"/>
        <v>0</v>
      </c>
      <c r="AD75" s="94">
        <f t="shared" si="14"/>
        <v>0</v>
      </c>
    </row>
    <row r="76" spans="8:30" x14ac:dyDescent="0.25">
      <c r="H76" s="94">
        <f t="shared" si="15"/>
        <v>1167.0046100000002</v>
      </c>
      <c r="J76" s="94">
        <f t="shared" si="4"/>
        <v>1176.37652</v>
      </c>
      <c r="L76" s="94">
        <f t="shared" si="5"/>
        <v>1239.4319100000002</v>
      </c>
      <c r="N76" s="94">
        <f t="shared" si="6"/>
        <v>1242.33061</v>
      </c>
      <c r="P76" s="94">
        <f t="shared" si="7"/>
        <v>1239.7678699999999</v>
      </c>
      <c r="R76" s="94">
        <f t="shared" si="8"/>
        <v>1588.1342399999999</v>
      </c>
      <c r="T76" s="94">
        <f t="shared" si="9"/>
        <v>1832.6583200000005</v>
      </c>
      <c r="V76" s="94">
        <f t="shared" si="10"/>
        <v>2165.6389800000006</v>
      </c>
      <c r="X76" s="94">
        <f t="shared" si="11"/>
        <v>2251.83313</v>
      </c>
      <c r="Z76" s="94">
        <f t="shared" si="12"/>
        <v>2280.2648400000003</v>
      </c>
      <c r="AB76" s="94">
        <f t="shared" si="13"/>
        <v>2548.9243799999995</v>
      </c>
      <c r="AD76" s="94">
        <f t="shared" si="14"/>
        <v>4299.0358799999995</v>
      </c>
    </row>
    <row r="77" spans="8:30" x14ac:dyDescent="0.25">
      <c r="H77" s="94">
        <f t="shared" si="15"/>
        <v>100.1648</v>
      </c>
      <c r="J77" s="94">
        <f t="shared" si="4"/>
        <v>92.151949999999999</v>
      </c>
      <c r="L77" s="94">
        <f t="shared" si="5"/>
        <v>41.688420000000001</v>
      </c>
      <c r="N77" s="94">
        <f t="shared" si="6"/>
        <v>151.19839999999999</v>
      </c>
      <c r="P77" s="94">
        <f t="shared" si="7"/>
        <v>57.663059999999994</v>
      </c>
      <c r="R77" s="94">
        <f t="shared" si="8"/>
        <v>69.83005</v>
      </c>
      <c r="T77" s="94">
        <f t="shared" si="9"/>
        <v>266.91773999999998</v>
      </c>
      <c r="V77" s="94">
        <f t="shared" si="10"/>
        <v>85.552480000000003</v>
      </c>
      <c r="X77" s="94">
        <f t="shared" si="11"/>
        <v>95.316670000000002</v>
      </c>
      <c r="Z77" s="94">
        <f t="shared" si="12"/>
        <v>119.39964999999999</v>
      </c>
      <c r="AB77" s="94">
        <f t="shared" si="13"/>
        <v>311.25749999999999</v>
      </c>
      <c r="AD77" s="94">
        <f t="shared" si="14"/>
        <v>270.50939</v>
      </c>
    </row>
    <row r="78" spans="8:30" x14ac:dyDescent="0.25">
      <c r="H78" s="94">
        <f t="shared" si="15"/>
        <v>0</v>
      </c>
      <c r="J78" s="94">
        <f t="shared" si="4"/>
        <v>0</v>
      </c>
      <c r="L78" s="94">
        <f t="shared" si="5"/>
        <v>0</v>
      </c>
      <c r="N78" s="94">
        <f t="shared" si="6"/>
        <v>0</v>
      </c>
      <c r="P78" s="94">
        <f t="shared" si="7"/>
        <v>0</v>
      </c>
      <c r="R78" s="94">
        <f t="shared" si="8"/>
        <v>0</v>
      </c>
      <c r="T78" s="94">
        <f t="shared" si="9"/>
        <v>0</v>
      </c>
      <c r="V78" s="94">
        <f t="shared" si="10"/>
        <v>0</v>
      </c>
      <c r="X78" s="94">
        <f t="shared" si="11"/>
        <v>0</v>
      </c>
      <c r="Z78" s="94">
        <f t="shared" si="12"/>
        <v>0</v>
      </c>
      <c r="AB78" s="94">
        <f t="shared" si="13"/>
        <v>0</v>
      </c>
      <c r="AD78" s="94">
        <f t="shared" si="14"/>
        <v>0</v>
      </c>
    </row>
    <row r="79" spans="8:30" x14ac:dyDescent="0.25">
      <c r="H79" s="94">
        <f t="shared" si="15"/>
        <v>464.64355999999952</v>
      </c>
      <c r="J79" s="94">
        <f t="shared" si="4"/>
        <v>460.07181000000008</v>
      </c>
      <c r="L79" s="94">
        <f t="shared" si="5"/>
        <v>484.61686999999978</v>
      </c>
      <c r="N79" s="94">
        <f t="shared" si="6"/>
        <v>446.0130300000003</v>
      </c>
      <c r="P79" s="94">
        <f t="shared" si="7"/>
        <v>431.10538000000031</v>
      </c>
      <c r="R79" s="94">
        <f t="shared" si="8"/>
        <v>343.25377000000003</v>
      </c>
      <c r="T79" s="94">
        <f t="shared" si="9"/>
        <v>409.21837999999923</v>
      </c>
      <c r="V79" s="94">
        <f t="shared" si="10"/>
        <v>832.15754999999922</v>
      </c>
      <c r="X79" s="94">
        <f t="shared" si="11"/>
        <v>789.59179000000006</v>
      </c>
      <c r="Z79" s="94">
        <f t="shared" si="12"/>
        <v>1707.6149799999992</v>
      </c>
      <c r="AB79" s="94">
        <f t="shared" si="13"/>
        <v>1600.6931200000006</v>
      </c>
      <c r="AD79" s="94">
        <f t="shared" si="14"/>
        <v>-2411.1776099999997</v>
      </c>
    </row>
    <row r="80" spans="8:30" x14ac:dyDescent="0.25">
      <c r="H80" s="94">
        <f t="shared" si="15"/>
        <v>0</v>
      </c>
      <c r="J80" s="94">
        <f t="shared" si="4"/>
        <v>0</v>
      </c>
      <c r="L80" s="94">
        <f t="shared" si="5"/>
        <v>0</v>
      </c>
      <c r="N80" s="94">
        <f t="shared" si="6"/>
        <v>0</v>
      </c>
      <c r="P80" s="94">
        <f t="shared" si="7"/>
        <v>0</v>
      </c>
      <c r="R80" s="94">
        <f t="shared" si="8"/>
        <v>0</v>
      </c>
      <c r="T80" s="94">
        <f t="shared" si="9"/>
        <v>0</v>
      </c>
      <c r="V80" s="94">
        <f t="shared" si="10"/>
        <v>0</v>
      </c>
      <c r="X80" s="94">
        <f t="shared" si="11"/>
        <v>0</v>
      </c>
      <c r="Z80" s="94">
        <f t="shared" si="12"/>
        <v>0</v>
      </c>
      <c r="AB80" s="94">
        <f t="shared" si="13"/>
        <v>0</v>
      </c>
      <c r="AD80" s="94">
        <f t="shared" si="14"/>
        <v>0</v>
      </c>
    </row>
    <row r="81" spans="8:30" x14ac:dyDescent="0.25">
      <c r="H81" s="94">
        <f t="shared" si="15"/>
        <v>31.08324</v>
      </c>
      <c r="J81" s="94">
        <f t="shared" si="4"/>
        <v>31.330369999999998</v>
      </c>
      <c r="L81" s="94">
        <f t="shared" si="5"/>
        <v>33.318629999999999</v>
      </c>
      <c r="N81" s="94">
        <f t="shared" si="6"/>
        <v>36.582889999999999</v>
      </c>
      <c r="P81" s="94">
        <f t="shared" si="7"/>
        <v>35.036910000000006</v>
      </c>
      <c r="R81" s="94">
        <f t="shared" si="8"/>
        <v>40.170679999999997</v>
      </c>
      <c r="T81" s="94">
        <f t="shared" si="9"/>
        <v>36.01182</v>
      </c>
      <c r="V81" s="94">
        <f t="shared" si="10"/>
        <v>35.436589999999995</v>
      </c>
      <c r="X81" s="94">
        <f t="shared" si="11"/>
        <v>38.596530000000001</v>
      </c>
      <c r="Z81" s="94">
        <f t="shared" si="12"/>
        <v>49.697470000000003</v>
      </c>
      <c r="AB81" s="94">
        <f t="shared" si="13"/>
        <v>47.040860000000002</v>
      </c>
      <c r="AD81" s="94">
        <f t="shared" si="14"/>
        <v>39.758470000000003</v>
      </c>
    </row>
    <row r="82" spans="8:30" x14ac:dyDescent="0.25">
      <c r="H82" s="94">
        <f t="shared" si="15"/>
        <v>106.61497</v>
      </c>
      <c r="J82" s="94">
        <f t="shared" si="4"/>
        <v>89.193029999999993</v>
      </c>
      <c r="L82" s="94">
        <f t="shared" si="5"/>
        <v>127.37639999999999</v>
      </c>
      <c r="N82" s="94">
        <f t="shared" si="6"/>
        <v>89.190359999999998</v>
      </c>
      <c r="P82" s="94">
        <f t="shared" si="7"/>
        <v>87.014350000000007</v>
      </c>
      <c r="R82" s="94">
        <f t="shared" si="8"/>
        <v>124.98963999999999</v>
      </c>
      <c r="T82" s="94">
        <f t="shared" si="9"/>
        <v>122.64789</v>
      </c>
      <c r="V82" s="94">
        <f t="shared" si="10"/>
        <v>162.34774999999999</v>
      </c>
      <c r="X82" s="94">
        <f t="shared" si="11"/>
        <v>129.85905</v>
      </c>
      <c r="Z82" s="94">
        <f t="shared" si="12"/>
        <v>116.83918</v>
      </c>
      <c r="AB82" s="94">
        <f t="shared" si="13"/>
        <v>568.69432999999992</v>
      </c>
      <c r="AD82" s="94">
        <f t="shared" si="14"/>
        <v>989.53747999999996</v>
      </c>
    </row>
    <row r="83" spans="8:30" x14ac:dyDescent="0.25">
      <c r="H83" s="94">
        <f t="shared" si="15"/>
        <v>0</v>
      </c>
      <c r="J83" s="94">
        <f t="shared" si="4"/>
        <v>0.39750000000000002</v>
      </c>
      <c r="L83" s="94">
        <f t="shared" si="5"/>
        <v>0.39750000000000002</v>
      </c>
      <c r="N83" s="94">
        <f t="shared" si="6"/>
        <v>0.39750000000000002</v>
      </c>
      <c r="P83" s="94">
        <f t="shared" si="7"/>
        <v>0.39750000000000002</v>
      </c>
      <c r="R83" s="94">
        <f t="shared" si="8"/>
        <v>0.39750000000000002</v>
      </c>
      <c r="T83" s="94">
        <f t="shared" si="9"/>
        <v>0.39750000000000002</v>
      </c>
      <c r="V83" s="94">
        <f t="shared" si="10"/>
        <v>0.39750000000000002</v>
      </c>
      <c r="X83" s="94">
        <f t="shared" si="11"/>
        <v>2.9375</v>
      </c>
      <c r="Z83" s="94">
        <f t="shared" si="12"/>
        <v>0</v>
      </c>
      <c r="AB83" s="94">
        <f t="shared" si="13"/>
        <v>1.5</v>
      </c>
      <c r="AD83" s="94">
        <f t="shared" si="14"/>
        <v>0</v>
      </c>
    </row>
    <row r="84" spans="8:30" x14ac:dyDescent="0.25">
      <c r="H84" s="94">
        <f>+H54</f>
        <v>10.685</v>
      </c>
      <c r="J84" s="94">
        <f t="shared" si="4"/>
        <v>0.7</v>
      </c>
      <c r="L84" s="94">
        <f t="shared" si="5"/>
        <v>9.4749999999999996</v>
      </c>
      <c r="N84" s="94">
        <f t="shared" si="6"/>
        <v>0</v>
      </c>
      <c r="P84" s="94">
        <f t="shared" si="7"/>
        <v>9.1829999999999998</v>
      </c>
      <c r="R84" s="94">
        <f t="shared" si="8"/>
        <v>8.51</v>
      </c>
      <c r="T84" s="94">
        <f t="shared" si="9"/>
        <v>9.9700000000000006</v>
      </c>
      <c r="V84" s="94">
        <f t="shared" si="10"/>
        <v>12.595000000000001</v>
      </c>
      <c r="X84" s="94">
        <f t="shared" si="11"/>
        <v>7.6</v>
      </c>
      <c r="Z84" s="94">
        <f t="shared" si="12"/>
        <v>8.940100000000001</v>
      </c>
      <c r="AB84" s="94">
        <f t="shared" si="13"/>
        <v>11.8</v>
      </c>
      <c r="AD84" s="94">
        <f t="shared" si="14"/>
        <v>0.13</v>
      </c>
    </row>
    <row r="85" spans="8:30" x14ac:dyDescent="0.25">
      <c r="H85" s="94">
        <f t="shared" si="15"/>
        <v>148.38320999999999</v>
      </c>
      <c r="J85" s="94">
        <f t="shared" si="4"/>
        <v>121.62089999999999</v>
      </c>
      <c r="L85" s="94">
        <f t="shared" si="5"/>
        <v>170.56752999999998</v>
      </c>
      <c r="N85" s="94">
        <f t="shared" si="6"/>
        <v>126.17074999999998</v>
      </c>
      <c r="P85" s="94">
        <f t="shared" si="7"/>
        <v>131.63176000000001</v>
      </c>
      <c r="R85" s="94">
        <f t="shared" si="8"/>
        <v>174.06781999999998</v>
      </c>
      <c r="T85" s="94">
        <f t="shared" si="9"/>
        <v>169.02721000000003</v>
      </c>
      <c r="V85" s="94">
        <f t="shared" si="10"/>
        <v>210.77683999999999</v>
      </c>
      <c r="X85" s="94">
        <f t="shared" si="11"/>
        <v>178.99307999999999</v>
      </c>
      <c r="Z85" s="94">
        <f t="shared" si="12"/>
        <v>175.47675000000001</v>
      </c>
      <c r="AB85" s="94">
        <f t="shared" si="13"/>
        <v>629.03518999999983</v>
      </c>
      <c r="AD85" s="94">
        <f t="shared" si="14"/>
        <v>1029.4259500000001</v>
      </c>
    </row>
    <row r="86" spans="8:30" x14ac:dyDescent="0.25">
      <c r="H86" s="94">
        <f t="shared" si="15"/>
        <v>0</v>
      </c>
      <c r="J86" s="94">
        <f t="shared" si="4"/>
        <v>0</v>
      </c>
      <c r="L86" s="94">
        <f t="shared" si="5"/>
        <v>0</v>
      </c>
      <c r="N86" s="94">
        <f t="shared" si="6"/>
        <v>0</v>
      </c>
      <c r="P86" s="94">
        <f t="shared" si="7"/>
        <v>0</v>
      </c>
      <c r="R86" s="94">
        <f t="shared" si="8"/>
        <v>0</v>
      </c>
      <c r="T86" s="94">
        <f t="shared" si="9"/>
        <v>0</v>
      </c>
      <c r="V86" s="94">
        <f t="shared" si="10"/>
        <v>0</v>
      </c>
      <c r="X86" s="94">
        <f t="shared" si="11"/>
        <v>0</v>
      </c>
      <c r="Z86" s="94">
        <f t="shared" si="12"/>
        <v>0</v>
      </c>
      <c r="AB86" s="94">
        <f t="shared" si="13"/>
        <v>0</v>
      </c>
      <c r="AD86" s="94">
        <f t="shared" si="14"/>
        <v>0</v>
      </c>
    </row>
    <row r="87" spans="8:30" x14ac:dyDescent="0.25">
      <c r="H87" s="94">
        <f t="shared" si="15"/>
        <v>316.26034999999956</v>
      </c>
      <c r="J87" s="94">
        <f t="shared" si="4"/>
        <v>338.45091000000008</v>
      </c>
      <c r="L87" s="94">
        <f t="shared" si="5"/>
        <v>314.0493399999998</v>
      </c>
      <c r="N87" s="94">
        <f t="shared" si="6"/>
        <v>319.8422800000003</v>
      </c>
      <c r="P87" s="94">
        <f t="shared" si="7"/>
        <v>299.47362000000032</v>
      </c>
      <c r="R87" s="94">
        <f t="shared" si="8"/>
        <v>169.18595000000005</v>
      </c>
      <c r="T87" s="94">
        <f t="shared" si="9"/>
        <v>240.1911699999992</v>
      </c>
      <c r="V87" s="94">
        <f t="shared" si="10"/>
        <v>621.38070999999923</v>
      </c>
      <c r="X87" s="94">
        <f t="shared" si="11"/>
        <v>610.5987100000001</v>
      </c>
      <c r="Z87" s="94">
        <f t="shared" si="12"/>
        <v>1532.1382299999991</v>
      </c>
      <c r="AB87" s="94">
        <f t="shared" si="13"/>
        <v>971.65793000000076</v>
      </c>
      <c r="AD87" s="94">
        <f t="shared" si="14"/>
        <v>-3440.6035599999996</v>
      </c>
    </row>
    <row r="88" spans="8:30" x14ac:dyDescent="0.25">
      <c r="H88" s="94">
        <f t="shared" si="15"/>
        <v>0</v>
      </c>
      <c r="J88" s="94">
        <f t="shared" si="4"/>
        <v>0</v>
      </c>
      <c r="L88" s="94">
        <f t="shared" si="5"/>
        <v>0</v>
      </c>
      <c r="N88" s="94">
        <f t="shared" si="6"/>
        <v>0</v>
      </c>
      <c r="P88" s="94">
        <f t="shared" si="7"/>
        <v>0</v>
      </c>
      <c r="R88" s="94">
        <f t="shared" si="8"/>
        <v>0</v>
      </c>
      <c r="T88" s="94">
        <f t="shared" si="9"/>
        <v>0</v>
      </c>
      <c r="V88" s="94">
        <f t="shared" si="10"/>
        <v>0</v>
      </c>
      <c r="X88" s="94">
        <f t="shared" si="11"/>
        <v>0</v>
      </c>
      <c r="Z88" s="94">
        <f t="shared" si="12"/>
        <v>0</v>
      </c>
      <c r="AB88" s="94">
        <f t="shared" si="13"/>
        <v>0</v>
      </c>
      <c r="AD88" s="94">
        <f t="shared" si="14"/>
        <v>0</v>
      </c>
    </row>
    <row r="89" spans="8:30" x14ac:dyDescent="0.25">
      <c r="H89" s="94">
        <f t="shared" si="15"/>
        <v>1.3818599999999999</v>
      </c>
      <c r="J89" s="94">
        <f t="shared" si="4"/>
        <v>0.66063000000000005</v>
      </c>
      <c r="L89" s="94">
        <f t="shared" si="5"/>
        <v>1.16625</v>
      </c>
      <c r="N89" s="94">
        <f t="shared" si="6"/>
        <v>0.85047000000000006</v>
      </c>
      <c r="P89" s="94">
        <f t="shared" si="7"/>
        <v>0.50348999999999999</v>
      </c>
      <c r="R89" s="94">
        <f t="shared" si="8"/>
        <v>1.01373</v>
      </c>
      <c r="T89" s="94">
        <f t="shared" si="9"/>
        <v>13.185709999999998</v>
      </c>
      <c r="V89" s="94">
        <f t="shared" si="10"/>
        <v>22.570900000000002</v>
      </c>
      <c r="X89" s="94">
        <f t="shared" si="11"/>
        <v>1.3366600000000002</v>
      </c>
      <c r="Z89" s="94">
        <f t="shared" si="12"/>
        <v>0.88200000000000001</v>
      </c>
      <c r="AB89" s="94">
        <f t="shared" si="13"/>
        <v>1.0890199999999999</v>
      </c>
      <c r="AD89" s="94">
        <f t="shared" si="14"/>
        <v>1.42808</v>
      </c>
    </row>
    <row r="90" spans="8:30" x14ac:dyDescent="0.25">
      <c r="H90" s="94">
        <f t="shared" si="15"/>
        <v>-8.6999999999999994E-2</v>
      </c>
      <c r="J90" s="94">
        <f t="shared" si="4"/>
        <v>-9.1000000000000011E-4</v>
      </c>
      <c r="L90" s="94">
        <f t="shared" si="5"/>
        <v>-1.4386300000000001</v>
      </c>
      <c r="N90" s="94">
        <f t="shared" si="6"/>
        <v>-2.3962899999999934</v>
      </c>
      <c r="P90" s="94">
        <f t="shared" si="7"/>
        <v>-0.69176000000000004</v>
      </c>
      <c r="R90" s="94">
        <f t="shared" si="8"/>
        <v>-3.3364099999999866</v>
      </c>
      <c r="T90" s="94">
        <f t="shared" si="9"/>
        <v>-0.72789999999999999</v>
      </c>
      <c r="V90" s="94">
        <f t="shared" si="10"/>
        <v>-11.060979999999999</v>
      </c>
      <c r="X90" s="94">
        <f t="shared" si="11"/>
        <v>-1.29626</v>
      </c>
      <c r="Z90" s="94">
        <f t="shared" si="12"/>
        <v>-2.8749999999999996</v>
      </c>
      <c r="AB90" s="94">
        <f t="shared" si="13"/>
        <v>-6.9568000000000003</v>
      </c>
      <c r="AD90" s="94">
        <f t="shared" si="14"/>
        <v>-12.029570000000001</v>
      </c>
    </row>
    <row r="91" spans="8:30" x14ac:dyDescent="0.25">
      <c r="H91" s="94">
        <f t="shared" si="15"/>
        <v>2.9999999999999997E-5</v>
      </c>
      <c r="J91" s="94">
        <f t="shared" si="4"/>
        <v>1.5200000000000001E-3</v>
      </c>
      <c r="L91" s="94">
        <f t="shared" si="5"/>
        <v>1.1E-4</v>
      </c>
      <c r="N91" s="94">
        <f t="shared" si="6"/>
        <v>102.12742999999999</v>
      </c>
      <c r="P91" s="94">
        <f t="shared" si="7"/>
        <v>5.0000000000000002E-5</v>
      </c>
      <c r="R91" s="94">
        <f t="shared" si="8"/>
        <v>77.913210000000007</v>
      </c>
      <c r="T91" s="94">
        <f t="shared" si="9"/>
        <v>8.3000000000000001E-4</v>
      </c>
      <c r="V91" s="94">
        <f t="shared" si="10"/>
        <v>5.9999999999999995E-5</v>
      </c>
      <c r="X91" s="94">
        <f t="shared" si="11"/>
        <v>4.0000000000000003E-5</v>
      </c>
      <c r="Z91" s="94">
        <f t="shared" si="12"/>
        <v>1.1E-4</v>
      </c>
      <c r="AB91" s="94">
        <f t="shared" si="13"/>
        <v>5.4000000000000001E-4</v>
      </c>
      <c r="AD91" s="94">
        <f t="shared" si="14"/>
        <v>6.0999999999999997E-4</v>
      </c>
    </row>
  </sheetData>
  <mergeCells count="15">
    <mergeCell ref="P5:Q5"/>
    <mergeCell ref="E5:F5"/>
    <mergeCell ref="H5:I5"/>
    <mergeCell ref="J5:K5"/>
    <mergeCell ref="L5:M5"/>
    <mergeCell ref="N5:O5"/>
    <mergeCell ref="AD5:AE5"/>
    <mergeCell ref="AG5:AH5"/>
    <mergeCell ref="AI5:AJ5"/>
    <mergeCell ref="R5:S5"/>
    <mergeCell ref="T5:U5"/>
    <mergeCell ref="V5:W5"/>
    <mergeCell ref="X5:Y5"/>
    <mergeCell ref="Z5:AA5"/>
    <mergeCell ref="AB5:AC5"/>
  </mergeCells>
  <conditionalFormatting sqref="H5:AE5">
    <cfRule type="cellIs" dxfId="14" priority="3" stopIfTrue="1" operator="equal">
      <formula>"Estimado"</formula>
    </cfRule>
  </conditionalFormatting>
  <conditionalFormatting sqref="AG5:AH5">
    <cfRule type="cellIs" dxfId="13" priority="2" stopIfTrue="1" operator="equal">
      <formula>"Estimado"</formula>
    </cfRule>
  </conditionalFormatting>
  <conditionalFormatting sqref="AI5:AJ5">
    <cfRule type="cellIs" dxfId="12" priority="1" stopIfTrue="1" operator="equal">
      <formula>"Estimado"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0DFC6C-1E7F-4733-9E2A-8422F5A6D0F3}">
  <dimension ref="A1:AK87"/>
  <sheetViews>
    <sheetView topLeftCell="E1" workbookViewId="0">
      <selection sqref="A1:XFD1048576"/>
    </sheetView>
  </sheetViews>
  <sheetFormatPr baseColWidth="10" defaultColWidth="9.140625" defaultRowHeight="15" x14ac:dyDescent="0.25"/>
  <cols>
    <col min="1" max="1" width="7.85546875" hidden="1" customWidth="1"/>
    <col min="2" max="4" width="13" hidden="1" customWidth="1"/>
    <col min="5" max="5" width="15.85546875" customWidth="1"/>
    <col min="6" max="6" width="4.140625" customWidth="1"/>
    <col min="7" max="7" width="0.42578125" customWidth="1"/>
    <col min="8" max="8" width="8.140625" style="45" bestFit="1" customWidth="1"/>
    <col min="9" max="9" width="5.42578125" style="46" bestFit="1" customWidth="1"/>
    <col min="10" max="10" width="8.140625" style="45" bestFit="1" customWidth="1"/>
    <col min="11" max="11" width="5.42578125" style="46" bestFit="1" customWidth="1"/>
    <col min="12" max="12" width="7.28515625" style="45" bestFit="1" customWidth="1"/>
    <col min="13" max="13" width="5.42578125" style="46" bestFit="1" customWidth="1"/>
    <col min="14" max="14" width="7.28515625" style="45" bestFit="1" customWidth="1"/>
    <col min="15" max="15" width="5.42578125" style="46" bestFit="1" customWidth="1"/>
    <col min="16" max="16" width="7.28515625" style="45" bestFit="1" customWidth="1"/>
    <col min="17" max="17" width="5.42578125" style="46" bestFit="1" customWidth="1"/>
    <col min="18" max="18" width="7.28515625" style="45" bestFit="1" customWidth="1"/>
    <col min="19" max="19" width="5.42578125" style="46" bestFit="1" customWidth="1"/>
    <col min="20" max="20" width="7.28515625" style="45" bestFit="1" customWidth="1"/>
    <col min="21" max="21" width="6.28515625" style="46" customWidth="1"/>
    <col min="22" max="22" width="7.28515625" style="45" bestFit="1" customWidth="1"/>
    <col min="23" max="23" width="5.42578125" style="46" bestFit="1" customWidth="1"/>
    <col min="24" max="24" width="7.7109375" style="45" bestFit="1" customWidth="1"/>
    <col min="25" max="25" width="5.42578125" style="46" bestFit="1" customWidth="1"/>
    <col min="26" max="26" width="7.28515625" style="45" bestFit="1" customWidth="1"/>
    <col min="27" max="27" width="5.42578125" style="46" bestFit="1" customWidth="1"/>
    <col min="28" max="28" width="7.28515625" style="45" bestFit="1" customWidth="1"/>
    <col min="29" max="29" width="5.42578125" style="46" bestFit="1" customWidth="1"/>
    <col min="30" max="30" width="7.7109375" style="45" bestFit="1" customWidth="1"/>
    <col min="31" max="31" width="6.42578125" style="46" bestFit="1" customWidth="1"/>
    <col min="32" max="32" width="1.7109375" customWidth="1"/>
    <col min="33" max="33" width="8.28515625" style="45" customWidth="1"/>
    <col min="34" max="34" width="5.42578125" style="46" bestFit="1" customWidth="1"/>
    <col min="35" max="35" width="8.140625" style="45" bestFit="1" customWidth="1"/>
    <col min="36" max="36" width="5.42578125" style="46" bestFit="1" customWidth="1"/>
  </cols>
  <sheetData>
    <row r="1" spans="1:36" ht="15.75" thickBot="1" x14ac:dyDescent="0.3">
      <c r="H1" s="45">
        <v>3</v>
      </c>
      <c r="J1" s="45">
        <v>4</v>
      </c>
      <c r="L1" s="45">
        <v>5</v>
      </c>
      <c r="N1" s="45">
        <v>6</v>
      </c>
      <c r="P1" s="45">
        <v>7</v>
      </c>
      <c r="R1" s="45">
        <v>8</v>
      </c>
      <c r="T1" s="45">
        <v>9</v>
      </c>
      <c r="V1" s="45">
        <v>10</v>
      </c>
      <c r="X1" s="45">
        <v>11</v>
      </c>
      <c r="Z1" s="45">
        <v>12</v>
      </c>
      <c r="AB1" s="45">
        <v>13</v>
      </c>
      <c r="AD1" s="45">
        <v>14</v>
      </c>
    </row>
    <row r="2" spans="1:36" ht="16.5" thickBot="1" x14ac:dyDescent="0.3">
      <c r="E2" s="402" t="s">
        <v>3</v>
      </c>
      <c r="F2" s="402"/>
      <c r="H2" s="403" t="s">
        <v>73</v>
      </c>
      <c r="I2" s="404"/>
      <c r="J2" s="403" t="s">
        <v>73</v>
      </c>
      <c r="K2" s="404"/>
      <c r="L2" s="403" t="s">
        <v>73</v>
      </c>
      <c r="M2" s="404"/>
      <c r="N2" s="403" t="s">
        <v>73</v>
      </c>
      <c r="O2" s="404"/>
      <c r="P2" s="403" t="s">
        <v>73</v>
      </c>
      <c r="Q2" s="404"/>
      <c r="R2" s="403" t="s">
        <v>73</v>
      </c>
      <c r="S2" s="404"/>
      <c r="T2" s="403" t="s">
        <v>73</v>
      </c>
      <c r="U2" s="404"/>
      <c r="V2" s="403" t="s">
        <v>73</v>
      </c>
      <c r="W2" s="404"/>
      <c r="X2" s="403" t="s">
        <v>73</v>
      </c>
      <c r="Y2" s="404"/>
      <c r="Z2" s="403" t="s">
        <v>73</v>
      </c>
      <c r="AA2" s="404"/>
      <c r="AB2" s="403" t="s">
        <v>73</v>
      </c>
      <c r="AC2" s="404"/>
      <c r="AD2" s="403" t="s">
        <v>73</v>
      </c>
      <c r="AE2" s="404"/>
      <c r="AG2" s="405" t="s">
        <v>36</v>
      </c>
      <c r="AH2" s="406"/>
      <c r="AI2" s="405" t="s">
        <v>74</v>
      </c>
      <c r="AJ2" s="406"/>
    </row>
    <row r="3" spans="1:36" ht="25.9" customHeight="1" thickBot="1" x14ac:dyDescent="0.3">
      <c r="H3" s="49" t="s">
        <v>38</v>
      </c>
      <c r="I3" s="50" t="s">
        <v>39</v>
      </c>
      <c r="J3" s="49" t="s">
        <v>40</v>
      </c>
      <c r="K3" s="50" t="s">
        <v>39</v>
      </c>
      <c r="L3" s="49" t="s">
        <v>41</v>
      </c>
      <c r="M3" s="50" t="s">
        <v>39</v>
      </c>
      <c r="N3" s="49" t="s">
        <v>42</v>
      </c>
      <c r="O3" s="50" t="s">
        <v>39</v>
      </c>
      <c r="P3" s="49" t="s">
        <v>43</v>
      </c>
      <c r="Q3" s="50" t="s">
        <v>39</v>
      </c>
      <c r="R3" s="49" t="s">
        <v>44</v>
      </c>
      <c r="S3" s="50" t="s">
        <v>39</v>
      </c>
      <c r="T3" s="49" t="s">
        <v>45</v>
      </c>
      <c r="U3" s="50" t="s">
        <v>39</v>
      </c>
      <c r="V3" s="49" t="s">
        <v>46</v>
      </c>
      <c r="W3" s="50" t="s">
        <v>39</v>
      </c>
      <c r="X3" s="49" t="s">
        <v>47</v>
      </c>
      <c r="Y3" s="50" t="s">
        <v>39</v>
      </c>
      <c r="Z3" s="49" t="s">
        <v>48</v>
      </c>
      <c r="AA3" s="50" t="s">
        <v>39</v>
      </c>
      <c r="AB3" s="49" t="s">
        <v>49</v>
      </c>
      <c r="AC3" s="50" t="s">
        <v>39</v>
      </c>
      <c r="AD3" s="49" t="s">
        <v>50</v>
      </c>
      <c r="AE3" s="50" t="s">
        <v>39</v>
      </c>
      <c r="AG3" s="49">
        <v>2020</v>
      </c>
      <c r="AH3" s="50" t="s">
        <v>39</v>
      </c>
      <c r="AI3" s="49">
        <v>2020</v>
      </c>
      <c r="AJ3" s="50" t="s">
        <v>39</v>
      </c>
    </row>
    <row r="4" spans="1:36" ht="15.75" thickBot="1" x14ac:dyDescent="0.3">
      <c r="H4" s="51"/>
      <c r="I4" s="52"/>
      <c r="J4" s="51"/>
      <c r="K4" s="52"/>
      <c r="L4" s="51"/>
      <c r="M4" s="52"/>
      <c r="N4" s="51"/>
      <c r="O4" s="52"/>
      <c r="P4" s="51"/>
      <c r="Q4" s="52"/>
      <c r="R4" s="51"/>
      <c r="S4" s="52"/>
      <c r="T4" s="51"/>
      <c r="U4" s="52"/>
      <c r="V4" s="51"/>
      <c r="W4" s="52"/>
      <c r="X4" s="51"/>
      <c r="Y4" s="52"/>
      <c r="Z4" s="51"/>
      <c r="AA4" s="52"/>
      <c r="AB4" s="51"/>
      <c r="AC4" s="52"/>
      <c r="AD4" s="51"/>
      <c r="AE4" s="52"/>
      <c r="AG4" s="51"/>
      <c r="AH4" s="52"/>
      <c r="AI4" s="51"/>
      <c r="AJ4" s="52"/>
    </row>
    <row r="5" spans="1:36" ht="13.5" hidden="1" customHeight="1" x14ac:dyDescent="0.25">
      <c r="E5" s="53"/>
      <c r="F5" s="54"/>
      <c r="H5" s="55"/>
      <c r="I5" s="56"/>
      <c r="J5" s="55"/>
      <c r="K5" s="56"/>
      <c r="L5" s="55"/>
      <c r="M5" s="56"/>
      <c r="N5" s="55"/>
      <c r="O5" s="56"/>
      <c r="P5" s="55"/>
      <c r="Q5" s="56"/>
      <c r="R5" s="55"/>
      <c r="S5" s="56"/>
      <c r="T5" s="55"/>
      <c r="U5" s="56"/>
      <c r="V5" s="55"/>
      <c r="W5" s="56"/>
      <c r="X5" s="55"/>
      <c r="Y5" s="56"/>
      <c r="Z5" s="55"/>
      <c r="AA5" s="56"/>
      <c r="AB5" s="55"/>
      <c r="AC5" s="56"/>
      <c r="AD5" s="55"/>
      <c r="AE5" s="56"/>
      <c r="AG5" s="55"/>
      <c r="AH5" s="56"/>
      <c r="AI5" s="55"/>
      <c r="AJ5" s="56"/>
    </row>
    <row r="6" spans="1:36" ht="13.5" hidden="1" customHeight="1" x14ac:dyDescent="0.25">
      <c r="E6" s="57" t="s">
        <v>51</v>
      </c>
      <c r="F6" s="58"/>
      <c r="H6" s="59">
        <f>+'[1]Comparativo PG Acumulado'!E15/1000</f>
        <v>23295.174230000001</v>
      </c>
      <c r="I6" s="60"/>
      <c r="J6" s="59">
        <f>+'[1]Comparativo PG Acumulado'!G15/1000</f>
        <v>25005.447170000003</v>
      </c>
      <c r="K6" s="60"/>
      <c r="L6" s="59">
        <f>+'[1]Comparativo PG Acumulado'!I15/1000</f>
        <v>0</v>
      </c>
      <c r="M6" s="60"/>
      <c r="N6" s="59">
        <f>+'[1]Comparativo PG Acumulado'!K15/1000</f>
        <v>0</v>
      </c>
      <c r="O6" s="60"/>
      <c r="P6" s="59">
        <f>+'[1]Comparativo PG Acumulado'!M15/1000</f>
        <v>-6.8396015011156557E-5</v>
      </c>
      <c r="Q6" s="60"/>
      <c r="R6" s="59">
        <f>+'[1]Comparativo PG Acumulado'!O15/1000</f>
        <v>0</v>
      </c>
      <c r="S6" s="60"/>
      <c r="T6" s="59">
        <f>+'[1]Comparativo PG Acumulado'!Q15/1000</f>
        <v>0</v>
      </c>
      <c r="U6" s="60"/>
      <c r="V6" s="59">
        <f>+'[1]Comparativo PG Acumulado'!S15/1000</f>
        <v>0</v>
      </c>
      <c r="W6" s="60"/>
      <c r="X6" s="59">
        <f>+'[1]Comparativo PG Acumulado'!U15/1000</f>
        <v>0</v>
      </c>
      <c r="Y6" s="60"/>
      <c r="Z6" s="59">
        <f>+'[1]Comparativo PG Acumulado'!W15/1000</f>
        <v>0</v>
      </c>
      <c r="AA6" s="60"/>
      <c r="AB6" s="59">
        <f>+'[1]Comparativo PG Acumulado'!Y15/1000</f>
        <v>0</v>
      </c>
      <c r="AC6" s="60"/>
      <c r="AD6" s="59">
        <f>+'[1]Comparativo PG Acumulado'!AA15/1000</f>
        <v>0</v>
      </c>
      <c r="AE6" s="60"/>
      <c r="AG6" s="59">
        <f>+'[1]Comparativo PG Acumulado'!AD15/1000</f>
        <v>0</v>
      </c>
      <c r="AH6" s="60"/>
      <c r="AI6" s="59">
        <f>+'[1]Comparativo PG Acumulado'!AF15/1000</f>
        <v>0</v>
      </c>
      <c r="AJ6" s="60"/>
    </row>
    <row r="7" spans="1:36" ht="13.5" hidden="1" customHeight="1" x14ac:dyDescent="0.25">
      <c r="E7" s="57" t="s">
        <v>52</v>
      </c>
      <c r="F7" s="58"/>
      <c r="H7" s="59">
        <f>+'[1]Comparativo PG Acumulado'!E16/1000</f>
        <v>6191.4813600000007</v>
      </c>
      <c r="I7" s="60"/>
      <c r="J7" s="59">
        <f>+'[1]Comparativo PG Acumulado'!G16/1000</f>
        <v>6560.7468399999998</v>
      </c>
      <c r="K7" s="60"/>
      <c r="L7" s="59">
        <f>+'[1]Comparativo PG Acumulado'!I16/1000</f>
        <v>0</v>
      </c>
      <c r="M7" s="60"/>
      <c r="N7" s="59">
        <f>+'[1]Comparativo PG Acumulado'!K16/1000</f>
        <v>0</v>
      </c>
      <c r="O7" s="60"/>
      <c r="P7" s="59">
        <f>+'[1]Comparativo PG Acumulado'!M16/1000</f>
        <v>-5.6284061709047654E-5</v>
      </c>
      <c r="Q7" s="60"/>
      <c r="R7" s="59">
        <f>+'[1]Comparativo PG Acumulado'!O16/1000</f>
        <v>0</v>
      </c>
      <c r="S7" s="60"/>
      <c r="T7" s="59">
        <f>+'[1]Comparativo PG Acumulado'!Q16/1000</f>
        <v>0</v>
      </c>
      <c r="U7" s="60"/>
      <c r="V7" s="59">
        <f>+'[1]Comparativo PG Acumulado'!S16/1000</f>
        <v>0</v>
      </c>
      <c r="W7" s="60"/>
      <c r="X7" s="59">
        <f>+'[1]Comparativo PG Acumulado'!U16/1000</f>
        <v>0</v>
      </c>
      <c r="Y7" s="60"/>
      <c r="Z7" s="59">
        <f>+'[1]Comparativo PG Acumulado'!W16/1000</f>
        <v>0</v>
      </c>
      <c r="AA7" s="60"/>
      <c r="AB7" s="59">
        <f>+'[1]Comparativo PG Acumulado'!Y16/1000</f>
        <v>0</v>
      </c>
      <c r="AC7" s="60"/>
      <c r="AD7" s="59">
        <f>+'[1]Comparativo PG Acumulado'!AA16/1000</f>
        <v>0</v>
      </c>
      <c r="AE7" s="60"/>
      <c r="AG7" s="59">
        <f>+'[1]Comparativo PG Acumulado'!AD16/1000</f>
        <v>0</v>
      </c>
      <c r="AH7" s="60"/>
      <c r="AI7" s="59">
        <f>+'[1]Comparativo PG Acumulado'!AF16/1000</f>
        <v>0</v>
      </c>
      <c r="AJ7" s="60"/>
    </row>
    <row r="8" spans="1:36" s="35" customFormat="1" ht="12.75" x14ac:dyDescent="0.2">
      <c r="A8" s="61">
        <v>41010101</v>
      </c>
      <c r="B8" s="61">
        <v>41010105</v>
      </c>
      <c r="C8" s="61">
        <v>410102</v>
      </c>
      <c r="D8" s="61"/>
      <c r="E8" s="62" t="s">
        <v>53</v>
      </c>
      <c r="F8" s="63"/>
      <c r="H8" s="64">
        <f>IF(ISNA(VLOOKUP($A8,base81,+H$1,FALSE))=FALSE,VLOOKUP($A8,base81,+H$1,FALSE),0)/1000+IF(ISNA(VLOOKUP($B8,base81,+H$1,FALSE))=FALSE,VLOOKUP($B8,base81,+H$1,FALSE),0)/1000+IF(ISNA(VLOOKUP($C8,base81,+H$1,FALSE))=FALSE,VLOOKUP($C8,base81,+H$1,FALSE),0)/1000</f>
        <v>1914.57062</v>
      </c>
      <c r="I8" s="65">
        <f>+H8/H$10</f>
        <v>0.94037429573499487</v>
      </c>
      <c r="J8" s="64">
        <f>IF(ISNA(VLOOKUP($A8,base81,+J$1,FALSE))=FALSE,VLOOKUP($A8,base81,+J$1,FALSE),0)/1000+IF(ISNA(VLOOKUP($B8,base81,+J$1,FALSE))=FALSE,VLOOKUP($B8,base81,+J$1,FALSE),0)/1000+IF(ISNA(VLOOKUP($C8,base81,+J$1,FALSE))=FALSE,VLOOKUP($C8,base81,+J$1,FALSE),0)/1000</f>
        <v>1777.5726299999999</v>
      </c>
      <c r="K8" s="65">
        <f t="shared" ref="K8:K10" si="0">+J8/J$10</f>
        <v>0.9332538938775492</v>
      </c>
      <c r="L8" s="64">
        <f>IF(ISNA(VLOOKUP($A8,base81,+L$1,FALSE))=FALSE,VLOOKUP($A8,base81,+L$1,FALSE),0)/1000+IF(ISNA(VLOOKUP($B8,base81,+L$1,FALSE))=FALSE,VLOOKUP($B8,base81,+L$1,FALSE),0)/1000+IF(ISNA(VLOOKUP($C8,base81,+L$1,FALSE))=FALSE,VLOOKUP($C8,base81,+L$1,FALSE),0)/1000</f>
        <v>1313.5720700000002</v>
      </c>
      <c r="M8" s="65">
        <f t="shared" ref="M8:M10" si="1">+L8/L$10</f>
        <v>0.92054160364672288</v>
      </c>
      <c r="N8" s="64">
        <f>IF(ISNA(VLOOKUP($A8,base81,+N$1,FALSE))=FALSE,VLOOKUP($A8,base81,+N$1,FALSE),0)/1000+IF(ISNA(VLOOKUP($B8,base81,+N$1,FALSE))=FALSE,VLOOKUP($B8,base81,+N$1,FALSE),0)/1000+IF(ISNA(VLOOKUP($C8,base81,+N$1,FALSE))=FALSE,VLOOKUP($C8,base81,+N$1,FALSE),0)/1000</f>
        <v>1993.6548</v>
      </c>
      <c r="O8" s="65">
        <f t="shared" ref="O8:O10" si="2">+N8/N$10</f>
        <v>0.90304042945277085</v>
      </c>
      <c r="P8" s="64">
        <f>IF(ISNA(VLOOKUP($A8,base81,+P$1,FALSE))=FALSE,VLOOKUP($A8,base81,+P$1,FALSE),0)/1000+IF(ISNA(VLOOKUP($B8,base81,+P$1,FALSE))=FALSE,VLOOKUP($B8,base81,+P$1,FALSE),0)/1000+IF(ISNA(VLOOKUP($C8,base81,+P$1,FALSE))=FALSE,VLOOKUP($C8,base81,+P$1,FALSE),0)/1000</f>
        <v>2060.19074</v>
      </c>
      <c r="Q8" s="65">
        <f t="shared" ref="Q8:Q10" si="3">+P8/P$10</f>
        <v>0.90669921480032001</v>
      </c>
      <c r="R8" s="64">
        <f>IF(ISNA(VLOOKUP($A8,base81,+R$1,FALSE))=FALSE,VLOOKUP($A8,base81,+R$1,FALSE),0)/1000+IF(ISNA(VLOOKUP($B8,base81,+R$1,FALSE))=FALSE,VLOOKUP($B8,base81,+R$1,FALSE),0)/1000+IF(ISNA(VLOOKUP($C8,base81,+R$1,FALSE))=FALSE,VLOOKUP($C8,base81,+R$1,FALSE),0)/1000</f>
        <v>1862.2117499999999</v>
      </c>
      <c r="S8" s="65">
        <f t="shared" ref="S8:S10" si="4">+R8/R$10</f>
        <v>0.92662756736341367</v>
      </c>
      <c r="T8" s="64">
        <f>IF(ISNA(VLOOKUP($A8,base81,+T$1,FALSE))=FALSE,VLOOKUP($A8,base81,+T$1,FALSE),0)/1000+IF(ISNA(VLOOKUP($B8,base81,+T$1,FALSE))=FALSE,VLOOKUP($B8,base81,+T$1,FALSE),0)/1000+IF(ISNA(VLOOKUP($C8,base81,+T$1,FALSE))=FALSE,VLOOKUP($C8,base81,+T$1,FALSE),0)/1000</f>
        <v>1202.95218</v>
      </c>
      <c r="U8" s="65">
        <f t="shared" ref="U8:U10" si="5">+T8/T$10</f>
        <v>0.90762402117100971</v>
      </c>
      <c r="V8" s="64">
        <f>IF(ISNA(VLOOKUP($A8,base81,+V$1,FALSE))=FALSE,VLOOKUP($A8,base81,+V$1,FALSE),0)/1000+IF(ISNA(VLOOKUP($B8,base81,+V$1,FALSE))=FALSE,VLOOKUP($B8,base81,+V$1,FALSE),0)/1000+IF(ISNA(VLOOKUP($C8,base81,+V$1,FALSE))=FALSE,VLOOKUP($C8,base81,+V$1,FALSE),0)/1000</f>
        <v>1492.1363899999999</v>
      </c>
      <c r="W8" s="65">
        <f t="shared" ref="W8:W10" si="6">+V8/V$10</f>
        <v>0.96663581812538601</v>
      </c>
      <c r="X8" s="64">
        <f>IF(ISNA(VLOOKUP($A8,base81,+X$1,FALSE))=FALSE,VLOOKUP($A8,base81,+X$1,FALSE),0)/1000+IF(ISNA(VLOOKUP($B8,base81,+X$1,FALSE))=FALSE,VLOOKUP($B8,base81,+X$1,FALSE),0)/1000+IF(ISNA(VLOOKUP($C8,base81,+X$1,FALSE))=FALSE,VLOOKUP($C8,base81,+X$1,FALSE),0)/1000</f>
        <v>1576.9635000000001</v>
      </c>
      <c r="Y8" s="65">
        <f t="shared" ref="Y8:Y10" si="7">+X8/X$10</f>
        <v>0.92460192239566674</v>
      </c>
      <c r="Z8" s="64">
        <f>IF(ISNA(VLOOKUP($A8,base81,+Z$1,FALSE))=FALSE,VLOOKUP($A8,base81,+Z$1,FALSE),0)/1000+IF(ISNA(VLOOKUP($B8,base81,+Z$1,FALSE))=FALSE,VLOOKUP($B8,base81,+Z$1,FALSE),0)/1000+IF(ISNA(VLOOKUP($C8,base81,+Z$1,FALSE))=FALSE,VLOOKUP($C8,base81,+Z$1,FALSE),0)/1000</f>
        <v>1640.0537300000001</v>
      </c>
      <c r="AA8" s="65">
        <f t="shared" ref="AA8:AA10" si="8">+Z8/Z$10</f>
        <v>0.93769993651979411</v>
      </c>
      <c r="AB8" s="64">
        <f>IF(ISNA(VLOOKUP($A8,base81,+AB$1,FALSE))=FALSE,VLOOKUP($A8,base81,+AB$1,FALSE),0)/1000+IF(ISNA(VLOOKUP($B8,base81,+AB$1,FALSE))=FALSE,VLOOKUP($B8,base81,+AB$1,FALSE),0)/1000+IF(ISNA(VLOOKUP($C8,base81,+AB$1,FALSE))=FALSE,VLOOKUP($C8,base81,+AB$1,FALSE),0)/1000</f>
        <v>1966.98667</v>
      </c>
      <c r="AC8" s="65">
        <f t="shared" ref="AC8:AC10" si="9">+AB8/AB$10</f>
        <v>0.94477217341882913</v>
      </c>
      <c r="AD8" s="64">
        <f>IF(ISNA(VLOOKUP($A8,base81,+AD$1,FALSE))=FALSE,VLOOKUP($A8,base81,+AD$1,FALSE),0)/1000+IF(ISNA(VLOOKUP($B8,base81,+AD$1,FALSE))=FALSE,VLOOKUP($B8,base81,+AD$1,FALSE),0)/1000+IF(ISNA(VLOOKUP($C8,base81,+AD$1,FALSE))=FALSE,VLOOKUP($C8,base81,+AD$1,FALSE),0)/1000</f>
        <v>1509.4025000000001</v>
      </c>
      <c r="AE8" s="65">
        <f t="shared" ref="AE8:AE10" si="10">+AD8/AD$10</f>
        <v>0.98616546859586296</v>
      </c>
      <c r="AG8" s="64">
        <f ca="1">SUM(H38:INDIRECT("F38C"&amp;[1]Cabecera!$C$8,0))</f>
        <v>20310.26758</v>
      </c>
      <c r="AH8" s="65">
        <f t="shared" ref="AH8:AJ10" ca="1" si="11">+AG8/AG$10</f>
        <v>0.93194827943323233</v>
      </c>
      <c r="AI8" s="64">
        <f>+H8+J8+L8+N8+P8+R8+T8+V8+X8+Z8+AB8+AD8</f>
        <v>20310.26758</v>
      </c>
      <c r="AJ8" s="65">
        <f t="shared" si="11"/>
        <v>0.93194827943323233</v>
      </c>
    </row>
    <row r="9" spans="1:36" s="35" customFormat="1" ht="13.5" thickBot="1" x14ac:dyDescent="0.25">
      <c r="A9" s="61">
        <v>41010103</v>
      </c>
      <c r="B9" s="61">
        <v>410101030031</v>
      </c>
      <c r="C9" s="61"/>
      <c r="D9" s="61"/>
      <c r="E9" s="67" t="s">
        <v>54</v>
      </c>
      <c r="F9" s="68"/>
      <c r="H9" s="69">
        <f>IF(ISNA(VLOOKUP($A9,base81,+H$1,FALSE))=FALSE,VLOOKUP($A9,base81,+H$1,FALSE),0)/1000-IF(ISNA(VLOOKUP($B9,base81,+H$1,FALSE))=FALSE,VLOOKUP($B9,base81,+H$1,FALSE),0)/1000</f>
        <v>121.39594</v>
      </c>
      <c r="I9" s="70">
        <f>+H9/H$10</f>
        <v>5.9625704265005221E-2</v>
      </c>
      <c r="J9" s="69">
        <f>IF(ISNA(VLOOKUP($A9,base81,+J$1,FALSE))=FALSE,VLOOKUP($A9,base81,+J$1,FALSE),0)/1000-IF(ISNA(VLOOKUP($B9,base81,+J$1,FALSE))=FALSE,VLOOKUP($B9,base81,+J$1,FALSE),0)/1000</f>
        <v>127.13159</v>
      </c>
      <c r="K9" s="70">
        <f t="shared" si="0"/>
        <v>6.6746106122450868E-2</v>
      </c>
      <c r="L9" s="69">
        <f>IF(ISNA(VLOOKUP($A9,base81,+L$1,FALSE))=FALSE,VLOOKUP($A9,base81,+L$1,FALSE),0)/1000-IF(ISNA(VLOOKUP($B9,base81,+L$1,FALSE))=FALSE,VLOOKUP($B9,base81,+L$1,FALSE),0)/1000</f>
        <v>113.38360999999999</v>
      </c>
      <c r="M9" s="70">
        <f t="shared" si="1"/>
        <v>7.9458396353277047E-2</v>
      </c>
      <c r="N9" s="69">
        <f>IF(ISNA(VLOOKUP($A9,base81,+N$1,FALSE))=FALSE,VLOOKUP($A9,base81,+N$1,FALSE),0)/1000-IF(ISNA(VLOOKUP($B9,base81,+N$1,FALSE))=FALSE,VLOOKUP($B9,base81,+N$1,FALSE),0)/1000</f>
        <v>214.05898000000002</v>
      </c>
      <c r="O9" s="70">
        <f t="shared" si="2"/>
        <v>9.6959570547229187E-2</v>
      </c>
      <c r="P9" s="69">
        <f>IF(ISNA(VLOOKUP($A9,base81,+P$1,FALSE))=FALSE,VLOOKUP($A9,base81,+P$1,FALSE),0)/1000-IF(ISNA(VLOOKUP($B9,base81,+P$1,FALSE))=FALSE,VLOOKUP($B9,base81,+P$1,FALSE),0)/1000</f>
        <v>211.99688999999995</v>
      </c>
      <c r="Q9" s="70">
        <f t="shared" si="3"/>
        <v>9.3300785199679992E-2</v>
      </c>
      <c r="R9" s="69">
        <f>IF(ISNA(VLOOKUP($A9,base81,+R$1,FALSE))=FALSE,VLOOKUP($A9,base81,+R$1,FALSE),0)/1000-IF(ISNA(VLOOKUP($B9,base81,+R$1,FALSE))=FALSE,VLOOKUP($B9,base81,+R$1,FALSE),0)/1000</f>
        <v>147.45407</v>
      </c>
      <c r="S9" s="70">
        <f t="shared" si="4"/>
        <v>7.3372432636586313E-2</v>
      </c>
      <c r="T9" s="69">
        <f>IF(ISNA(VLOOKUP($A9,base81,+T$1,FALSE))=FALSE,VLOOKUP($A9,base81,+T$1,FALSE),0)/1000-IF(ISNA(VLOOKUP($B9,base81,+T$1,FALSE))=FALSE,VLOOKUP($B9,base81,+T$1,FALSE),0)/1000</f>
        <v>122.43382999999999</v>
      </c>
      <c r="U9" s="70">
        <f t="shared" si="5"/>
        <v>9.2375978828990346E-2</v>
      </c>
      <c r="V9" s="69">
        <f>IF(ISNA(VLOOKUP($A9,base81,+V$1,FALSE))=FALSE,VLOOKUP($A9,base81,+V$1,FALSE),0)/1000-IF(ISNA(VLOOKUP($B9,base81,+V$1,FALSE))=FALSE,VLOOKUP($B9,base81,+V$1,FALSE),0)/1000</f>
        <v>51.50224</v>
      </c>
      <c r="W9" s="70">
        <f t="shared" si="6"/>
        <v>3.3364181874614013E-2</v>
      </c>
      <c r="X9" s="69">
        <f>IF(ISNA(VLOOKUP($A9,base81,+X$1,FALSE))=FALSE,VLOOKUP($A9,base81,+X$1,FALSE),0)/1000-IF(ISNA(VLOOKUP($B9,base81,+X$1,FALSE))=FALSE,VLOOKUP($B9,base81,+X$1,FALSE),0)/1000</f>
        <v>128.5959</v>
      </c>
      <c r="Y9" s="70">
        <f t="shared" si="7"/>
        <v>7.5398077604333216E-2</v>
      </c>
      <c r="Z9" s="69">
        <f>IF(ISNA(VLOOKUP($A9,base81,+Z$1,FALSE))=FALSE,VLOOKUP($A9,base81,+Z$1,FALSE),0)/1000-IF(ISNA(VLOOKUP($B9,base81,+Z$1,FALSE))=FALSE,VLOOKUP($B9,base81,+Z$1,FALSE),0)/1000</f>
        <v>108.96390999999998</v>
      </c>
      <c r="AA9" s="70">
        <f t="shared" si="8"/>
        <v>6.230006348020594E-2</v>
      </c>
      <c r="AB9" s="69">
        <f>IF(ISNA(VLOOKUP($A9,base81,+AB$1,FALSE))=FALSE,VLOOKUP($A9,base81,+AB$1,FALSE),0)/1000-IF(ISNA(VLOOKUP($B9,base81,+AB$1,FALSE))=FALSE,VLOOKUP($B9,base81,+AB$1,FALSE),0)/1000</f>
        <v>114.98264</v>
      </c>
      <c r="AC9" s="70">
        <f t="shared" si="9"/>
        <v>5.5227826581170883E-2</v>
      </c>
      <c r="AD9" s="69">
        <f>IF(ISNA(VLOOKUP($A9,base81,+AD$1,FALSE))=FALSE,VLOOKUP($A9,base81,+AD$1,FALSE),0)/1000-IF(ISNA(VLOOKUP($B9,base81,+AD$1,FALSE))=FALSE,VLOOKUP($B9,base81,+AD$1,FALSE),0)/1000</f>
        <v>21.174820000000004</v>
      </c>
      <c r="AE9" s="70">
        <f t="shared" si="10"/>
        <v>1.3834531404137103E-2</v>
      </c>
      <c r="AG9" s="69">
        <f ca="1">SUM(H39:INDIRECT("F39C"&amp;[1]Cabecera!$C$8,0))</f>
        <v>1483.0744199999997</v>
      </c>
      <c r="AH9" s="70">
        <f t="shared" ca="1" si="11"/>
        <v>6.8051720566767573E-2</v>
      </c>
      <c r="AI9" s="69">
        <f>+H9+J9+L9+N9+P9+R9+T9+V9+X9+Z9+AB9+AD9</f>
        <v>1483.0744199999997</v>
      </c>
      <c r="AJ9" s="70">
        <f t="shared" si="11"/>
        <v>6.8051720566767573E-2</v>
      </c>
    </row>
    <row r="10" spans="1:36" s="35" customFormat="1" ht="13.5" thickBot="1" x14ac:dyDescent="0.25">
      <c r="E10" s="71" t="s">
        <v>55</v>
      </c>
      <c r="F10" s="72"/>
      <c r="H10" s="73">
        <f>+H8+H9</f>
        <v>2035.9665599999998</v>
      </c>
      <c r="I10" s="74">
        <f>+H10/H$10</f>
        <v>1</v>
      </c>
      <c r="J10" s="73">
        <f t="shared" ref="J10" si="12">+J8+J9</f>
        <v>1904.7042199999999</v>
      </c>
      <c r="K10" s="74">
        <f t="shared" si="0"/>
        <v>1</v>
      </c>
      <c r="L10" s="73">
        <f t="shared" ref="L10" si="13">+L8+L9</f>
        <v>1426.9556800000003</v>
      </c>
      <c r="M10" s="74">
        <f t="shared" si="1"/>
        <v>1</v>
      </c>
      <c r="N10" s="73">
        <f t="shared" ref="N10" si="14">+N8+N9</f>
        <v>2207.71378</v>
      </c>
      <c r="O10" s="74">
        <f t="shared" si="2"/>
        <v>1</v>
      </c>
      <c r="P10" s="73">
        <f t="shared" ref="P10" si="15">+P8+P9</f>
        <v>2272.1876299999999</v>
      </c>
      <c r="Q10" s="74">
        <f t="shared" si="3"/>
        <v>1</v>
      </c>
      <c r="R10" s="73">
        <f t="shared" ref="R10" si="16">+R8+R9</f>
        <v>2009.6658199999999</v>
      </c>
      <c r="S10" s="74">
        <f t="shared" si="4"/>
        <v>1</v>
      </c>
      <c r="T10" s="73">
        <f t="shared" ref="T10" si="17">+T8+T9</f>
        <v>1325.3860099999999</v>
      </c>
      <c r="U10" s="74">
        <f t="shared" si="5"/>
        <v>1</v>
      </c>
      <c r="V10" s="73">
        <f t="shared" ref="V10" si="18">+V8+V9</f>
        <v>1543.6386299999999</v>
      </c>
      <c r="W10" s="74">
        <f t="shared" si="6"/>
        <v>1</v>
      </c>
      <c r="X10" s="73">
        <f t="shared" ref="X10" si="19">+X8+X9</f>
        <v>1705.5594000000001</v>
      </c>
      <c r="Y10" s="74">
        <f t="shared" si="7"/>
        <v>1</v>
      </c>
      <c r="Z10" s="73">
        <f t="shared" ref="Z10" si="20">+Z8+Z9</f>
        <v>1749.01764</v>
      </c>
      <c r="AA10" s="74">
        <f t="shared" si="8"/>
        <v>1</v>
      </c>
      <c r="AB10" s="73">
        <f t="shared" ref="AB10" si="21">+AB8+AB9</f>
        <v>2081.96931</v>
      </c>
      <c r="AC10" s="74">
        <f t="shared" si="9"/>
        <v>1</v>
      </c>
      <c r="AD10" s="73">
        <f t="shared" ref="AD10" si="22">+AD8+AD9</f>
        <v>1530.5773200000001</v>
      </c>
      <c r="AE10" s="74">
        <f t="shared" si="10"/>
        <v>1</v>
      </c>
      <c r="AG10" s="73">
        <f ca="1">+AG8+AG9</f>
        <v>21793.342000000001</v>
      </c>
      <c r="AH10" s="74">
        <f t="shared" ca="1" si="11"/>
        <v>1</v>
      </c>
      <c r="AI10" s="73">
        <f>+AI8+AI9</f>
        <v>21793.342000000001</v>
      </c>
      <c r="AJ10" s="74">
        <f t="shared" si="11"/>
        <v>1</v>
      </c>
    </row>
    <row r="11" spans="1:36" ht="6.75" customHeight="1" x14ac:dyDescent="0.25">
      <c r="E11" s="53"/>
      <c r="F11" s="54"/>
      <c r="H11" s="75"/>
      <c r="I11" s="76"/>
      <c r="J11" s="75"/>
      <c r="K11" s="76"/>
      <c r="L11" s="75"/>
      <c r="M11" s="76"/>
      <c r="N11" s="75"/>
      <c r="O11" s="76"/>
      <c r="P11" s="75"/>
      <c r="Q11" s="76"/>
      <c r="R11" s="75"/>
      <c r="S11" s="76"/>
      <c r="T11" s="75"/>
      <c r="U11" s="76"/>
      <c r="V11" s="75"/>
      <c r="W11" s="76"/>
      <c r="X11" s="75"/>
      <c r="Y11" s="76"/>
      <c r="Z11" s="75"/>
      <c r="AA11" s="76"/>
      <c r="AB11" s="75"/>
      <c r="AC11" s="76"/>
      <c r="AD11" s="75"/>
      <c r="AE11" s="76"/>
      <c r="AG11" s="75"/>
      <c r="AH11" s="76"/>
      <c r="AI11" s="75"/>
      <c r="AJ11" s="76"/>
    </row>
    <row r="12" spans="1:36" x14ac:dyDescent="0.25">
      <c r="A12" s="61">
        <v>5101</v>
      </c>
      <c r="B12">
        <v>5102</v>
      </c>
      <c r="C12">
        <v>5103</v>
      </c>
      <c r="D12" s="61">
        <v>510101010031</v>
      </c>
      <c r="E12" s="57" t="s">
        <v>56</v>
      </c>
      <c r="F12" s="58"/>
      <c r="H12" s="59">
        <f>IF(ISNA(VLOOKUP($A12,base81,+H$1,FALSE))=FALSE,VLOOKUP($A12,base81,+H$1,FALSE),0)/1000+IF(ISNA(VLOOKUP($B12,base81,+H$1,FALSE))=FALSE,VLOOKUP($B12,base81,+H$1,FALSE),0)/1000+IF(ISNA(VLOOKUP($C12,base81,+H$1,FALSE))=FALSE,VLOOKUP($C12,base81,+H$1,FALSE),0)/1000-H13-H20-IF(ISNA(VLOOKUP($D12,base81,+H$1,FALSE))=FALSE,VLOOKUP($D12,base81,+H$1,FALSE),0)/1000</f>
        <v>1426.01331</v>
      </c>
      <c r="I12" s="77">
        <f>+H12/H$8</f>
        <v>0.74482147333901949</v>
      </c>
      <c r="J12" s="59">
        <f>IF(ISNA(VLOOKUP($A12,base81,+J$1,FALSE))=FALSE,VLOOKUP($A12,base81,+J$1,FALSE),0)/1000+IF(ISNA(VLOOKUP($B12,base81,+J$1,FALSE))=FALSE,VLOOKUP($B12,base81,+J$1,FALSE),0)/1000+IF(ISNA(VLOOKUP($C12,base81,+J$1,FALSE))=FALSE,VLOOKUP($C12,base81,+J$1,FALSE),0)/1000-J13-J20-IF(ISNA(VLOOKUP($D12,base81,+J$1,FALSE))=FALSE,VLOOKUP($D12,base81,+J$1,FALSE),0)/1000</f>
        <v>1329.0678499999999</v>
      </c>
      <c r="K12" s="77">
        <f t="shared" ref="K12" si="23">+J12/J$8</f>
        <v>0.74768694542737191</v>
      </c>
      <c r="L12" s="59">
        <f>IF(ISNA(VLOOKUP($A12,base81,+L$1,FALSE))=FALSE,VLOOKUP($A12,base81,+L$1,FALSE),0)/1000+IF(ISNA(VLOOKUP($B12,base81,+L$1,FALSE))=FALSE,VLOOKUP($B12,base81,+L$1,FALSE),0)/1000+IF(ISNA(VLOOKUP($C12,base81,+L$1,FALSE))=FALSE,VLOOKUP($C12,base81,+L$1,FALSE),0)/1000-L13-L20-IF(ISNA(VLOOKUP($D12,base81,+L$1,FALSE))=FALSE,VLOOKUP($D12,base81,+L$1,FALSE),0)/1000</f>
        <v>1082.4737500000001</v>
      </c>
      <c r="M12" s="77">
        <f t="shared" ref="M12" si="24">+L12/L$8</f>
        <v>0.82406879281469492</v>
      </c>
      <c r="N12" s="59">
        <f>IF(ISNA(VLOOKUP($A12,base81,+N$1,FALSE))=FALSE,VLOOKUP($A12,base81,+N$1,FALSE),0)/1000+IF(ISNA(VLOOKUP($B12,base81,+N$1,FALSE))=FALSE,VLOOKUP($B12,base81,+N$1,FALSE),0)/1000+IF(ISNA(VLOOKUP($C12,base81,+N$1,FALSE))=FALSE,VLOOKUP($C12,base81,+N$1,FALSE),0)/1000-N13-N20-IF(ISNA(VLOOKUP($D12,base81,+N$1,FALSE))=FALSE,VLOOKUP($D12,base81,+N$1,FALSE),0)/1000</f>
        <v>1432.6461400000001</v>
      </c>
      <c r="O12" s="77">
        <f t="shared" ref="O12" si="25">+N12/N$8</f>
        <v>0.71860290959096829</v>
      </c>
      <c r="P12" s="59">
        <f>IF(ISNA(VLOOKUP($A12,base81,+P$1,FALSE))=FALSE,VLOOKUP($A12,base81,+P$1,FALSE),0)/1000+IF(ISNA(VLOOKUP($B12,base81,+P$1,FALSE))=FALSE,VLOOKUP($B12,base81,+P$1,FALSE),0)/1000+IF(ISNA(VLOOKUP($C12,base81,+P$1,FALSE))=FALSE,VLOOKUP($C12,base81,+P$1,FALSE),0)/1000-P13-P20-IF(ISNA(VLOOKUP($D12,base81,+P$1,FALSE))=FALSE,VLOOKUP($D12,base81,+P$1,FALSE),0)/1000</f>
        <v>1686.65978</v>
      </c>
      <c r="Q12" s="77">
        <f t="shared" ref="Q12" si="26">+P12/P$8</f>
        <v>0.81869107905999028</v>
      </c>
      <c r="R12" s="59">
        <f>IF(ISNA(VLOOKUP($A12,base81,+R$1,FALSE))=FALSE,VLOOKUP($A12,base81,+R$1,FALSE),0)/1000+IF(ISNA(VLOOKUP($B12,base81,+R$1,FALSE))=FALSE,VLOOKUP($B12,base81,+R$1,FALSE),0)/1000+IF(ISNA(VLOOKUP($C12,base81,+R$1,FALSE))=FALSE,VLOOKUP($C12,base81,+R$1,FALSE),0)/1000-R13-R20-IF(ISNA(VLOOKUP($D12,base81,+R$1,FALSE))=FALSE,VLOOKUP($D12,base81,+R$1,FALSE),0)/1000</f>
        <v>1341.6826000000001</v>
      </c>
      <c r="S12" s="77">
        <f t="shared" ref="S12" si="27">+R12/R$8</f>
        <v>0.72047800149472807</v>
      </c>
      <c r="T12" s="59">
        <f>IF(ISNA(VLOOKUP($A12,base81,+T$1,FALSE))=FALSE,VLOOKUP($A12,base81,+T$1,FALSE),0)/1000+IF(ISNA(VLOOKUP($B12,base81,+T$1,FALSE))=FALSE,VLOOKUP($B12,base81,+T$1,FALSE),0)/1000+IF(ISNA(VLOOKUP($C12,base81,+T$1,FALSE))=FALSE,VLOOKUP($C12,base81,+T$1,FALSE),0)/1000-T13-T20-IF(ISNA(VLOOKUP($D12,base81,+T$1,FALSE))=FALSE,VLOOKUP($D12,base81,+T$1,FALSE),0)/1000</f>
        <v>914.6540399999999</v>
      </c>
      <c r="U12" s="77">
        <f t="shared" ref="U12" si="28">+T12/T$8</f>
        <v>0.76034114672787734</v>
      </c>
      <c r="V12" s="59">
        <f>IF(ISNA(VLOOKUP($A12,base81,+V$1,FALSE))=FALSE,VLOOKUP($A12,base81,+V$1,FALSE),0)/1000+IF(ISNA(VLOOKUP($B12,base81,+V$1,FALSE))=FALSE,VLOOKUP($B12,base81,+V$1,FALSE),0)/1000+IF(ISNA(VLOOKUP($C12,base81,+V$1,FALSE))=FALSE,VLOOKUP($C12,base81,+V$1,FALSE),0)/1000-V13-V20-IF(ISNA(VLOOKUP($D12,base81,+V$1,FALSE))=FALSE,VLOOKUP($D12,base81,+V$1,FALSE),0)/1000</f>
        <v>1196.80438</v>
      </c>
      <c r="W12" s="77">
        <f t="shared" ref="W12" si="29">+V12/V$8</f>
        <v>0.80207438677907994</v>
      </c>
      <c r="X12" s="59">
        <f>IF(ISNA(VLOOKUP($A12,base81,+X$1,FALSE))=FALSE,VLOOKUP($A12,base81,+X$1,FALSE),0)/1000+IF(ISNA(VLOOKUP($B12,base81,+X$1,FALSE))=FALSE,VLOOKUP($B12,base81,+X$1,FALSE),0)/1000+IF(ISNA(VLOOKUP($C12,base81,+X$1,FALSE))=FALSE,VLOOKUP($C12,base81,+X$1,FALSE),0)/1000-X13-X20-IF(ISNA(VLOOKUP($D12,base81,+X$1,FALSE))=FALSE,VLOOKUP($D12,base81,+X$1,FALSE),0)/1000</f>
        <v>2674.7855700000005</v>
      </c>
      <c r="Y12" s="77">
        <f t="shared" ref="Y12" si="30">+X12/X$8</f>
        <v>1.6961620037496115</v>
      </c>
      <c r="Z12" s="59">
        <f>IF(ISNA(VLOOKUP($A12,base81,+Z$1,FALSE))=FALSE,VLOOKUP($A12,base81,+Z$1,FALSE),0)/1000+IF(ISNA(VLOOKUP($B12,base81,+Z$1,FALSE))=FALSE,VLOOKUP($B12,base81,+Z$1,FALSE),0)/1000+IF(ISNA(VLOOKUP($C12,base81,+Z$1,FALSE))=FALSE,VLOOKUP($C12,base81,+Z$1,FALSE),0)/1000-Z13-Z20-IF(ISNA(VLOOKUP($D12,base81,+Z$1,FALSE))=FALSE,VLOOKUP($D12,base81,+Z$1,FALSE),0)/1000</f>
        <v>-240.28460999999999</v>
      </c>
      <c r="AA12" s="77">
        <f t="shared" ref="AA12" si="31">+Z12/Z$8</f>
        <v>-0.14651020610160131</v>
      </c>
      <c r="AB12" s="59">
        <f>IF(ISNA(VLOOKUP($A12,base81,+AB$1,FALSE))=FALSE,VLOOKUP($A12,base81,+AB$1,FALSE),0)/1000+IF(ISNA(VLOOKUP($B12,base81,+AB$1,FALSE))=FALSE,VLOOKUP($B12,base81,+AB$1,FALSE),0)/1000+IF(ISNA(VLOOKUP($C12,base81,+AB$1,FALSE))=FALSE,VLOOKUP($C12,base81,+AB$1,FALSE),0)/1000-AB13-AB20-IF(ISNA(VLOOKUP($D12,base81,+AB$1,FALSE))=FALSE,VLOOKUP($D12,base81,+AB$1,FALSE),0)/1000</f>
        <v>2181.2461400000002</v>
      </c>
      <c r="AC12" s="77">
        <f t="shared" ref="AC12" si="32">+AB12/AB$8</f>
        <v>1.1089277691953043</v>
      </c>
      <c r="AD12" s="59">
        <f>IF(ISNA(VLOOKUP($A12,base81,+AD$1,FALSE))=FALSE,VLOOKUP($A12,base81,+AD$1,FALSE),0)/1000+IF(ISNA(VLOOKUP($B12,base81,+AD$1,FALSE))=FALSE,VLOOKUP($B12,base81,+AD$1,FALSE),0)/1000+IF(ISNA(VLOOKUP($C12,base81,+AD$1,FALSE))=FALSE,VLOOKUP($C12,base81,+AD$1,FALSE),0)/1000-AD13-AD20-IF(ISNA(VLOOKUP($D12,base81,+AD$1,FALSE))=FALSE,VLOOKUP($D12,base81,+AD$1,FALSE),0)/1000-21</f>
        <v>1782.0035300000009</v>
      </c>
      <c r="AE12" s="77">
        <f t="shared" ref="AE12" si="33">+AD12/AD$8</f>
        <v>1.1806019467968289</v>
      </c>
      <c r="AG12" s="59">
        <f ca="1">SUM(H42:INDIRECT("F42C"&amp;[1]Cabecera!$C$8,0))</f>
        <v>16807.752479999999</v>
      </c>
      <c r="AH12" s="77">
        <f ca="1">+AG12/AG$8</f>
        <v>0.8275495344310968</v>
      </c>
      <c r="AI12" s="59">
        <f>+H12+J12+L12+N12+P12+R12+T12+V12+X12+Z12+AB12+AD12</f>
        <v>16807.752479999999</v>
      </c>
      <c r="AJ12" s="77">
        <f>+AI12/AI$8</f>
        <v>0.8275495344310968</v>
      </c>
    </row>
    <row r="13" spans="1:36" x14ac:dyDescent="0.25">
      <c r="A13" s="61">
        <v>510101010010</v>
      </c>
      <c r="B13" s="61"/>
      <c r="C13" s="61"/>
      <c r="D13" s="61"/>
      <c r="E13" s="57" t="s">
        <v>57</v>
      </c>
      <c r="F13" s="58"/>
      <c r="H13" s="59">
        <f>IF(ISNA(VLOOKUP($A13,base81,+H$1,FALSE))=FALSE,VLOOKUP($A13,base81,+H$1,FALSE),0)/1000-IF(ISNA(VLOOKUP($B13,base81,+H$1,FALSE))=FALSE,VLOOKUP($B13,base81,+H$1,FALSE),0)/1000</f>
        <v>80.470130000000012</v>
      </c>
      <c r="I13" s="77">
        <f>+H13/H$9</f>
        <v>0.66287332179313418</v>
      </c>
      <c r="J13" s="59">
        <f>IF(ISNA(VLOOKUP($A13,base81,+J$1,FALSE))=FALSE,VLOOKUP($A13,base81,+J$1,FALSE),0)/1000-IF(ISNA(VLOOKUP($B13,base81,+J$1,FALSE))=FALSE,VLOOKUP($B13,base81,+J$1,FALSE),0)/1000</f>
        <v>74.891670000000005</v>
      </c>
      <c r="K13" s="77">
        <f t="shared" ref="K13" si="34">+J13/J$9</f>
        <v>0.58908781051192705</v>
      </c>
      <c r="L13" s="59">
        <f>IF(ISNA(VLOOKUP($A13,base81,+L$1,FALSE))=FALSE,VLOOKUP($A13,base81,+L$1,FALSE),0)/1000-IF(ISNA(VLOOKUP($B13,base81,+L$1,FALSE))=FALSE,VLOOKUP($B13,base81,+L$1,FALSE),0)/1000</f>
        <v>89.709550000000007</v>
      </c>
      <c r="M13" s="77">
        <f t="shared" ref="M13" si="35">+L13/L$9</f>
        <v>0.79120386094603989</v>
      </c>
      <c r="N13" s="59">
        <f>IF(ISNA(VLOOKUP($A13,base81,+N$1,FALSE))=FALSE,VLOOKUP($A13,base81,+N$1,FALSE),0)/1000-IF(ISNA(VLOOKUP($B13,base81,+N$1,FALSE))=FALSE,VLOOKUP($B13,base81,+N$1,FALSE),0)/1000</f>
        <v>141.10760000000002</v>
      </c>
      <c r="O13" s="77">
        <f t="shared" ref="O13" si="36">+N13/N$9</f>
        <v>0.65919962806512489</v>
      </c>
      <c r="P13" s="59">
        <f>IF(ISNA(VLOOKUP($A13,base81,+P$1,FALSE))=FALSE,VLOOKUP($A13,base81,+P$1,FALSE),0)/1000-IF(ISNA(VLOOKUP($B13,base81,+P$1,FALSE))=FALSE,VLOOKUP($B13,base81,+P$1,FALSE),0)/1000</f>
        <v>161.02952999999999</v>
      </c>
      <c r="Q13" s="77">
        <f t="shared" ref="Q13" si="37">+P13/P$9</f>
        <v>0.75958439767677743</v>
      </c>
      <c r="R13" s="59">
        <f>IF(ISNA(VLOOKUP($A13,base81,+R$1,FALSE))=FALSE,VLOOKUP($A13,base81,+R$1,FALSE),0)/1000-IF(ISNA(VLOOKUP($B13,base81,+R$1,FALSE))=FALSE,VLOOKUP($B13,base81,+R$1,FALSE),0)/1000</f>
        <v>74.891670000000005</v>
      </c>
      <c r="S13" s="77">
        <f t="shared" ref="S13" si="38">+R13/R$9</f>
        <v>0.50789828995564523</v>
      </c>
      <c r="T13" s="59">
        <f>IF(ISNA(VLOOKUP($A13,base81,+T$1,FALSE))=FALSE,VLOOKUP($A13,base81,+T$1,FALSE),0)/1000-IF(ISNA(VLOOKUP($B13,base81,+T$1,FALSE))=FALSE,VLOOKUP($B13,base81,+T$1,FALSE),0)/1000</f>
        <v>97.777990000000003</v>
      </c>
      <c r="U13" s="77">
        <f t="shared" ref="U13" si="39">+T13/T$9</f>
        <v>0.79861905814757261</v>
      </c>
      <c r="V13" s="59">
        <f>IF(ISNA(VLOOKUP($A13,base81,+V$1,FALSE))=FALSE,VLOOKUP($A13,base81,+V$1,FALSE),0)/1000-IF(ISNA(VLOOKUP($B13,base81,+V$1,FALSE))=FALSE,VLOOKUP($B13,base81,+V$1,FALSE),0)/1000</f>
        <v>39.749839999999999</v>
      </c>
      <c r="W13" s="77">
        <f t="shared" ref="W13" si="40">+V13/V$9</f>
        <v>0.77180798349741675</v>
      </c>
      <c r="X13" s="59">
        <f>IF(ISNA(VLOOKUP($A13,base81,+X$1,FALSE))=FALSE,VLOOKUP($A13,base81,+X$1,FALSE),0)/1000-IF(ISNA(VLOOKUP($B13,base81,+X$1,FALSE))=FALSE,VLOOKUP($B13,base81,+X$1,FALSE),0)/1000</f>
        <v>0</v>
      </c>
      <c r="Y13" s="77">
        <f t="shared" ref="Y13" si="41">+X13/X$9</f>
        <v>0</v>
      </c>
      <c r="Z13" s="59">
        <f>IF(ISNA(VLOOKUP($A13,base81,+Z$1,FALSE))=FALSE,VLOOKUP($A13,base81,+Z$1,FALSE),0)/1000-IF(ISNA(VLOOKUP($B13,base81,+Z$1,FALSE))=FALSE,VLOOKUP($B13,base81,+Z$1,FALSE),0)/1000</f>
        <v>0</v>
      </c>
      <c r="AA13" s="77">
        <f t="shared" ref="AA13" si="42">+Z13/Z$9</f>
        <v>0</v>
      </c>
      <c r="AB13" s="59">
        <f>IF(ISNA(VLOOKUP($A13,base81,+AB$1,FALSE))=FALSE,VLOOKUP($A13,base81,+AB$1,FALSE),0)/1000-IF(ISNA(VLOOKUP($B13,base81,+AB$1,FALSE))=FALSE,VLOOKUP($B13,base81,+AB$1,FALSE),0)/1000</f>
        <v>0</v>
      </c>
      <c r="AC13" s="77">
        <f t="shared" ref="AC13" si="43">+AB13/AB$9</f>
        <v>0</v>
      </c>
      <c r="AD13" s="59">
        <f>IF(ISNA(VLOOKUP($A13,base81,+AD$1,FALSE))=FALSE,VLOOKUP($A13,base81,+AD$1,FALSE),0)/1000-IF(ISNA(VLOOKUP($B13,base81,+AD$1,FALSE))=FALSE,VLOOKUP($B13,base81,+AD$1,FALSE),0)/1000</f>
        <v>241.47846999999999</v>
      </c>
      <c r="AE13" s="77">
        <f t="shared" ref="AE13" si="44">+AD13/AD$9</f>
        <v>11.404038853695093</v>
      </c>
      <c r="AG13" s="59">
        <f ca="1">SUM(H43:INDIRECT("F43C"&amp;[1]Cabecera!$C$8,0))</f>
        <v>1001.10645</v>
      </c>
      <c r="AH13" s="77">
        <f ca="1">+AG13/AG$9</f>
        <v>0.67502104850544198</v>
      </c>
      <c r="AI13" s="59">
        <f>+H13+J13+L13+N13+P13+R13+T13+V13+X13+Z13+AB13+AD13</f>
        <v>1001.10645</v>
      </c>
      <c r="AJ13" s="77">
        <f>+AI13/AI$9</f>
        <v>0.67502104850544198</v>
      </c>
    </row>
    <row r="14" spans="1:36" ht="9" customHeight="1" thickBot="1" x14ac:dyDescent="0.3">
      <c r="E14" s="78"/>
      <c r="F14" s="79"/>
      <c r="H14" s="80"/>
      <c r="I14" s="81"/>
      <c r="J14" s="80"/>
      <c r="K14" s="81"/>
      <c r="L14" s="80"/>
      <c r="M14" s="81"/>
      <c r="N14" s="80"/>
      <c r="O14" s="81"/>
      <c r="P14" s="80"/>
      <c r="Q14" s="81"/>
      <c r="R14" s="80"/>
      <c r="S14" s="81"/>
      <c r="T14" s="80"/>
      <c r="U14" s="81"/>
      <c r="V14" s="80"/>
      <c r="W14" s="81"/>
      <c r="X14" s="80"/>
      <c r="Y14" s="81"/>
      <c r="Z14" s="80"/>
      <c r="AA14" s="81"/>
      <c r="AB14" s="80"/>
      <c r="AC14" s="81"/>
      <c r="AD14" s="80"/>
      <c r="AE14" s="81"/>
      <c r="AG14" s="80"/>
      <c r="AH14" s="81"/>
      <c r="AI14" s="80"/>
      <c r="AJ14" s="81"/>
    </row>
    <row r="15" spans="1:36" s="35" customFormat="1" ht="13.5" thickBot="1" x14ac:dyDescent="0.25">
      <c r="E15" s="82" t="s">
        <v>58</v>
      </c>
      <c r="F15" s="83"/>
      <c r="H15" s="84">
        <f>+H10-H12-H13</f>
        <v>529.48311999999976</v>
      </c>
      <c r="I15" s="85">
        <f>+H15/H$10</f>
        <v>0.26006474291011922</v>
      </c>
      <c r="J15" s="84">
        <f t="shared" ref="J15" si="45">+J10-J12-J13</f>
        <v>500.74469999999997</v>
      </c>
      <c r="K15" s="85">
        <f t="shared" ref="K15" si="46">+J15/J$10</f>
        <v>0.26289892926262326</v>
      </c>
      <c r="L15" s="84">
        <f t="shared" ref="L15" si="47">+L10-L12-L13</f>
        <v>254.77238000000014</v>
      </c>
      <c r="M15" s="85">
        <f t="shared" ref="M15" si="48">+L15/L$10</f>
        <v>0.17854260196784816</v>
      </c>
      <c r="N15" s="84">
        <f t="shared" ref="N15" si="49">+N10-N12-N13</f>
        <v>633.96003999999994</v>
      </c>
      <c r="O15" s="85">
        <f t="shared" ref="O15" si="50">+N15/N$10</f>
        <v>0.28715680707487357</v>
      </c>
      <c r="P15" s="84">
        <f t="shared" ref="P15" si="51">+P10-P12-P13</f>
        <v>424.49831999999992</v>
      </c>
      <c r="Q15" s="85">
        <f t="shared" ref="Q15" si="52">+P15/P$10</f>
        <v>0.18682362072361072</v>
      </c>
      <c r="R15" s="84">
        <f t="shared" ref="R15" si="53">+R10-R12-R13</f>
        <v>593.09154999999987</v>
      </c>
      <c r="S15" s="85">
        <f t="shared" ref="S15" si="54">+R15/R$10</f>
        <v>0.29511948907007829</v>
      </c>
      <c r="T15" s="84">
        <f t="shared" ref="T15" si="55">+T10-T12-T13</f>
        <v>312.95398000000006</v>
      </c>
      <c r="U15" s="85">
        <f t="shared" ref="U15" si="56">+T15/T$10</f>
        <v>0.23612289373719891</v>
      </c>
      <c r="V15" s="84">
        <f t="shared" ref="V15" si="57">+V10-V12-V13</f>
        <v>307.08440999999988</v>
      </c>
      <c r="W15" s="85">
        <f t="shared" ref="W15" si="58">+V15/V$10</f>
        <v>0.19893542700469985</v>
      </c>
      <c r="X15" s="84">
        <f t="shared" ref="X15" si="59">+X10-X12-X13</f>
        <v>-969.22617000000037</v>
      </c>
      <c r="Y15" s="85">
        <f t="shared" ref="Y15" si="60">+X15/X$10</f>
        <v>-0.56827464936137684</v>
      </c>
      <c r="Z15" s="84">
        <f t="shared" ref="Z15" si="61">+Z10-Z12-Z13</f>
        <v>1989.30225</v>
      </c>
      <c r="AA15" s="85">
        <f t="shared" ref="AA15" si="62">+Z15/Z$10</f>
        <v>1.1373826109609735</v>
      </c>
      <c r="AB15" s="84">
        <f t="shared" ref="AB15" si="63">+AB10-AB12-AB13</f>
        <v>-99.276830000000245</v>
      </c>
      <c r="AC15" s="85">
        <f t="shared" ref="AC15" si="64">+AB15/AB$10</f>
        <v>-4.7684098667141378E-2</v>
      </c>
      <c r="AD15" s="84">
        <f t="shared" ref="AD15" si="65">+AD10-AD12-AD13</f>
        <v>-492.90468000000078</v>
      </c>
      <c r="AE15" s="85">
        <f t="shared" ref="AE15" si="66">+AD15/AD$10</f>
        <v>-0.32203840574352738</v>
      </c>
      <c r="AG15" s="84">
        <f ca="1">+AG10-AG12-AG13</f>
        <v>3984.4830700000011</v>
      </c>
      <c r="AH15" s="85">
        <f ca="1">+AG15/AG$10</f>
        <v>0.18283029147158802</v>
      </c>
      <c r="AI15" s="84">
        <f>+AI10-AI12-AI13</f>
        <v>3984.4830700000011</v>
      </c>
      <c r="AJ15" s="85">
        <f>+AI15/AI$10</f>
        <v>0.18283029147158802</v>
      </c>
    </row>
    <row r="16" spans="1:36" ht="8.25" customHeight="1" x14ac:dyDescent="0.25">
      <c r="E16" s="57"/>
      <c r="F16" s="58"/>
      <c r="H16" s="59"/>
      <c r="I16" s="77"/>
      <c r="J16" s="59"/>
      <c r="K16" s="77"/>
      <c r="L16" s="59"/>
      <c r="M16" s="77"/>
      <c r="N16" s="59"/>
      <c r="O16" s="77"/>
      <c r="P16" s="59"/>
      <c r="Q16" s="77"/>
      <c r="R16" s="59"/>
      <c r="S16" s="77"/>
      <c r="T16" s="59"/>
      <c r="U16" s="77"/>
      <c r="V16" s="59"/>
      <c r="W16" s="77"/>
      <c r="X16" s="59"/>
      <c r="Y16" s="77"/>
      <c r="Z16" s="59"/>
      <c r="AA16" s="77"/>
      <c r="AB16" s="59"/>
      <c r="AC16" s="77"/>
      <c r="AD16" s="59"/>
      <c r="AE16" s="77"/>
      <c r="AG16" s="59"/>
      <c r="AH16" s="77"/>
      <c r="AI16" s="59"/>
      <c r="AJ16" s="77"/>
    </row>
    <row r="17" spans="1:37" x14ac:dyDescent="0.25">
      <c r="A17" s="61">
        <v>5201</v>
      </c>
      <c r="E17" s="57" t="s">
        <v>59</v>
      </c>
      <c r="F17" s="58"/>
      <c r="H17" s="59">
        <f>IF(ISNA(VLOOKUP($A17,base81,+H$1,FALSE))=FALSE,VLOOKUP($A17,base81,+H$1,FALSE),0)/1000+IF(ISNA(VLOOKUP($B17,base81,+H$1,FALSE))=FALSE,VLOOKUP($B17,base81,+H$1,FALSE),0)/1000+IF(ISNA(VLOOKUP($C17,base81,+H$1,FALSE))=FALSE,VLOOKUP($C17,base81,+H$1,FALSE),0)/1000-H19</f>
        <v>54.557470000000002</v>
      </c>
      <c r="I17" s="77">
        <f>+H17/H$10</f>
        <v>2.6796839924522142E-2</v>
      </c>
      <c r="J17" s="59">
        <f>IF(ISNA(VLOOKUP($A17,base81,+J$1,FALSE))=FALSE,VLOOKUP($A17,base81,+J$1,FALSE),0)/1000+IF(ISNA(VLOOKUP($B17,base81,+J$1,FALSE))=FALSE,VLOOKUP($B17,base81,+J$1,FALSE),0)/1000+IF(ISNA(VLOOKUP($C17,base81,+J$1,FALSE))=FALSE,VLOOKUP($C17,base81,+J$1,FALSE),0)/1000-J19</f>
        <v>47.831980000000001</v>
      </c>
      <c r="K17" s="77">
        <f t="shared" ref="K17:K21" si="67">+J17/J$10</f>
        <v>2.5112550021021113E-2</v>
      </c>
      <c r="L17" s="59">
        <f>IF(ISNA(VLOOKUP($A17,base81,+L$1,FALSE))=FALSE,VLOOKUP($A17,base81,+L$1,FALSE),0)/1000+IF(ISNA(VLOOKUP($B17,base81,+L$1,FALSE))=FALSE,VLOOKUP($B17,base81,+L$1,FALSE),0)/1000+IF(ISNA(VLOOKUP($C17,base81,+L$1,FALSE))=FALSE,VLOOKUP($C17,base81,+L$1,FALSE),0)/1000-L19</f>
        <v>38.5473</v>
      </c>
      <c r="M17" s="77">
        <f t="shared" ref="M17:M21" si="68">+L17/L$10</f>
        <v>2.7013663101295476E-2</v>
      </c>
      <c r="N17" s="59">
        <f>IF(ISNA(VLOOKUP($A17,base81,+N$1,FALSE))=FALSE,VLOOKUP($A17,base81,+N$1,FALSE),0)/1000+IF(ISNA(VLOOKUP($B17,base81,+N$1,FALSE))=FALSE,VLOOKUP($B17,base81,+N$1,FALSE),0)/1000+IF(ISNA(VLOOKUP($C17,base81,+N$1,FALSE))=FALSE,VLOOKUP($C17,base81,+N$1,FALSE),0)/1000-N19</f>
        <v>38.767330000000001</v>
      </c>
      <c r="O17" s="77">
        <f t="shared" ref="O17:O21" si="69">+N17/N$10</f>
        <v>1.7559943843807508E-2</v>
      </c>
      <c r="P17" s="59">
        <f>IF(ISNA(VLOOKUP($A17,base81,+P$1,FALSE))=FALSE,VLOOKUP($A17,base81,+P$1,FALSE),0)/1000+IF(ISNA(VLOOKUP($B17,base81,+P$1,FALSE))=FALSE,VLOOKUP($B17,base81,+P$1,FALSE),0)/1000+IF(ISNA(VLOOKUP($C17,base81,+P$1,FALSE))=FALSE,VLOOKUP($C17,base81,+P$1,FALSE),0)/1000-P19</f>
        <v>46.903269999999999</v>
      </c>
      <c r="Q17" s="77">
        <f t="shared" ref="Q17:Q21" si="70">+P17/P$10</f>
        <v>2.0642340175049716E-2</v>
      </c>
      <c r="R17" s="59">
        <f>IF(ISNA(VLOOKUP($A17,base81,+R$1,FALSE))=FALSE,VLOOKUP($A17,base81,+R$1,FALSE),0)/1000+IF(ISNA(VLOOKUP($B17,base81,+R$1,FALSE))=FALSE,VLOOKUP($B17,base81,+R$1,FALSE),0)/1000+IF(ISNA(VLOOKUP($C17,base81,+R$1,FALSE))=FALSE,VLOOKUP($C17,base81,+R$1,FALSE),0)/1000-R19</f>
        <v>39.29598</v>
      </c>
      <c r="S17" s="77">
        <f t="shared" ref="S17:S21" si="71">+R17/R$10</f>
        <v>1.9553489743881897E-2</v>
      </c>
      <c r="T17" s="59">
        <f>IF(ISNA(VLOOKUP($A17,base81,+T$1,FALSE))=FALSE,VLOOKUP($A17,base81,+T$1,FALSE),0)/1000+IF(ISNA(VLOOKUP($B17,base81,+T$1,FALSE))=FALSE,VLOOKUP($B17,base81,+T$1,FALSE),0)/1000+IF(ISNA(VLOOKUP($C17,base81,+T$1,FALSE))=FALSE,VLOOKUP($C17,base81,+T$1,FALSE),0)/1000-T19</f>
        <v>60.569810000000004</v>
      </c>
      <c r="U17" s="77">
        <f t="shared" ref="U17:U21" si="72">+T17/T$10</f>
        <v>4.5699750520227692E-2</v>
      </c>
      <c r="V17" s="59">
        <f>IF(ISNA(VLOOKUP($A17,base81,+V$1,FALSE))=FALSE,VLOOKUP($A17,base81,+V$1,FALSE),0)/1000+IF(ISNA(VLOOKUP($B17,base81,+V$1,FALSE))=FALSE,VLOOKUP($B17,base81,+V$1,FALSE),0)/1000+IF(ISNA(VLOOKUP($C17,base81,+V$1,FALSE))=FALSE,VLOOKUP($C17,base81,+V$1,FALSE),0)/1000-V19</f>
        <v>42.292650000000002</v>
      </c>
      <c r="W17" s="77">
        <f t="shared" ref="W17:W21" si="73">+V17/V$10</f>
        <v>2.7398025145302308E-2</v>
      </c>
      <c r="X17" s="59">
        <f>IF(ISNA(VLOOKUP($A17,base81,+X$1,FALSE))=FALSE,VLOOKUP($A17,base81,+X$1,FALSE),0)/1000+IF(ISNA(VLOOKUP($B17,base81,+X$1,FALSE))=FALSE,VLOOKUP($B17,base81,+X$1,FALSE),0)/1000+IF(ISNA(VLOOKUP($C17,base81,+X$1,FALSE))=FALSE,VLOOKUP($C17,base81,+X$1,FALSE),0)/1000-X19</f>
        <v>68.925080000000008</v>
      </c>
      <c r="Y17" s="77">
        <f t="shared" ref="Y17:Y21" si="74">+X17/X$10</f>
        <v>4.0412007931239453E-2</v>
      </c>
      <c r="Z17" s="59">
        <f>IF(ISNA(VLOOKUP($A17,base81,+Z$1,FALSE))=FALSE,VLOOKUP($A17,base81,+Z$1,FALSE),0)/1000+IF(ISNA(VLOOKUP($B17,base81,+Z$1,FALSE))=FALSE,VLOOKUP($B17,base81,+Z$1,FALSE),0)/1000+IF(ISNA(VLOOKUP($C17,base81,+Z$1,FALSE))=FALSE,VLOOKUP($C17,base81,+Z$1,FALSE),0)/1000-Z19</f>
        <v>40.646639999999998</v>
      </c>
      <c r="AA17" s="77">
        <f t="shared" ref="AA17:AA21" si="75">+Z17/Z$10</f>
        <v>2.3239696999282407E-2</v>
      </c>
      <c r="AB17" s="59">
        <f>IF(ISNA(VLOOKUP($A17,base81,+AB$1,FALSE))=FALSE,VLOOKUP($A17,base81,+AB$1,FALSE),0)/1000+IF(ISNA(VLOOKUP($B17,base81,+AB$1,FALSE))=FALSE,VLOOKUP($B17,base81,+AB$1,FALSE),0)/1000+IF(ISNA(VLOOKUP($C17,base81,+AB$1,FALSE))=FALSE,VLOOKUP($C17,base81,+AB$1,FALSE),0)/1000-AB19</f>
        <v>38.446379999999998</v>
      </c>
      <c r="AC17" s="77">
        <f t="shared" ref="AC17:AC21" si="76">+AB17/AB$10</f>
        <v>1.8466352897392131E-2</v>
      </c>
      <c r="AD17" s="59">
        <f>IF(ISNA(VLOOKUP($A17,base81,+AD$1,FALSE))=FALSE,VLOOKUP($A17,base81,+AD$1,FALSE),0)/1000+IF(ISNA(VLOOKUP($B17,base81,+AD$1,FALSE))=FALSE,VLOOKUP($B17,base81,+AD$1,FALSE),0)/1000+IF(ISNA(VLOOKUP($C17,base81,+AD$1,FALSE))=FALSE,VLOOKUP($C17,base81,+AD$1,FALSE),0)/1000-AD19</f>
        <v>42.551600000000001</v>
      </c>
      <c r="AE17" s="77">
        <f t="shared" ref="AE17:AE21" si="77">+AD17/AD$10</f>
        <v>2.7801013019061328E-2</v>
      </c>
      <c r="AG17" s="59">
        <f ca="1">SUM(H47:INDIRECT("F47C"&amp;[1]Cabecera!$C$8,0))</f>
        <v>559.33549000000005</v>
      </c>
      <c r="AH17" s="77">
        <f t="shared" ref="AH17:AJ21" ca="1" si="78">+AG17/AG$10</f>
        <v>2.5665429836323406E-2</v>
      </c>
      <c r="AI17" s="59">
        <f>+H17+J17+L17+N17+P17+R17+T17+V17+X17+Z17+AB17+AD17</f>
        <v>559.33549000000005</v>
      </c>
      <c r="AJ17" s="77">
        <f t="shared" si="78"/>
        <v>2.5665429836323406E-2</v>
      </c>
      <c r="AK17" s="18"/>
    </row>
    <row r="18" spans="1:37" x14ac:dyDescent="0.25">
      <c r="A18" s="61">
        <v>5202</v>
      </c>
      <c r="E18" s="57" t="s">
        <v>60</v>
      </c>
      <c r="F18" s="58"/>
      <c r="H18" s="59">
        <f>IF(ISNA(VLOOKUP($A18,base81,+H$1,FALSE))=FALSE,VLOOKUP($A18,base81,+H$1,FALSE),0)/1000+IF(ISNA(VLOOKUP($B18,base81,+H$1,FALSE))=FALSE,VLOOKUP($B18,base81,+H$1,FALSE),0)/1000+IF(ISNA(VLOOKUP($C18,base81,+H$1,FALSE))=FALSE,VLOOKUP($C18,base81,+H$1,FALSE),0)/1000</f>
        <v>142.10570999999999</v>
      </c>
      <c r="I18" s="77">
        <f>+H18/H$10</f>
        <v>6.979766406379484E-2</v>
      </c>
      <c r="J18" s="59">
        <f>IF(ISNA(VLOOKUP($A18,base81,+J$1,FALSE))=FALSE,VLOOKUP($A18,base81,+J$1,FALSE),0)/1000+IF(ISNA(VLOOKUP($B18,base81,+J$1,FALSE))=FALSE,VLOOKUP($B18,base81,+J$1,FALSE),0)/1000+IF(ISNA(VLOOKUP($C18,base81,+J$1,FALSE))=FALSE,VLOOKUP($C18,base81,+J$1,FALSE),0)/1000</f>
        <v>90.855729999999994</v>
      </c>
      <c r="K18" s="77">
        <f t="shared" si="67"/>
        <v>4.7700702841935221E-2</v>
      </c>
      <c r="L18" s="59">
        <f>IF(ISNA(VLOOKUP($A18,base81,+L$1,FALSE))=FALSE,VLOOKUP($A18,base81,+L$1,FALSE),0)/1000+IF(ISNA(VLOOKUP($B18,base81,+L$1,FALSE))=FALSE,VLOOKUP($B18,base81,+L$1,FALSE),0)/1000+IF(ISNA(VLOOKUP($C18,base81,+L$1,FALSE))=FALSE,VLOOKUP($C18,base81,+L$1,FALSE),0)/1000</f>
        <v>80.007649999999998</v>
      </c>
      <c r="M18" s="77">
        <f t="shared" si="68"/>
        <v>5.6068770124661466E-2</v>
      </c>
      <c r="N18" s="59">
        <f>IF(ISNA(VLOOKUP($A18,base81,+N$1,FALSE))=FALSE,VLOOKUP($A18,base81,+N$1,FALSE),0)/1000+IF(ISNA(VLOOKUP($B18,base81,+N$1,FALSE))=FALSE,VLOOKUP($B18,base81,+N$1,FALSE),0)/1000+IF(ISNA(VLOOKUP($C18,base81,+N$1,FALSE))=FALSE,VLOOKUP($C18,base81,+N$1,FALSE),0)/1000</f>
        <v>88.353750000000005</v>
      </c>
      <c r="O18" s="77">
        <f t="shared" si="69"/>
        <v>4.0020473124917487E-2</v>
      </c>
      <c r="P18" s="59">
        <f>IF(ISNA(VLOOKUP($A18,base81,+P$1,FALSE))=FALSE,VLOOKUP($A18,base81,+P$1,FALSE),0)/1000+IF(ISNA(VLOOKUP($B18,base81,+P$1,FALSE))=FALSE,VLOOKUP($B18,base81,+P$1,FALSE),0)/1000+IF(ISNA(VLOOKUP($C18,base81,+P$1,FALSE))=FALSE,VLOOKUP($C18,base81,+P$1,FALSE),0)/1000</f>
        <v>143.87351000000001</v>
      </c>
      <c r="Q18" s="77">
        <f t="shared" si="70"/>
        <v>6.3319379130675063E-2</v>
      </c>
      <c r="R18" s="59">
        <f>IF(ISNA(VLOOKUP($A18,base81,+R$1,FALSE))=FALSE,VLOOKUP($A18,base81,+R$1,FALSE),0)/1000+IF(ISNA(VLOOKUP($B18,base81,+R$1,FALSE))=FALSE,VLOOKUP($B18,base81,+R$1,FALSE),0)/1000+IF(ISNA(VLOOKUP($C18,base81,+R$1,FALSE))=FALSE,VLOOKUP($C18,base81,+R$1,FALSE),0)/1000</f>
        <v>90.377719999999997</v>
      </c>
      <c r="S18" s="77">
        <f t="shared" si="71"/>
        <v>4.4971516707190649E-2</v>
      </c>
      <c r="T18" s="59">
        <f>IF(ISNA(VLOOKUP($A18,base81,+T$1,FALSE))=FALSE,VLOOKUP($A18,base81,+T$1,FALSE),0)/1000+IF(ISNA(VLOOKUP($B18,base81,+T$1,FALSE))=FALSE,VLOOKUP($B18,base81,+T$1,FALSE),0)/1000+IF(ISNA(VLOOKUP($C18,base81,+T$1,FALSE))=FALSE,VLOOKUP($C18,base81,+T$1,FALSE),0)/1000</f>
        <v>103.76389</v>
      </c>
      <c r="U18" s="77">
        <f t="shared" si="72"/>
        <v>7.8289561846212649E-2</v>
      </c>
      <c r="V18" s="59">
        <f>IF(ISNA(VLOOKUP($A18,base81,+V$1,FALSE))=FALSE,VLOOKUP($A18,base81,+V$1,FALSE),0)/1000+IF(ISNA(VLOOKUP($B18,base81,+V$1,FALSE))=FALSE,VLOOKUP($B18,base81,+V$1,FALSE),0)/1000+IF(ISNA(VLOOKUP($C18,base81,+V$1,FALSE))=FALSE,VLOOKUP($C18,base81,+V$1,FALSE),0)/1000</f>
        <v>97.631749999999997</v>
      </c>
      <c r="W18" s="77">
        <f t="shared" si="73"/>
        <v>6.3247801721572627E-2</v>
      </c>
      <c r="X18" s="59">
        <f>IF(ISNA(VLOOKUP($A18,base81,+X$1,FALSE))=FALSE,VLOOKUP($A18,base81,+X$1,FALSE),0)/1000+IF(ISNA(VLOOKUP($B18,base81,+X$1,FALSE))=FALSE,VLOOKUP($B18,base81,+X$1,FALSE),0)/1000+IF(ISNA(VLOOKUP($C18,base81,+X$1,FALSE))=FALSE,VLOOKUP($C18,base81,+X$1,FALSE),0)/1000</f>
        <v>173.75363000000002</v>
      </c>
      <c r="Y18" s="77">
        <f t="shared" si="74"/>
        <v>0.10187486287490193</v>
      </c>
      <c r="Z18" s="59">
        <f>IF(ISNA(VLOOKUP($A18,base81,+Z$1,FALSE))=FALSE,VLOOKUP($A18,base81,+Z$1,FALSE),0)/1000+IF(ISNA(VLOOKUP($B18,base81,+Z$1,FALSE))=FALSE,VLOOKUP($B18,base81,+Z$1,FALSE),0)/1000+IF(ISNA(VLOOKUP($C18,base81,+Z$1,FALSE))=FALSE,VLOOKUP($C18,base81,+Z$1,FALSE),0)/1000</f>
        <v>130.4324</v>
      </c>
      <c r="AA18" s="77">
        <f t="shared" si="75"/>
        <v>7.4574662380191892E-2</v>
      </c>
      <c r="AB18" s="59">
        <f>IF(ISNA(VLOOKUP($A18,base81,+AB$1,FALSE))=FALSE,VLOOKUP($A18,base81,+AB$1,FALSE),0)/1000+IF(ISNA(VLOOKUP($B18,base81,+AB$1,FALSE))=FALSE,VLOOKUP($B18,base81,+AB$1,FALSE),0)/1000+IF(ISNA(VLOOKUP($C18,base81,+AB$1,FALSE))=FALSE,VLOOKUP($C18,base81,+AB$1,FALSE),0)/1000</f>
        <v>154.70348000000001</v>
      </c>
      <c r="AC18" s="77">
        <f t="shared" si="76"/>
        <v>7.4306321066759634E-2</v>
      </c>
      <c r="AD18" s="59">
        <f>IF(ISNA(VLOOKUP($A18,base81,+AD$1,FALSE))=FALSE,VLOOKUP($A18,base81,+AD$1,FALSE),0)/1000+IF(ISNA(VLOOKUP($B18,base81,+AD$1,FALSE))=FALSE,VLOOKUP($B18,base81,+AD$1,FALSE),0)/1000+IF(ISNA(VLOOKUP($C18,base81,+AD$1,FALSE))=FALSE,VLOOKUP($C18,base81,+AD$1,FALSE),0)/1000</f>
        <v>300.19536999999997</v>
      </c>
      <c r="AE18" s="77">
        <f t="shared" si="77"/>
        <v>0.19613211699752611</v>
      </c>
      <c r="AG18" s="59">
        <f ca="1">SUM(H48:INDIRECT("F48C"&amp;[1]Cabecera!$C$8,0))</f>
        <v>1596.0545899999997</v>
      </c>
      <c r="AH18" s="77">
        <f t="shared" ca="1" si="78"/>
        <v>7.3235880481295604E-2</v>
      </c>
      <c r="AI18" s="59">
        <f>+H18+J18+L18+N18+P18+R18+T18+V18+X18+Z18+AB18+AD18</f>
        <v>1596.0545899999997</v>
      </c>
      <c r="AJ18" s="77">
        <f t="shared" si="78"/>
        <v>7.3235880481295604E-2</v>
      </c>
    </row>
    <row r="19" spans="1:37" x14ac:dyDescent="0.25">
      <c r="A19" s="61">
        <v>520101030002</v>
      </c>
      <c r="E19" s="57" t="s">
        <v>61</v>
      </c>
      <c r="F19" s="58"/>
      <c r="H19" s="59">
        <f>IF(ISNA(VLOOKUP($A19,base81,+H$1,FALSE))=FALSE,VLOOKUP($A19,base81,+H$1,FALSE),0)/1000+IF(ISNA(VLOOKUP($B19,base81,+H$1,FALSE))=FALSE,VLOOKUP($B19,base81,+H$1,FALSE),0)/1000+IF(ISNA(VLOOKUP($C19,base81,+H$1,FALSE))=FALSE,VLOOKUP($C19,base81,+H$1,FALSE),0)/1000</f>
        <v>1.17852</v>
      </c>
      <c r="I19" s="77">
        <f>+H19/H$10</f>
        <v>5.7885037168783362E-4</v>
      </c>
      <c r="J19" s="59">
        <f>IF(ISNA(VLOOKUP($A19,base81,+J$1,FALSE))=FALSE,VLOOKUP($A19,base81,+J$1,FALSE),0)/1000+IF(ISNA(VLOOKUP($B19,base81,+J$1,FALSE))=FALSE,VLOOKUP($B19,base81,+J$1,FALSE),0)/1000+IF(ISNA(VLOOKUP($C19,base81,+J$1,FALSE))=FALSE,VLOOKUP($C19,base81,+J$1,FALSE),0)/1000</f>
        <v>0.93813000000000002</v>
      </c>
      <c r="K19" s="77">
        <f t="shared" si="67"/>
        <v>4.9253316612066938E-4</v>
      </c>
      <c r="L19" s="59">
        <f>IF(ISNA(VLOOKUP($A19,base81,+L$1,FALSE))=FALSE,VLOOKUP($A19,base81,+L$1,FALSE),0)/1000+IF(ISNA(VLOOKUP($B19,base81,+L$1,FALSE))=FALSE,VLOOKUP($B19,base81,+L$1,FALSE),0)/1000+IF(ISNA(VLOOKUP($C19,base81,+L$1,FALSE))=FALSE,VLOOKUP($C19,base81,+L$1,FALSE),0)/1000</f>
        <v>1.5081300000000002</v>
      </c>
      <c r="M19" s="77">
        <f t="shared" si="68"/>
        <v>1.0568863638427788E-3</v>
      </c>
      <c r="N19" s="59">
        <f>IF(ISNA(VLOOKUP($A19,base81,+N$1,FALSE))=FALSE,VLOOKUP($A19,base81,+N$1,FALSE),0)/1000+IF(ISNA(VLOOKUP($B19,base81,+N$1,FALSE))=FALSE,VLOOKUP($B19,base81,+N$1,FALSE),0)/1000+IF(ISNA(VLOOKUP($C19,base81,+N$1,FALSE))=FALSE,VLOOKUP($C19,base81,+N$1,FALSE),0)/1000</f>
        <v>0.93813000000000002</v>
      </c>
      <c r="O19" s="77">
        <f t="shared" si="69"/>
        <v>4.2493280084522552E-4</v>
      </c>
      <c r="P19" s="59">
        <f>IF(ISNA(VLOOKUP($A19,base81,+P$1,FALSE))=FALSE,VLOOKUP($A19,base81,+P$1,FALSE),0)/1000+IF(ISNA(VLOOKUP($B19,base81,+P$1,FALSE))=FALSE,VLOOKUP($B19,base81,+P$1,FALSE),0)/1000+IF(ISNA(VLOOKUP($C19,base81,+P$1,FALSE))=FALSE,VLOOKUP($C19,base81,+P$1,FALSE),0)/1000</f>
        <v>0.93813000000000002</v>
      </c>
      <c r="Q19" s="77">
        <f t="shared" si="70"/>
        <v>4.1287523425167138E-4</v>
      </c>
      <c r="R19" s="59">
        <f>IF(ISNA(VLOOKUP($A19,base81,+R$1,FALSE))=FALSE,VLOOKUP($A19,base81,+R$1,FALSE),0)/1000+IF(ISNA(VLOOKUP($B19,base81,+R$1,FALSE))=FALSE,VLOOKUP($B19,base81,+R$1,FALSE),0)/1000+IF(ISNA(VLOOKUP($C19,base81,+R$1,FALSE))=FALSE,VLOOKUP($C19,base81,+R$1,FALSE),0)/1000</f>
        <v>1.5081300000000002</v>
      </c>
      <c r="S19" s="77">
        <f t="shared" si="71"/>
        <v>7.5043819972019045E-4</v>
      </c>
      <c r="T19" s="59">
        <f>IF(ISNA(VLOOKUP($A19,base81,+T$1,FALSE))=FALSE,VLOOKUP($A19,base81,+T$1,FALSE),0)/1000+IF(ISNA(VLOOKUP($B19,base81,+T$1,FALSE))=FALSE,VLOOKUP($B19,base81,+T$1,FALSE),0)/1000+IF(ISNA(VLOOKUP($C19,base81,+T$1,FALSE))=FALSE,VLOOKUP($C19,base81,+T$1,FALSE),0)/1000</f>
        <v>1.5081300000000002</v>
      </c>
      <c r="U19" s="77">
        <f t="shared" si="72"/>
        <v>1.1378798241577939E-3</v>
      </c>
      <c r="V19" s="59">
        <f>IF(ISNA(VLOOKUP($A19,base81,+V$1,FALSE))=FALSE,VLOOKUP($A19,base81,+V$1,FALSE),0)/1000+IF(ISNA(VLOOKUP($B19,base81,+V$1,FALSE))=FALSE,VLOOKUP($B19,base81,+V$1,FALSE),0)/1000+IF(ISNA(VLOOKUP($C19,base81,+V$1,FALSE))=FALSE,VLOOKUP($C19,base81,+V$1,FALSE),0)/1000</f>
        <v>0</v>
      </c>
      <c r="W19" s="77">
        <f t="shared" si="73"/>
        <v>0</v>
      </c>
      <c r="X19" s="59">
        <f>IF(ISNA(VLOOKUP($A19,base81,+X$1,FALSE))=FALSE,VLOOKUP($A19,base81,+X$1,FALSE),0)/1000+IF(ISNA(VLOOKUP($B19,base81,+X$1,FALSE))=FALSE,VLOOKUP($B19,base81,+X$1,FALSE),0)/1000+IF(ISNA(VLOOKUP($C19,base81,+X$1,FALSE))=FALSE,VLOOKUP($C19,base81,+X$1,FALSE),0)/1000</f>
        <v>0.93813000000000002</v>
      </c>
      <c r="Y19" s="77">
        <f t="shared" si="74"/>
        <v>5.5004240837346389E-4</v>
      </c>
      <c r="Z19" s="59">
        <f>IF(ISNA(VLOOKUP($A19,base81,+Z$1,FALSE))=FALSE,VLOOKUP($A19,base81,+Z$1,FALSE),0)/1000+IF(ISNA(VLOOKUP($B19,base81,+Z$1,FALSE))=FALSE,VLOOKUP($B19,base81,+Z$1,FALSE),0)/1000+IF(ISNA(VLOOKUP($C19,base81,+Z$1,FALSE))=FALSE,VLOOKUP($C19,base81,+Z$1,FALSE),0)/1000</f>
        <v>0</v>
      </c>
      <c r="AA19" s="77">
        <f t="shared" si="75"/>
        <v>0</v>
      </c>
      <c r="AB19" s="59">
        <f>IF(ISNA(VLOOKUP($A19,base81,+AB$1,FALSE))=FALSE,VLOOKUP($A19,base81,+AB$1,FALSE),0)/1000+IF(ISNA(VLOOKUP($B19,base81,+AB$1,FALSE))=FALSE,VLOOKUP($B19,base81,+AB$1,FALSE),0)/1000+IF(ISNA(VLOOKUP($C19,base81,+AB$1,FALSE))=FALSE,VLOOKUP($C19,base81,+AB$1,FALSE),0)/1000</f>
        <v>2</v>
      </c>
      <c r="AC19" s="77">
        <f t="shared" si="76"/>
        <v>9.60628953747642E-4</v>
      </c>
      <c r="AD19" s="59">
        <f>IF(ISNA(VLOOKUP($A19,base81,+AD$1,FALSE))=FALSE,VLOOKUP($A19,base81,+AD$1,FALSE),0)/1000+IF(ISNA(VLOOKUP($B19,base81,+AD$1,FALSE))=FALSE,VLOOKUP($B19,base81,+AD$1,FALSE),0)/1000+IF(ISNA(VLOOKUP($C19,base81,+AD$1,FALSE))=FALSE,VLOOKUP($C19,base81,+AD$1,FALSE),0)/1000</f>
        <v>0.13250000000000001</v>
      </c>
      <c r="AE19" s="77">
        <f t="shared" si="77"/>
        <v>8.6568641955311339E-5</v>
      </c>
      <c r="AG19" s="59">
        <f ca="1">SUM(H49:INDIRECT("F49C"&amp;[1]Cabecera!$C$8,0))</f>
        <v>11.58793</v>
      </c>
      <c r="AH19" s="77">
        <f t="shared" ca="1" si="78"/>
        <v>5.3171881577410206E-4</v>
      </c>
      <c r="AI19" s="59">
        <f>+H19+J19+L19+N19+P19+R19+T19+V19+X19+Z19+AB19+AD19</f>
        <v>11.58793</v>
      </c>
      <c r="AJ19" s="77">
        <f t="shared" si="78"/>
        <v>5.3171881577410206E-4</v>
      </c>
    </row>
    <row r="20" spans="1:37" ht="15.75" thickBot="1" x14ac:dyDescent="0.3">
      <c r="A20" s="61">
        <v>510202050010</v>
      </c>
      <c r="E20" s="57" t="s">
        <v>62</v>
      </c>
      <c r="F20" s="58"/>
      <c r="H20" s="59">
        <f>IF(ISNA(VLOOKUP($A20,base81,+H$1,FALSE))=FALSE,VLOOKUP($A20,base81,+H$1,FALSE),0)/1000+IF(ISNA(VLOOKUP($B20,base81,+H$1,FALSE))=FALSE,VLOOKUP($B20,base81,+H$1,FALSE),0)/1000+IF(ISNA(VLOOKUP($C20,base81,+H$1,FALSE))=FALSE,VLOOKUP($C20,base81,+H$1,FALSE),0)/1000</f>
        <v>7.03</v>
      </c>
      <c r="I20" s="77">
        <f>+H20/H$10</f>
        <v>3.4529054347533098E-3</v>
      </c>
      <c r="J20" s="59">
        <f>IF(ISNA(VLOOKUP($A20,base81,+J$1,FALSE))=FALSE,VLOOKUP($A20,base81,+J$1,FALSE),0)/1000+IF(ISNA(VLOOKUP($B20,base81,+J$1,FALSE))=FALSE,VLOOKUP($B20,base81,+J$1,FALSE),0)/1000+IF(ISNA(VLOOKUP($C20,base81,+J$1,FALSE))=FALSE,VLOOKUP($C20,base81,+J$1,FALSE),0)/1000</f>
        <v>7.5</v>
      </c>
      <c r="K20" s="77">
        <f t="shared" si="67"/>
        <v>3.9376192488301412E-3</v>
      </c>
      <c r="L20" s="59">
        <f>IF(ISNA(VLOOKUP($A20,base81,+L$1,FALSE))=FALSE,VLOOKUP($A20,base81,+L$1,FALSE),0)/1000+IF(ISNA(VLOOKUP($B20,base81,+L$1,FALSE))=FALSE,VLOOKUP($B20,base81,+L$1,FALSE),0)/1000+IF(ISNA(VLOOKUP($C20,base81,+L$1,FALSE))=FALSE,VLOOKUP($C20,base81,+L$1,FALSE),0)/1000</f>
        <v>0</v>
      </c>
      <c r="M20" s="77">
        <f t="shared" si="68"/>
        <v>0</v>
      </c>
      <c r="N20" s="59">
        <f>IF(ISNA(VLOOKUP($A20,base81,+N$1,FALSE))=FALSE,VLOOKUP($A20,base81,+N$1,FALSE),0)/1000+IF(ISNA(VLOOKUP($B20,base81,+N$1,FALSE))=FALSE,VLOOKUP($B20,base81,+N$1,FALSE),0)/1000+IF(ISNA(VLOOKUP($C20,base81,+N$1,FALSE))=FALSE,VLOOKUP($C20,base81,+N$1,FALSE),0)/1000</f>
        <v>7.8550000000000004</v>
      </c>
      <c r="O20" s="77">
        <f t="shared" si="69"/>
        <v>3.5579793319041567E-3</v>
      </c>
      <c r="P20" s="59">
        <f>IF(ISNA(VLOOKUP($A20,base81,+P$1,FALSE))=FALSE,VLOOKUP($A20,base81,+P$1,FALSE),0)/1000+IF(ISNA(VLOOKUP($B20,base81,+P$1,FALSE))=FALSE,VLOOKUP($B20,base81,+P$1,FALSE),0)/1000+IF(ISNA(VLOOKUP($C20,base81,+P$1,FALSE))=FALSE,VLOOKUP($C20,base81,+P$1,FALSE),0)/1000</f>
        <v>0</v>
      </c>
      <c r="Q20" s="77">
        <f t="shared" si="70"/>
        <v>0</v>
      </c>
      <c r="R20" s="59">
        <f>IF(ISNA(VLOOKUP($A20,base81,+R$1,FALSE))=FALSE,VLOOKUP($A20,base81,+R$1,FALSE),0)/1000+IF(ISNA(VLOOKUP($B20,base81,+R$1,FALSE))=FALSE,VLOOKUP($B20,base81,+R$1,FALSE),0)/1000+IF(ISNA(VLOOKUP($C20,base81,+R$1,FALSE))=FALSE,VLOOKUP($C20,base81,+R$1,FALSE),0)/1000</f>
        <v>12.59</v>
      </c>
      <c r="S20" s="77">
        <f t="shared" si="71"/>
        <v>6.2647231568082303E-3</v>
      </c>
      <c r="T20" s="59">
        <f>IF(ISNA(VLOOKUP($A20,base81,+T$1,FALSE))=FALSE,VLOOKUP($A20,base81,+T$1,FALSE),0)/1000+IF(ISNA(VLOOKUP($B20,base81,+T$1,FALSE))=FALSE,VLOOKUP($B20,base81,+T$1,FALSE),0)/1000+IF(ISNA(VLOOKUP($C20,base81,+T$1,FALSE))=FALSE,VLOOKUP($C20,base81,+T$1,FALSE),0)/1000</f>
        <v>5.88</v>
      </c>
      <c r="U20" s="77">
        <f t="shared" si="72"/>
        <v>4.4364433875380953E-3</v>
      </c>
      <c r="V20" s="59">
        <f>IF(ISNA(VLOOKUP($A20,base81,+V$1,FALSE))=FALSE,VLOOKUP($A20,base81,+V$1,FALSE),0)/1000+IF(ISNA(VLOOKUP($B20,base81,+V$1,FALSE))=FALSE,VLOOKUP($B20,base81,+V$1,FALSE),0)/1000+IF(ISNA(VLOOKUP($C20,base81,+V$1,FALSE))=FALSE,VLOOKUP($C20,base81,+V$1,FALSE),0)/1000</f>
        <v>0</v>
      </c>
      <c r="W20" s="77">
        <f t="shared" si="73"/>
        <v>0</v>
      </c>
      <c r="X20" s="59">
        <f>IF(ISNA(VLOOKUP($A20,base81,+X$1,FALSE))=FALSE,VLOOKUP($A20,base81,+X$1,FALSE),0)/1000+IF(ISNA(VLOOKUP($B20,base81,+X$1,FALSE))=FALSE,VLOOKUP($B20,base81,+X$1,FALSE),0)/1000+IF(ISNA(VLOOKUP($C20,base81,+X$1,FALSE))=FALSE,VLOOKUP($C20,base81,+X$1,FALSE),0)/1000</f>
        <v>0</v>
      </c>
      <c r="Y20" s="77">
        <f t="shared" si="74"/>
        <v>0</v>
      </c>
      <c r="Z20" s="59">
        <f>IF(ISNA(VLOOKUP($A20,base81,+Z$1,FALSE))=FALSE,VLOOKUP($A20,base81,+Z$1,FALSE),0)/1000+IF(ISNA(VLOOKUP($B20,base81,+Z$1,FALSE))=FALSE,VLOOKUP($B20,base81,+Z$1,FALSE),0)/1000+IF(ISNA(VLOOKUP($C20,base81,+Z$1,FALSE))=FALSE,VLOOKUP($C20,base81,+Z$1,FALSE),0)/1000</f>
        <v>12.43</v>
      </c>
      <c r="AA20" s="77">
        <f t="shared" si="75"/>
        <v>7.1068465610215339E-3</v>
      </c>
      <c r="AB20" s="59">
        <f>IF(ISNA(VLOOKUP($A20,base81,+AB$1,FALSE))=FALSE,VLOOKUP($A20,base81,+AB$1,FALSE),0)/1000+IF(ISNA(VLOOKUP($B20,base81,+AB$1,FALSE))=FALSE,VLOOKUP($B20,base81,+AB$1,FALSE),0)/1000+IF(ISNA(VLOOKUP($C20,base81,+AB$1,FALSE))=FALSE,VLOOKUP($C20,base81,+AB$1,FALSE),0)/1000</f>
        <v>6.665</v>
      </c>
      <c r="AC20" s="77">
        <f t="shared" si="76"/>
        <v>3.2012959883640168E-3</v>
      </c>
      <c r="AD20" s="59">
        <f>IF(ISNA(VLOOKUP($A20,base81,+AD$1,FALSE))=FALSE,VLOOKUP($A20,base81,+AD$1,FALSE),0)/1000+IF(ISNA(VLOOKUP($B20,base81,+AD$1,FALSE))=FALSE,VLOOKUP($B20,base81,+AD$1,FALSE),0)/1000+IF(ISNA(VLOOKUP($C20,base81,+AD$1,FALSE))=FALSE,VLOOKUP($C20,base81,+AD$1,FALSE),0)/1000</f>
        <v>0</v>
      </c>
      <c r="AE20" s="77">
        <f t="shared" si="77"/>
        <v>0</v>
      </c>
      <c r="AG20" s="59">
        <f ca="1">SUM(H50:INDIRECT("F50C"&amp;[1]Cabecera!$C$8,0))</f>
        <v>59.95</v>
      </c>
      <c r="AH20" s="77">
        <f t="shared" ca="1" si="78"/>
        <v>2.7508401419112315E-3</v>
      </c>
      <c r="AI20" s="59">
        <f>+H20+J20+L20+N20+P20+R20+T20+V20+X20+Z20+AB20+AD20</f>
        <v>59.95</v>
      </c>
      <c r="AJ20" s="77">
        <f t="shared" si="78"/>
        <v>2.7508401419112315E-3</v>
      </c>
    </row>
    <row r="21" spans="1:37" ht="15.75" thickBot="1" x14ac:dyDescent="0.3">
      <c r="E21" s="82" t="s">
        <v>63</v>
      </c>
      <c r="F21" s="83"/>
      <c r="H21" s="84">
        <f>SUM(H16:H20)</f>
        <v>204.87169999999998</v>
      </c>
      <c r="I21" s="85">
        <f>+H21/H$10</f>
        <v>0.10062625979475812</v>
      </c>
      <c r="J21" s="84">
        <f t="shared" ref="J21" si="79">SUM(J16:J20)</f>
        <v>147.12583999999998</v>
      </c>
      <c r="K21" s="85">
        <f t="shared" si="67"/>
        <v>7.7243405277907129E-2</v>
      </c>
      <c r="L21" s="84">
        <f t="shared" ref="L21" si="80">SUM(L16:L20)</f>
        <v>120.06307999999999</v>
      </c>
      <c r="M21" s="85">
        <f t="shared" si="68"/>
        <v>8.4139319589799713E-2</v>
      </c>
      <c r="N21" s="84">
        <f t="shared" ref="N21" si="81">SUM(N16:N20)</f>
        <v>135.91421</v>
      </c>
      <c r="O21" s="85">
        <f t="shared" si="69"/>
        <v>6.1563329101474377E-2</v>
      </c>
      <c r="P21" s="84">
        <f t="shared" ref="P21" si="82">SUM(P16:P20)</f>
        <v>191.71491</v>
      </c>
      <c r="Q21" s="85">
        <f t="shared" si="70"/>
        <v>8.4374594539976436E-2</v>
      </c>
      <c r="R21" s="84">
        <f t="shared" ref="R21" si="83">SUM(R16:R20)</f>
        <v>143.77182999999999</v>
      </c>
      <c r="S21" s="85">
        <f t="shared" si="71"/>
        <v>7.154016780760096E-2</v>
      </c>
      <c r="T21" s="84">
        <f t="shared" ref="T21" si="84">SUM(T16:T20)</f>
        <v>171.72183000000001</v>
      </c>
      <c r="U21" s="85">
        <f t="shared" si="72"/>
        <v>0.12956363557813622</v>
      </c>
      <c r="V21" s="84">
        <f t="shared" ref="V21" si="85">SUM(V16:V20)</f>
        <v>139.92439999999999</v>
      </c>
      <c r="W21" s="85">
        <f t="shared" si="73"/>
        <v>9.0645826866874918E-2</v>
      </c>
      <c r="X21" s="84">
        <f t="shared" ref="X21" si="86">SUM(X16:X20)</f>
        <v>243.61684000000002</v>
      </c>
      <c r="Y21" s="85">
        <f t="shared" si="74"/>
        <v>0.14283691321451483</v>
      </c>
      <c r="Z21" s="84">
        <f t="shared" ref="Z21" si="87">SUM(Z16:Z20)</f>
        <v>183.50904</v>
      </c>
      <c r="AA21" s="85">
        <f t="shared" si="75"/>
        <v>0.10492120594049582</v>
      </c>
      <c r="AB21" s="84">
        <f t="shared" ref="AB21" si="88">SUM(AB16:AB20)</f>
        <v>201.81486000000001</v>
      </c>
      <c r="AC21" s="85">
        <f t="shared" si="76"/>
        <v>9.6934598906263422E-2</v>
      </c>
      <c r="AD21" s="84">
        <f t="shared" ref="AD21" si="89">SUM(AD16:AD20)</f>
        <v>342.87946999999997</v>
      </c>
      <c r="AE21" s="85">
        <f t="shared" si="77"/>
        <v>0.22401969865854274</v>
      </c>
      <c r="AG21" s="84">
        <f ca="1">SUM(AG16:AG20)</f>
        <v>2226.9280099999996</v>
      </c>
      <c r="AH21" s="85">
        <f t="shared" ca="1" si="78"/>
        <v>0.10218386927530433</v>
      </c>
      <c r="AI21" s="84">
        <f>SUM(AI16:AI20)</f>
        <v>2226.9280099999996</v>
      </c>
      <c r="AJ21" s="85">
        <f t="shared" si="78"/>
        <v>0.10218386927530433</v>
      </c>
    </row>
    <row r="22" spans="1:37" ht="8.25" customHeight="1" thickBot="1" x14ac:dyDescent="0.3">
      <c r="H22" s="86"/>
      <c r="I22" s="87"/>
      <c r="J22" s="86"/>
      <c r="K22" s="87"/>
      <c r="L22" s="86"/>
      <c r="M22" s="87"/>
      <c r="N22" s="86"/>
      <c r="O22" s="87"/>
      <c r="P22" s="86"/>
      <c r="Q22" s="87"/>
      <c r="R22" s="86"/>
      <c r="S22" s="87"/>
      <c r="T22" s="86"/>
      <c r="U22" s="87"/>
      <c r="V22" s="86"/>
      <c r="W22" s="87"/>
      <c r="X22" s="86"/>
      <c r="Y22" s="87"/>
      <c r="Z22" s="86"/>
      <c r="AA22" s="87"/>
      <c r="AB22" s="86"/>
      <c r="AC22" s="87"/>
      <c r="AD22" s="86"/>
      <c r="AE22" s="87"/>
      <c r="AG22" s="86"/>
      <c r="AH22" s="87"/>
      <c r="AI22" s="86"/>
      <c r="AJ22" s="87"/>
    </row>
    <row r="23" spans="1:37" s="35" customFormat="1" ht="13.5" thickBot="1" x14ac:dyDescent="0.25">
      <c r="E23" s="82" t="s">
        <v>64</v>
      </c>
      <c r="F23" s="83"/>
      <c r="H23" s="84">
        <f>+H15-H21</f>
        <v>324.61141999999978</v>
      </c>
      <c r="I23" s="85">
        <f>+H23/H$10</f>
        <v>0.1594384831153611</v>
      </c>
      <c r="J23" s="84">
        <f t="shared" ref="J23" si="90">+J15-J21</f>
        <v>353.61885999999998</v>
      </c>
      <c r="K23" s="85">
        <f t="shared" ref="K23" si="91">+J23/J$10</f>
        <v>0.18565552398471613</v>
      </c>
      <c r="L23" s="84">
        <f t="shared" ref="L23" si="92">+L15-L21</f>
        <v>134.70930000000016</v>
      </c>
      <c r="M23" s="85">
        <f t="shared" ref="M23" si="93">+L23/L$10</f>
        <v>9.4403282378048445E-2</v>
      </c>
      <c r="N23" s="84">
        <f t="shared" ref="N23" si="94">+N15-N21</f>
        <v>498.04582999999991</v>
      </c>
      <c r="O23" s="85">
        <f t="shared" ref="O23" si="95">+N23/N$10</f>
        <v>0.22559347797339921</v>
      </c>
      <c r="P23" s="84">
        <f t="shared" ref="P23" si="96">+P15-P21</f>
        <v>232.78340999999992</v>
      </c>
      <c r="Q23" s="85">
        <f t="shared" ref="Q23" si="97">+P23/P$10</f>
        <v>0.10244902618363429</v>
      </c>
      <c r="R23" s="84">
        <f t="shared" ref="R23" si="98">+R15-R21</f>
        <v>449.31971999999985</v>
      </c>
      <c r="S23" s="85">
        <f t="shared" ref="S23" si="99">+R23/R$10</f>
        <v>0.22357932126247729</v>
      </c>
      <c r="T23" s="84">
        <f t="shared" ref="T23" si="100">+T15-T21</f>
        <v>141.23215000000005</v>
      </c>
      <c r="U23" s="85">
        <f t="shared" ref="U23" si="101">+T23/T$10</f>
        <v>0.1065592581590627</v>
      </c>
      <c r="V23" s="84">
        <f t="shared" ref="V23" si="102">+V15-V21</f>
        <v>167.16000999999989</v>
      </c>
      <c r="W23" s="85">
        <f t="shared" ref="W23" si="103">+V23/V$10</f>
        <v>0.10828960013782493</v>
      </c>
      <c r="X23" s="84">
        <f t="shared" ref="X23" si="104">+X15-X21</f>
        <v>-1212.8430100000005</v>
      </c>
      <c r="Y23" s="85">
        <f t="shared" ref="Y23" si="105">+X23/X$10</f>
        <v>-0.71111156257589181</v>
      </c>
      <c r="Z23" s="84">
        <f t="shared" ref="Z23" si="106">+Z15-Z21</f>
        <v>1805.79321</v>
      </c>
      <c r="AA23" s="85">
        <f t="shared" ref="AA23" si="107">+Z23/Z$10</f>
        <v>1.0324614050204777</v>
      </c>
      <c r="AB23" s="84">
        <f t="shared" ref="AB23" si="108">+AB15-AB21</f>
        <v>-301.09169000000026</v>
      </c>
      <c r="AC23" s="85">
        <f t="shared" ref="AC23" si="109">+AB23/AB$10</f>
        <v>-0.14461869757340479</v>
      </c>
      <c r="AD23" s="84">
        <f t="shared" ref="AD23" si="110">+AD15-AD21</f>
        <v>-835.78415000000075</v>
      </c>
      <c r="AE23" s="85">
        <f t="shared" ref="AE23" si="111">+AD23/AD$10</f>
        <v>-0.54605810440207014</v>
      </c>
      <c r="AG23" s="84">
        <f ca="1">+AG15-AG21</f>
        <v>1757.5550600000015</v>
      </c>
      <c r="AH23" s="85">
        <f ca="1">+AG23/AG$10</f>
        <v>8.0646422196283679E-2</v>
      </c>
      <c r="AI23" s="84">
        <f>+AI15-AI21</f>
        <v>1757.5550600000015</v>
      </c>
      <c r="AJ23" s="85">
        <f>+AI23/AI$10</f>
        <v>8.0646422196283679E-2</v>
      </c>
    </row>
    <row r="24" spans="1:37" ht="9.75" customHeight="1" x14ac:dyDescent="0.25">
      <c r="E24" s="57"/>
      <c r="F24" s="58"/>
      <c r="H24" s="88"/>
      <c r="I24" s="74"/>
      <c r="J24" s="88"/>
      <c r="K24" s="74"/>
      <c r="L24" s="88"/>
      <c r="M24" s="74"/>
      <c r="N24" s="88"/>
      <c r="O24" s="74"/>
      <c r="P24" s="88"/>
      <c r="Q24" s="74"/>
      <c r="R24" s="88"/>
      <c r="S24" s="74"/>
      <c r="T24" s="88"/>
      <c r="U24" s="74"/>
      <c r="V24" s="88"/>
      <c r="W24" s="74"/>
      <c r="X24" s="88"/>
      <c r="Y24" s="74"/>
      <c r="Z24" s="88"/>
      <c r="AA24" s="74"/>
      <c r="AB24" s="88"/>
      <c r="AC24" s="74"/>
      <c r="AD24" s="88"/>
      <c r="AE24" s="74"/>
      <c r="AG24" s="88"/>
      <c r="AH24" s="74"/>
      <c r="AI24" s="88"/>
      <c r="AJ24" s="74"/>
    </row>
    <row r="25" spans="1:37" x14ac:dyDescent="0.25">
      <c r="A25" s="61">
        <v>5203</v>
      </c>
      <c r="E25" s="89" t="s">
        <v>65</v>
      </c>
      <c r="F25" s="58"/>
      <c r="H25" s="59">
        <f>IF(ISNA(VLOOKUP($A25,base81,+H$1,FALSE))=FALSE,VLOOKUP($A25,base81,+H$1,FALSE),0)/1000+IF(ISNA(VLOOKUP($B25,base81,+H$1,FALSE))=FALSE,VLOOKUP($B25,base81,+H$1,FALSE),0)/1000+IF(ISNA(VLOOKUP($C25,base81,+H$1,FALSE))=FALSE,VLOOKUP($C25,base81,+H$1,FALSE),0)/1000</f>
        <v>14.81551</v>
      </c>
      <c r="I25" s="77">
        <f>+H25/H$10</f>
        <v>7.2768926027940266E-3</v>
      </c>
      <c r="J25" s="59">
        <f>IF(ISNA(VLOOKUP($A25,base81,+J$1,FALSE))=FALSE,VLOOKUP($A25,base81,+J$1,FALSE),0)/1000+IF(ISNA(VLOOKUP($B25,base81,+J$1,FALSE))=FALSE,VLOOKUP($B25,base81,+J$1,FALSE),0)/1000+IF(ISNA(VLOOKUP($C25,base81,+J$1,FALSE))=FALSE,VLOOKUP($C25,base81,+J$1,FALSE),0)/1000</f>
        <v>10.293010000000001</v>
      </c>
      <c r="K25" s="77">
        <f t="shared" ref="K25:K27" si="112">+J25/J$10</f>
        <v>5.4039939072534852E-3</v>
      </c>
      <c r="L25" s="59">
        <f>IF(ISNA(VLOOKUP($A25,base81,+L$1,FALSE))=FALSE,VLOOKUP($A25,base81,+L$1,FALSE),0)/1000+IF(ISNA(VLOOKUP($B25,base81,+L$1,FALSE))=FALSE,VLOOKUP($B25,base81,+L$1,FALSE),0)/1000+IF(ISNA(VLOOKUP($C25,base81,+L$1,FALSE))=FALSE,VLOOKUP($C25,base81,+L$1,FALSE),0)/1000</f>
        <v>10.26741</v>
      </c>
      <c r="M25" s="77">
        <f t="shared" ref="M25:M27" si="113">+L25/L$10</f>
        <v>7.1953250853593418E-3</v>
      </c>
      <c r="N25" s="59">
        <f>IF(ISNA(VLOOKUP($A25,base81,+N$1,FALSE))=FALSE,VLOOKUP($A25,base81,+N$1,FALSE),0)/1000+IF(ISNA(VLOOKUP($B25,base81,+N$1,FALSE))=FALSE,VLOOKUP($B25,base81,+N$1,FALSE),0)/1000+IF(ISNA(VLOOKUP($C25,base81,+N$1,FALSE))=FALSE,VLOOKUP($C25,base81,+N$1,FALSE),0)/1000</f>
        <v>10.19491</v>
      </c>
      <c r="O25" s="77">
        <f t="shared" ref="O25:O27" si="114">+N25/N$10</f>
        <v>4.6178585704166782E-3</v>
      </c>
      <c r="P25" s="59">
        <f>IF(ISNA(VLOOKUP($A25,base81,+P$1,FALSE))=FALSE,VLOOKUP($A25,base81,+P$1,FALSE),0)/1000+IF(ISNA(VLOOKUP($B25,base81,+P$1,FALSE))=FALSE,VLOOKUP($B25,base81,+P$1,FALSE),0)/1000+IF(ISNA(VLOOKUP($C25,base81,+P$1,FALSE))=FALSE,VLOOKUP($C25,base81,+P$1,FALSE),0)/1000</f>
        <v>9.79406</v>
      </c>
      <c r="Q25" s="77">
        <f t="shared" ref="Q25:Q27" si="115">+P25/P$10</f>
        <v>4.3104098757900553E-3</v>
      </c>
      <c r="R25" s="59">
        <f>IF(ISNA(VLOOKUP($A25,base81,+R$1,FALSE))=FALSE,VLOOKUP($A25,base81,+R$1,FALSE),0)/1000+IF(ISNA(VLOOKUP($B25,base81,+R$1,FALSE))=FALSE,VLOOKUP($B25,base81,+R$1,FALSE),0)/1000+IF(ISNA(VLOOKUP($C25,base81,+R$1,FALSE))=FALSE,VLOOKUP($C25,base81,+R$1,FALSE),0)/1000</f>
        <v>8.0506099999999989</v>
      </c>
      <c r="S25" s="77">
        <f t="shared" ref="S25:S27" si="116">+R25/R$10</f>
        <v>4.0059446301375611E-3</v>
      </c>
      <c r="T25" s="59">
        <f>IF(ISNA(VLOOKUP($A25,base81,+T$1,FALSE))=FALSE,VLOOKUP($A25,base81,+T$1,FALSE),0)/1000+IF(ISNA(VLOOKUP($B25,base81,+T$1,FALSE))=FALSE,VLOOKUP($B25,base81,+T$1,FALSE),0)/1000+IF(ISNA(VLOOKUP($C25,base81,+T$1,FALSE))=FALSE,VLOOKUP($C25,base81,+T$1,FALSE),0)/1000</f>
        <v>4.6187399999999998</v>
      </c>
      <c r="U25" s="77">
        <f t="shared" ref="U25:U27" si="117">+T25/T$10</f>
        <v>3.484826280911174E-3</v>
      </c>
      <c r="V25" s="59">
        <f>IF(ISNA(VLOOKUP($A25,base81,+V$1,FALSE))=FALSE,VLOOKUP($A25,base81,+V$1,FALSE),0)/1000+IF(ISNA(VLOOKUP($B25,base81,+V$1,FALSE))=FALSE,VLOOKUP($B25,base81,+V$1,FALSE),0)/1000+IF(ISNA(VLOOKUP($C25,base81,+V$1,FALSE))=FALSE,VLOOKUP($C25,base81,+V$1,FALSE),0)/1000</f>
        <v>0.46949999999999997</v>
      </c>
      <c r="W25" s="77">
        <f t="shared" ref="W25:W27" si="118">+V25/V$10</f>
        <v>3.0415149690831463E-4</v>
      </c>
      <c r="X25" s="59">
        <f>IF(ISNA(VLOOKUP($A25,base81,+X$1,FALSE))=FALSE,VLOOKUP($A25,base81,+X$1,FALSE),0)/1000+IF(ISNA(VLOOKUP($B25,base81,+X$1,FALSE))=FALSE,VLOOKUP($B25,base81,+X$1,FALSE),0)/1000+IF(ISNA(VLOOKUP($C25,base81,+X$1,FALSE))=FALSE,VLOOKUP($C25,base81,+X$1,FALSE),0)/1000</f>
        <v>1.34741</v>
      </c>
      <c r="Y25" s="77">
        <f t="shared" ref="Y25:Y27" si="119">+X25/X$10</f>
        <v>7.9001059710966375E-4</v>
      </c>
      <c r="Z25" s="59">
        <f>IF(ISNA(VLOOKUP($A25,base81,+Z$1,FALSE))=FALSE,VLOOKUP($A25,base81,+Z$1,FALSE),0)/1000+IF(ISNA(VLOOKUP($B25,base81,+Z$1,FALSE))=FALSE,VLOOKUP($B25,base81,+Z$1,FALSE),0)/1000+IF(ISNA(VLOOKUP($C25,base81,+Z$1,FALSE))=FALSE,VLOOKUP($C25,base81,+Z$1,FALSE),0)/1000</f>
        <v>1.0469300000000001</v>
      </c>
      <c r="AA25" s="77">
        <f t="shared" ref="AA25:AA27" si="120">+Z25/Z$10</f>
        <v>5.9858172728320799E-4</v>
      </c>
      <c r="AB25" s="59">
        <f>IF(ISNA(VLOOKUP($A25,base81,+AB$1,FALSE))=FALSE,VLOOKUP($A25,base81,+AB$1,FALSE),0)/1000+IF(ISNA(VLOOKUP($B25,base81,+AB$1,FALSE))=FALSE,VLOOKUP($B25,base81,+AB$1,FALSE),0)/1000+IF(ISNA(VLOOKUP($C25,base81,+AB$1,FALSE))=FALSE,VLOOKUP($C25,base81,+AB$1,FALSE),0)/1000</f>
        <v>0.83611000000000002</v>
      </c>
      <c r="AC25" s="77">
        <f t="shared" ref="AC25:AC27" si="121">+AB25/AB$10</f>
        <v>4.0159573725897049E-4</v>
      </c>
      <c r="AD25" s="59">
        <f>IF(ISNA(VLOOKUP($A25,base81,+AD$1,FALSE))=FALSE,VLOOKUP($A25,base81,+AD$1,FALSE),0)/1000+IF(ISNA(VLOOKUP($B25,base81,+AD$1,FALSE))=FALSE,VLOOKUP($B25,base81,+AD$1,FALSE),0)/1000+IF(ISNA(VLOOKUP($C25,base81,+AD$1,FALSE))=FALSE,VLOOKUP($C25,base81,+AD$1,FALSE),0)/1000</f>
        <v>1.26406</v>
      </c>
      <c r="AE25" s="77">
        <f t="shared" ref="AE25:AE27" si="122">+AD25/AD$10</f>
        <v>8.2587137773608194E-4</v>
      </c>
      <c r="AG25" s="59">
        <f ca="1">SUM(H55:INDIRECT("F55C"&amp;[1]Cabecera!$C$8,0))</f>
        <v>72.998260000000002</v>
      </c>
      <c r="AH25" s="77">
        <f t="shared" ref="AH25:AJ27" ca="1" si="123">+AG25/AG$10</f>
        <v>3.34956703749246E-3</v>
      </c>
      <c r="AI25" s="59">
        <f>+H25+J25+L25+N25+P25+R25+T25+V25+X25+Z25+AB25+AD25</f>
        <v>72.998260000000002</v>
      </c>
      <c r="AJ25" s="77">
        <f t="shared" si="123"/>
        <v>3.34956703749246E-3</v>
      </c>
    </row>
    <row r="26" spans="1:37" x14ac:dyDescent="0.25">
      <c r="A26" s="61">
        <v>54</v>
      </c>
      <c r="B26" s="61">
        <v>42</v>
      </c>
      <c r="C26" s="61"/>
      <c r="D26" s="61"/>
      <c r="E26" s="89" t="s">
        <v>66</v>
      </c>
      <c r="F26" s="58"/>
      <c r="H26" s="59">
        <f>IF(ISNA(VLOOKUP($A26,base81,+H$1,FALSE))=FALSE,VLOOKUP($A26,base81,+H$1,FALSE),0)/1000-IF(ISNA(VLOOKUP($B26,base81,+H$1,FALSE))=FALSE,VLOOKUP($B26,base81,+H$1,FALSE),0)/1000-H27</f>
        <v>-0.16941000000000001</v>
      </c>
      <c r="I26" s="77">
        <f>+H26/H$10</f>
        <v>-8.3208635803920086E-5</v>
      </c>
      <c r="J26" s="59">
        <f>IF(ISNA(VLOOKUP($A26,base81,+J$1,FALSE))=FALSE,VLOOKUP($A26,base81,+J$1,FALSE),0)/1000-IF(ISNA(VLOOKUP($B26,base81,+J$1,FALSE))=FALSE,VLOOKUP($B26,base81,+J$1,FALSE),0)/1000-J27</f>
        <v>-5.2569999999999999E-2</v>
      </c>
      <c r="K26" s="77">
        <f t="shared" si="112"/>
        <v>-2.7600085854800073E-5</v>
      </c>
      <c r="L26" s="59">
        <f>IF(ISNA(VLOOKUP($A26,base81,+L$1,FALSE))=FALSE,VLOOKUP($A26,base81,+L$1,FALSE),0)/1000-IF(ISNA(VLOOKUP($B26,base81,+L$1,FALSE))=FALSE,VLOOKUP($B26,base81,+L$1,FALSE),0)/1000-L27</f>
        <v>-3.524E-2</v>
      </c>
      <c r="M26" s="77">
        <f t="shared" si="113"/>
        <v>-2.4695931691445382E-5</v>
      </c>
      <c r="N26" s="59">
        <f>IF(ISNA(VLOOKUP($A26,base81,+N$1,FALSE))=FALSE,VLOOKUP($A26,base81,+N$1,FALSE),0)/1000-IF(ISNA(VLOOKUP($B26,base81,+N$1,FALSE))=FALSE,VLOOKUP($B26,base81,+N$1,FALSE),0)/1000-N27</f>
        <v>-4.3959999999999999E-2</v>
      </c>
      <c r="O26" s="77">
        <f t="shared" si="114"/>
        <v>-1.9912001455188633E-5</v>
      </c>
      <c r="P26" s="59">
        <f>IF(ISNA(VLOOKUP($A26,base81,+P$1,FALSE))=FALSE,VLOOKUP($A26,base81,+P$1,FALSE),0)/1000-IF(ISNA(VLOOKUP($B26,base81,+P$1,FALSE))=FALSE,VLOOKUP($B26,base81,+P$1,FALSE),0)/1000-P27</f>
        <v>-0.40194000000000002</v>
      </c>
      <c r="Q26" s="77">
        <f t="shared" si="115"/>
        <v>-1.7689560258718601E-4</v>
      </c>
      <c r="R26" s="59">
        <f>IF(ISNA(VLOOKUP($A26,base81,+R$1,FALSE))=FALSE,VLOOKUP($A26,base81,+R$1,FALSE),0)/1000-IF(ISNA(VLOOKUP($B26,base81,+R$1,FALSE))=FALSE,VLOOKUP($B26,base81,+R$1,FALSE),0)/1000-R27</f>
        <v>-0.61008000000000007</v>
      </c>
      <c r="S26" s="77">
        <f t="shared" si="116"/>
        <v>-3.0357285969067238E-4</v>
      </c>
      <c r="T26" s="59">
        <f>IF(ISNA(VLOOKUP($A26,base81,+T$1,FALSE))=FALSE,VLOOKUP($A26,base81,+T$1,FALSE),0)/1000-IF(ISNA(VLOOKUP($B26,base81,+T$1,FALSE))=FALSE,VLOOKUP($B26,base81,+T$1,FALSE),0)/1000-T27</f>
        <v>-8.8050800000000002</v>
      </c>
      <c r="U26" s="77">
        <f t="shared" si="117"/>
        <v>-6.6434079834598531E-3</v>
      </c>
      <c r="V26" s="59">
        <f>IF(ISNA(VLOOKUP($A26,base81,+V$1,FALSE))=FALSE,VLOOKUP($A26,base81,+V$1,FALSE),0)/1000-IF(ISNA(VLOOKUP($B26,base81,+V$1,FALSE))=FALSE,VLOOKUP($B26,base81,+V$1,FALSE),0)/1000-V27</f>
        <v>-1.1513300000000002</v>
      </c>
      <c r="W26" s="77">
        <f t="shared" si="118"/>
        <v>-7.458546175408944E-4</v>
      </c>
      <c r="X26" s="59">
        <f>IF(ISNA(VLOOKUP($A26,base81,+X$1,FALSE))=FALSE,VLOOKUP($A26,base81,+X$1,FALSE),0)/1000-IF(ISNA(VLOOKUP($B26,base81,+X$1,FALSE))=FALSE,VLOOKUP($B26,base81,+X$1,FALSE),0)/1000-X27</f>
        <v>-0.74403000000000008</v>
      </c>
      <c r="Y26" s="77">
        <f t="shared" si="119"/>
        <v>-4.3623810463593352E-4</v>
      </c>
      <c r="Z26" s="59">
        <f>IF(ISNA(VLOOKUP($A26,base81,+Z$1,FALSE))=FALSE,VLOOKUP($A26,base81,+Z$1,FALSE),0)/1000-IF(ISNA(VLOOKUP($B26,base81,+Z$1,FALSE))=FALSE,VLOOKUP($B26,base81,+Z$1,FALSE),0)/1000-Z27</f>
        <v>-3.271999999999764E-2</v>
      </c>
      <c r="AA26" s="77">
        <f t="shared" si="120"/>
        <v>-1.8707644366581481E-5</v>
      </c>
      <c r="AB26" s="59">
        <f>IF(ISNA(VLOOKUP($A26,base81,+AB$1,FALSE))=FALSE,VLOOKUP($A26,base81,+AB$1,FALSE),0)/1000-IF(ISNA(VLOOKUP($B26,base81,+AB$1,FALSE))=FALSE,VLOOKUP($B26,base81,+AB$1,FALSE),0)/1000-AB27</f>
        <v>-17.982469999999999</v>
      </c>
      <c r="AC26" s="77">
        <f t="shared" si="121"/>
        <v>-8.637240670949179E-3</v>
      </c>
      <c r="AD26" s="59">
        <f>IF(ISNA(VLOOKUP($A26,base81,+AD$1,FALSE))=FALSE,VLOOKUP($A26,base81,+AD$1,FALSE),0)/1000-IF(ISNA(VLOOKUP($B26,base81,+AD$1,FALSE))=FALSE,VLOOKUP($B26,base81,+AD$1,FALSE),0)/1000-AD27</f>
        <v>-3.0612000000000137</v>
      </c>
      <c r="AE26" s="77">
        <f t="shared" si="122"/>
        <v>-2.0000296358762284E-3</v>
      </c>
      <c r="AG26" s="59">
        <f ca="1">SUM(H56:INDIRECT("F56C"&amp;[1]Cabecera!$C$8,0))</f>
        <v>-33.090030000000013</v>
      </c>
      <c r="AH26" s="77">
        <f t="shared" ca="1" si="123"/>
        <v>-1.5183550095253869E-3</v>
      </c>
      <c r="AI26" s="59">
        <f>+H26+J26+L26+N26+P26+R26+T26+V26+X26+Z26+AB26+AD26</f>
        <v>-33.090030000000013</v>
      </c>
      <c r="AJ26" s="77">
        <f t="shared" si="123"/>
        <v>-1.5183550095253869E-3</v>
      </c>
    </row>
    <row r="27" spans="1:37" x14ac:dyDescent="0.25">
      <c r="A27" s="61">
        <v>54010104</v>
      </c>
      <c r="E27" s="89" t="s">
        <v>67</v>
      </c>
      <c r="F27" s="58"/>
      <c r="H27" s="59">
        <f>IF(ISNA(VLOOKUP($A27,base81,+H$1,FALSE))=FALSE,VLOOKUP($A27,base81,+H$1,FALSE),0)/1000+IF(ISNA(VLOOKUP($B27,base81,+H$1,FALSE))=FALSE,VLOOKUP($B27,base81,+H$1,FALSE),0)/1000+IF(ISNA(VLOOKUP($C27,base81,+H$1,FALSE))=FALSE,VLOOKUP($C27,base81,+H$1,FALSE),0)/1000</f>
        <v>2.9999999999999997E-5</v>
      </c>
      <c r="I27" s="77">
        <f>+H27/H$10</f>
        <v>1.4735016080028347E-8</v>
      </c>
      <c r="J27" s="59">
        <f>IF(ISNA(VLOOKUP($A27,base81,+J$1,FALSE))=FALSE,VLOOKUP($A27,base81,+J$1,FALSE),0)/1000+IF(ISNA(VLOOKUP($B27,base81,+J$1,FALSE))=FALSE,VLOOKUP($B27,base81,+J$1,FALSE),0)/1000+IF(ISNA(VLOOKUP($C27,base81,+J$1,FALSE))=FALSE,VLOOKUP($C27,base81,+J$1,FALSE),0)/1000</f>
        <v>2.9999999999999997E-5</v>
      </c>
      <c r="K27" s="77">
        <f t="shared" si="112"/>
        <v>1.5750476995320565E-8</v>
      </c>
      <c r="L27" s="59">
        <f>IF(ISNA(VLOOKUP($A27,base81,+L$1,FALSE))=FALSE,VLOOKUP($A27,base81,+L$1,FALSE),0)/1000+IF(ISNA(VLOOKUP($B27,base81,+L$1,FALSE))=FALSE,VLOOKUP($B27,base81,+L$1,FALSE),0)/1000+IF(ISNA(VLOOKUP($C27,base81,+L$1,FALSE))=FALSE,VLOOKUP($C27,base81,+L$1,FALSE),0)/1000</f>
        <v>7.0000000000000007E-5</v>
      </c>
      <c r="M27" s="77">
        <f t="shared" si="113"/>
        <v>4.905548292852375E-8</v>
      </c>
      <c r="N27" s="59">
        <f>IF(ISNA(VLOOKUP($A27,base81,+N$1,FALSE))=FALSE,VLOOKUP($A27,base81,+N$1,FALSE),0)/1000+IF(ISNA(VLOOKUP($B27,base81,+N$1,FALSE))=FALSE,VLOOKUP($B27,base81,+N$1,FALSE),0)/1000+IF(ISNA(VLOOKUP($C27,base81,+N$1,FALSE))=FALSE,VLOOKUP($C27,base81,+N$1,FALSE),0)/1000</f>
        <v>2.9999999999999997E-5</v>
      </c>
      <c r="O27" s="77">
        <f t="shared" si="114"/>
        <v>1.3588718008545472E-8</v>
      </c>
      <c r="P27" s="59">
        <f>IF(ISNA(VLOOKUP($A27,base81,+P$1,FALSE))=FALSE,VLOOKUP($A27,base81,+P$1,FALSE),0)/1000+IF(ISNA(VLOOKUP($B27,base81,+P$1,FALSE))=FALSE,VLOOKUP($B27,base81,+P$1,FALSE),0)/1000+IF(ISNA(VLOOKUP($C27,base81,+P$1,FALSE))=FALSE,VLOOKUP($C27,base81,+P$1,FALSE),0)/1000</f>
        <v>2.0000000000000002E-5</v>
      </c>
      <c r="Q27" s="77">
        <f t="shared" si="115"/>
        <v>8.8020899928937664E-9</v>
      </c>
      <c r="R27" s="59">
        <f>IF(ISNA(VLOOKUP($A27,base81,+R$1,FALSE))=FALSE,VLOOKUP($A27,base81,+R$1,FALSE),0)/1000+IF(ISNA(VLOOKUP($B27,base81,+R$1,FALSE))=FALSE,VLOOKUP($B27,base81,+R$1,FALSE),0)/1000+IF(ISNA(VLOOKUP($C27,base81,+R$1,FALSE))=FALSE,VLOOKUP($C27,base81,+R$1,FALSE),0)/1000</f>
        <v>5.9999999999999995E-4</v>
      </c>
      <c r="S27" s="77">
        <f t="shared" si="116"/>
        <v>2.9855710040388702E-7</v>
      </c>
      <c r="T27" s="59">
        <f>IF(ISNA(VLOOKUP($A27,base81,+T$1,FALSE))=FALSE,VLOOKUP($A27,base81,+T$1,FALSE),0)/1000+IF(ISNA(VLOOKUP($B27,base81,+T$1,FALSE))=FALSE,VLOOKUP($B27,base81,+T$1,FALSE),0)/1000+IF(ISNA(VLOOKUP($C27,base81,+T$1,FALSE))=FALSE,VLOOKUP($C27,base81,+T$1,FALSE),0)/1000</f>
        <v>8.9999999999999992E-5</v>
      </c>
      <c r="U27" s="77">
        <f t="shared" si="117"/>
        <v>6.7904745727623907E-8</v>
      </c>
      <c r="V27" s="59">
        <f>IF(ISNA(VLOOKUP($A27,base81,+V$1,FALSE))=FALSE,VLOOKUP($A27,base81,+V$1,FALSE),0)/1000+IF(ISNA(VLOOKUP($B27,base81,+V$1,FALSE))=FALSE,VLOOKUP($B27,base81,+V$1,FALSE),0)/1000+IF(ISNA(VLOOKUP($C27,base81,+V$1,FALSE))=FALSE,VLOOKUP($C27,base81,+V$1,FALSE),0)/1000</f>
        <v>1.1E-4</v>
      </c>
      <c r="W27" s="77">
        <f t="shared" si="118"/>
        <v>7.1260201618561472E-8</v>
      </c>
      <c r="X27" s="59">
        <f>IF(ISNA(VLOOKUP($A27,base81,+X$1,FALSE))=FALSE,VLOOKUP($A27,base81,+X$1,FALSE),0)/1000+IF(ISNA(VLOOKUP($B27,base81,+X$1,FALSE))=FALSE,VLOOKUP($B27,base81,+X$1,FALSE),0)/1000+IF(ISNA(VLOOKUP($C27,base81,+X$1,FALSE))=FALSE,VLOOKUP($C27,base81,+X$1,FALSE),0)/1000</f>
        <v>7.0000000000000007E-5</v>
      </c>
      <c r="Y27" s="77">
        <f t="shared" si="119"/>
        <v>4.1042252764694097E-8</v>
      </c>
      <c r="Z27" s="59">
        <f>IF(ISNA(VLOOKUP($A27,base81,+Z$1,FALSE))=FALSE,VLOOKUP($A27,base81,+Z$1,FALSE),0)/1000+IF(ISNA(VLOOKUP($B27,base81,+Z$1,FALSE))=FALSE,VLOOKUP($B27,base81,+Z$1,FALSE),0)/1000+IF(ISNA(VLOOKUP($C27,base81,+Z$1,FALSE))=FALSE,VLOOKUP($C27,base81,+Z$1,FALSE),0)/1000</f>
        <v>88.485339999999994</v>
      </c>
      <c r="AA27" s="77">
        <f t="shared" si="120"/>
        <v>5.0591450867242246E-2</v>
      </c>
      <c r="AB27" s="59">
        <f>IF(ISNA(VLOOKUP($A27,base81,+AB$1,FALSE))=FALSE,VLOOKUP($A27,base81,+AB$1,FALSE),0)/1000+IF(ISNA(VLOOKUP($B27,base81,+AB$1,FALSE))=FALSE,VLOOKUP($B27,base81,+AB$1,FALSE),0)/1000+IF(ISNA(VLOOKUP($C27,base81,+AB$1,FALSE))=FALSE,VLOOKUP($C27,base81,+AB$1,FALSE),0)/1000</f>
        <v>75.110550000000003</v>
      </c>
      <c r="AC27" s="77">
        <f t="shared" si="121"/>
        <v>3.6076684530954979E-2</v>
      </c>
      <c r="AD27" s="59">
        <f>IF(ISNA(VLOOKUP($A27,base81,+AD$1,FALSE))=FALSE,VLOOKUP($A27,base81,+AD$1,FALSE),0)/1000+IF(ISNA(VLOOKUP($B27,base81,+AD$1,FALSE))=FALSE,VLOOKUP($B27,base81,+AD$1,FALSE),0)/1000+IF(ISNA(VLOOKUP($C27,base81,+AD$1,FALSE))=FALSE,VLOOKUP($C27,base81,+AD$1,FALSE),0)/1000</f>
        <v>68.091970000000003</v>
      </c>
      <c r="AE27" s="77">
        <f t="shared" si="122"/>
        <v>4.448776883744756E-2</v>
      </c>
      <c r="AG27" s="59">
        <f ca="1">SUM(H57:INDIRECT("F57C"&amp;[1]Cabecera!$C$8,0))</f>
        <v>231.68891000000002</v>
      </c>
      <c r="AH27" s="77">
        <f t="shared" ca="1" si="123"/>
        <v>1.0631178549852519E-2</v>
      </c>
      <c r="AI27" s="59">
        <f>+H27+J27+L27+N27+P27+R27+T27+V27+X27+Z27+AB27+AD27</f>
        <v>231.68891000000002</v>
      </c>
      <c r="AJ27" s="77">
        <f t="shared" si="123"/>
        <v>1.0631178549852519E-2</v>
      </c>
    </row>
    <row r="28" spans="1:37" ht="7.5" customHeight="1" thickBot="1" x14ac:dyDescent="0.3">
      <c r="E28" s="78"/>
      <c r="F28" s="79"/>
      <c r="H28" s="90"/>
      <c r="I28" s="81"/>
      <c r="J28" s="90"/>
      <c r="K28" s="81"/>
      <c r="L28" s="90"/>
      <c r="M28" s="81"/>
      <c r="N28" s="90"/>
      <c r="O28" s="81"/>
      <c r="P28" s="90"/>
      <c r="Q28" s="81"/>
      <c r="R28" s="90"/>
      <c r="S28" s="81"/>
      <c r="T28" s="90"/>
      <c r="U28" s="81"/>
      <c r="V28" s="90"/>
      <c r="W28" s="81"/>
      <c r="X28" s="90"/>
      <c r="Y28" s="81"/>
      <c r="Z28" s="90"/>
      <c r="AA28" s="81"/>
      <c r="AB28" s="90"/>
      <c r="AC28" s="81"/>
      <c r="AD28" s="90"/>
      <c r="AE28" s="81"/>
      <c r="AG28" s="90"/>
      <c r="AH28" s="81"/>
      <c r="AI28" s="90"/>
      <c r="AJ28" s="81"/>
    </row>
    <row r="29" spans="1:37" s="35" customFormat="1" ht="13.5" thickBot="1" x14ac:dyDescent="0.25">
      <c r="E29" s="82" t="s">
        <v>68</v>
      </c>
      <c r="F29" s="83"/>
      <c r="H29" s="84">
        <f>+H23-H25-H26-H27</f>
        <v>309.96528999999981</v>
      </c>
      <c r="I29" s="85">
        <f>+H29/H$10</f>
        <v>0.15224478441335493</v>
      </c>
      <c r="J29" s="84">
        <f t="shared" ref="J29" si="124">+J23-J25-J26-J27</f>
        <v>343.37839000000002</v>
      </c>
      <c r="K29" s="85">
        <f t="shared" ref="K29" si="125">+J29/J$10</f>
        <v>0.18027911441284047</v>
      </c>
      <c r="L29" s="84">
        <f t="shared" ref="L29" si="126">+L23-L25-L26-L27</f>
        <v>124.47706000000017</v>
      </c>
      <c r="M29" s="85">
        <f t="shared" ref="M29" si="127">+L29/L$10</f>
        <v>8.7232604168897623E-2</v>
      </c>
      <c r="N29" s="84">
        <f t="shared" ref="N29" si="128">+N23-N25-N26-N27</f>
        <v>487.89484999999996</v>
      </c>
      <c r="O29" s="85">
        <f t="shared" ref="O29" si="129">+N29/N$10</f>
        <v>0.22099551781571974</v>
      </c>
      <c r="P29" s="84">
        <f t="shared" ref="P29" si="130">+P23-P25-P26-P27</f>
        <v>223.39126999999991</v>
      </c>
      <c r="Q29" s="85">
        <f t="shared" ref="Q29" si="131">+P29/P$10</f>
        <v>9.8315503108341418E-2</v>
      </c>
      <c r="R29" s="84">
        <f t="shared" ref="R29" si="132">+R23-R25-R26-R27</f>
        <v>441.8785899999998</v>
      </c>
      <c r="S29" s="85">
        <f t="shared" ref="S29" si="133">+R29/R$10</f>
        <v>0.21987665093492997</v>
      </c>
      <c r="T29" s="84">
        <f t="shared" ref="T29" si="134">+T23-T25-T26-T27</f>
        <v>145.41840000000005</v>
      </c>
      <c r="U29" s="85">
        <f t="shared" ref="U29" si="135">+T29/T$10</f>
        <v>0.10971777195686565</v>
      </c>
      <c r="V29" s="84">
        <f t="shared" ref="V29" si="136">+V23-V25-V26-V27</f>
        <v>167.84172999999987</v>
      </c>
      <c r="W29" s="85">
        <f t="shared" ref="W29" si="137">+V29/V$10</f>
        <v>0.10873123199825589</v>
      </c>
      <c r="X29" s="84">
        <f t="shared" ref="X29" si="138">+X23-X25-X26-X27</f>
        <v>-1213.4464600000006</v>
      </c>
      <c r="Y29" s="85">
        <f t="shared" ref="Y29" si="139">+X29/X$10</f>
        <v>-0.71146537611061833</v>
      </c>
      <c r="Z29" s="84">
        <f t="shared" ref="Z29" si="140">+Z23-Z25-Z26-Z27</f>
        <v>1716.29366</v>
      </c>
      <c r="AA29" s="85">
        <f t="shared" ref="AA29" si="141">+Z29/Z$10</f>
        <v>0.98129008007031882</v>
      </c>
      <c r="AB29" s="84">
        <f t="shared" ref="AB29" si="142">+AB23-AB25-AB26-AB27</f>
        <v>-359.05588000000029</v>
      </c>
      <c r="AC29" s="85">
        <f t="shared" ref="AC29" si="143">+AB29/AB$10</f>
        <v>-0.17245973717066959</v>
      </c>
      <c r="AD29" s="84">
        <f t="shared" ref="AD29" si="144">+AD23-AD25-AD26-AD27</f>
        <v>-902.07898000000068</v>
      </c>
      <c r="AE29" s="85">
        <f t="shared" ref="AE29" si="145">+AD29/AD$10</f>
        <v>-0.58937171498137753</v>
      </c>
      <c r="AG29" s="84">
        <f ca="1">+AG23-AG25-AG26-AG27</f>
        <v>1485.9579200000014</v>
      </c>
      <c r="AH29" s="85">
        <f ca="1">+AG29/AG$10</f>
        <v>6.8184031618464092E-2</v>
      </c>
      <c r="AI29" s="84">
        <f>+AI23-AI25-AI26-AI27</f>
        <v>1485.9579200000014</v>
      </c>
      <c r="AJ29" s="85">
        <f>+AI29/AI$10</f>
        <v>6.8184031618464092E-2</v>
      </c>
    </row>
    <row r="30" spans="1:37" ht="7.5" customHeight="1" x14ac:dyDescent="0.25">
      <c r="E30" s="53"/>
      <c r="F30" s="54"/>
      <c r="H30" s="92"/>
      <c r="I30" s="76"/>
      <c r="J30" s="92"/>
      <c r="K30" s="76"/>
      <c r="L30" s="92"/>
      <c r="M30" s="76"/>
      <c r="N30" s="92"/>
      <c r="O30" s="76"/>
      <c r="P30" s="92"/>
      <c r="Q30" s="76"/>
      <c r="R30" s="92"/>
      <c r="S30" s="76"/>
      <c r="T30" s="92"/>
      <c r="U30" s="76"/>
      <c r="V30" s="92"/>
      <c r="W30" s="76"/>
      <c r="X30" s="92"/>
      <c r="Y30" s="76"/>
      <c r="Z30" s="92"/>
      <c r="AA30" s="76"/>
      <c r="AB30" s="92"/>
      <c r="AC30" s="76"/>
      <c r="AD30" s="92"/>
      <c r="AE30" s="76"/>
      <c r="AG30" s="92"/>
      <c r="AH30" s="76"/>
      <c r="AI30" s="92"/>
      <c r="AJ30" s="76"/>
    </row>
    <row r="31" spans="1:37" x14ac:dyDescent="0.25">
      <c r="E31" s="89" t="s">
        <v>69</v>
      </c>
      <c r="F31" s="58"/>
      <c r="H31" s="59">
        <f>IF(+H$2="Real",+H29*15%,'[1]Presupuesto 2021'!E37/1000)</f>
        <v>46.494793499999972</v>
      </c>
      <c r="I31" s="77">
        <f>+H31/H$10</f>
        <v>2.2836717662003236E-2</v>
      </c>
      <c r="J31" s="59">
        <f>IF(+J$2="Real",+J29*15%,'[1]Presupuesto 2021'!G37/1000)</f>
        <v>51.506758500000004</v>
      </c>
      <c r="K31" s="77">
        <f t="shared" ref="K31:K32" si="146">+J31/J$10</f>
        <v>2.704186716192607E-2</v>
      </c>
      <c r="L31" s="59">
        <f>IF(+L$2="Real",+L29*15%,'[1]Presupuesto 2021'!I37/1000)</f>
        <v>18.671559000000023</v>
      </c>
      <c r="M31" s="77">
        <f t="shared" ref="M31:M32" si="147">+L31/L$10</f>
        <v>1.3084890625334642E-2</v>
      </c>
      <c r="N31" s="59">
        <f>IF(+N$2="Real",+N29*15%,'[1]Presupuesto 2021'!K37/1000)</f>
        <v>73.184227499999992</v>
      </c>
      <c r="O31" s="77">
        <f t="shared" ref="O31:O32" si="148">+N31/N$10</f>
        <v>3.314932767235796E-2</v>
      </c>
      <c r="P31" s="59">
        <f>IF(+P$2="Real",+P29*15%,'[1]Presupuesto 2021'!M37/1000)</f>
        <v>33.508690499999986</v>
      </c>
      <c r="Q31" s="77">
        <f t="shared" ref="Q31:Q32" si="149">+P31/P$10</f>
        <v>1.4747325466251212E-2</v>
      </c>
      <c r="R31" s="59">
        <f>IF(+R$2="Real",+R29*15%,'[1]Presupuesto 2021'!O37/1000)</f>
        <v>66.281788499999962</v>
      </c>
      <c r="S31" s="77">
        <f t="shared" ref="S31:S32" si="150">+R31/R$10</f>
        <v>3.2981497640239492E-2</v>
      </c>
      <c r="T31" s="59">
        <f>IF(+T$2="Real",+T29*15%,'[1]Presupuesto 2021'!Q37/1000)</f>
        <v>21.812760000000008</v>
      </c>
      <c r="U31" s="77">
        <f t="shared" ref="U31:U32" si="151">+T31/T$10</f>
        <v>1.6457665793529849E-2</v>
      </c>
      <c r="V31" s="59">
        <f>IF(+V$2="Real",+V29*15%,'[1]Presupuesto 2021'!S37/1000)</f>
        <v>25.176259499999979</v>
      </c>
      <c r="W31" s="77">
        <f t="shared" ref="W31:W32" si="152">+V31/V$10</f>
        <v>1.6309684799738381E-2</v>
      </c>
      <c r="X31" s="59">
        <f>IF(+X$2="Real",+X29*15%,'[1]Presupuesto 2021'!U37/1000)</f>
        <v>-182.01696900000007</v>
      </c>
      <c r="Y31" s="77">
        <f t="shared" ref="Y31:Y32" si="153">+X31/X$10</f>
        <v>-0.10671980641659275</v>
      </c>
      <c r="Z31" s="59">
        <f>IF(+Z$2="Real",+Z29*15%,'[1]Presupuesto 2021'!W37/1000)</f>
        <v>257.44404900000001</v>
      </c>
      <c r="AA31" s="77">
        <f t="shared" ref="AA31:AA32" si="154">+Z31/Z$10</f>
        <v>0.14719351201054781</v>
      </c>
      <c r="AB31" s="59">
        <f>IF(+AB$2="Real",+AB29*15%,'[1]Presupuesto 2021'!Y37/1000)</f>
        <v>-53.858382000000042</v>
      </c>
      <c r="AC31" s="77">
        <f t="shared" ref="AC31:AC32" si="155">+AB31/AB$10</f>
        <v>-2.5868960575600435E-2</v>
      </c>
      <c r="AD31" s="59">
        <f>IF(+AD$2="Real",+AD29*15%,'[1]Presupuesto 2021'!AA37/1000)</f>
        <v>-135.31184700000009</v>
      </c>
      <c r="AE31" s="77">
        <f t="shared" ref="AE31:AE32" si="156">+AD31/AD$10</f>
        <v>-8.8405757247206618E-2</v>
      </c>
      <c r="AG31" s="59">
        <f ca="1">SUM(H61:INDIRECT("F61C"&amp;[1]Cabecera!$C$8,0))</f>
        <v>222.89368799999968</v>
      </c>
      <c r="AH31" s="77">
        <f t="shared" ref="AH31:AJ32" ca="1" si="157">+AG31/AG$10</f>
        <v>1.0227604742769588E-2</v>
      </c>
      <c r="AI31" s="59">
        <f>+H31+J31+L31+N31+P31+R31+T31+V31+X31+Z31+AB31+AD31</f>
        <v>222.89368799999968</v>
      </c>
      <c r="AJ31" s="77">
        <f t="shared" si="157"/>
        <v>1.0227604742769588E-2</v>
      </c>
    </row>
    <row r="32" spans="1:37" x14ac:dyDescent="0.25">
      <c r="E32" s="89" t="s">
        <v>70</v>
      </c>
      <c r="F32" s="58"/>
      <c r="H32" s="59">
        <f>IF(+H$2="Real",(+H29-H31)*25%,+'[1]Presupuesto 2021'!E39/1000)</f>
        <v>65.867624124999963</v>
      </c>
      <c r="I32" s="77">
        <f>+H32/H$10</f>
        <v>3.2352016687837923E-2</v>
      </c>
      <c r="J32" s="59">
        <f>IF(+J$2="Real",(+J29-J31)*25%,+'[1]Presupuesto 2021'!G39/1000)</f>
        <v>72.967907875000009</v>
      </c>
      <c r="K32" s="77">
        <f t="shared" si="146"/>
        <v>3.8309311812728598E-2</v>
      </c>
      <c r="L32" s="59">
        <f>IF(+L$2="Real",(+L29-L31)*25%,+'[1]Presupuesto 2021'!I39/1000)</f>
        <v>26.451375250000034</v>
      </c>
      <c r="M32" s="77">
        <f t="shared" si="147"/>
        <v>1.8536928385890744E-2</v>
      </c>
      <c r="N32" s="59">
        <f>IF(+N$2="Real",(+N29-N31)*25%,+'[1]Presupuesto 2021'!K39/1000)</f>
        <v>103.677655625</v>
      </c>
      <c r="O32" s="77">
        <f t="shared" si="148"/>
        <v>4.6961547535840448E-2</v>
      </c>
      <c r="P32" s="59">
        <f>IF(+P$2="Real",(+P29-P31)*25%,+'[1]Presupuesto 2021'!M39/1000)</f>
        <v>47.470644874999977</v>
      </c>
      <c r="Q32" s="77">
        <f t="shared" si="149"/>
        <v>2.0892044410522548E-2</v>
      </c>
      <c r="R32" s="59">
        <f>IF(+R$2="Real",(+R29-R31)*25%,+'[1]Presupuesto 2021'!O39/1000)</f>
        <v>93.899200374999964</v>
      </c>
      <c r="S32" s="77">
        <f t="shared" si="150"/>
        <v>4.6723788323672626E-2</v>
      </c>
      <c r="T32" s="59">
        <f>IF(+T$2="Real",(+T29-T31)*25%,+'[1]Presupuesto 2021'!Q39/1000)</f>
        <v>30.901410000000009</v>
      </c>
      <c r="U32" s="77">
        <f t="shared" si="151"/>
        <v>2.331502654083395E-2</v>
      </c>
      <c r="V32" s="59">
        <f>IF(+V$2="Real",(+V29-V31)*25%,+'[1]Presupuesto 2021'!S39/1000)</f>
        <v>35.666367624999971</v>
      </c>
      <c r="W32" s="77">
        <f t="shared" si="152"/>
        <v>2.3105386799629375E-2</v>
      </c>
      <c r="X32" s="59">
        <f>IF(+X$2="Real",(+X29-X31)*25%,+'[1]Presupuesto 2021'!U39/1000)</f>
        <v>-257.85737275000014</v>
      </c>
      <c r="Y32" s="77">
        <f t="shared" si="153"/>
        <v>-0.1511863924235064</v>
      </c>
      <c r="Z32" s="59">
        <f>IF(+Z$2="Real",(+Z29-Z31)*25%,+'[1]Presupuesto 2021'!W39/1000)</f>
        <v>364.71240275000002</v>
      </c>
      <c r="AA32" s="77">
        <f t="shared" si="154"/>
        <v>0.20852414201494276</v>
      </c>
      <c r="AB32" s="59">
        <f>IF(+AB$2="Real",(+AB29-AB31)*25%,+'[1]Presupuesto 2021'!Y39/1000)</f>
        <v>-76.299374500000056</v>
      </c>
      <c r="AC32" s="77">
        <f t="shared" si="155"/>
        <v>-3.6647694148767285E-2</v>
      </c>
      <c r="AD32" s="59">
        <f>IF(+AD$2="Real",(+AD29-AD31)*25%,+'[1]Presupuesto 2021'!AA39/1000)+16</f>
        <v>-175.69178325000016</v>
      </c>
      <c r="AE32" s="77">
        <f t="shared" si="156"/>
        <v>-0.11478791757478815</v>
      </c>
      <c r="AG32" s="59">
        <f ca="1">SUM(H62:INDIRECT("F62C"&amp;[1]Cabecera!$C$8,0))</f>
        <v>331.7660579999997</v>
      </c>
      <c r="AH32" s="77">
        <f t="shared" ca="1" si="157"/>
        <v>1.5223275897748941E-2</v>
      </c>
      <c r="AI32" s="59">
        <f>+H32+J32+L32+N32+P32+R32+T32+V32+X32+Z32+AB32+AD32</f>
        <v>331.7660579999997</v>
      </c>
      <c r="AJ32" s="77">
        <f t="shared" si="157"/>
        <v>1.5223275897748941E-2</v>
      </c>
    </row>
    <row r="33" spans="5:36" ht="6" customHeight="1" thickBot="1" x14ac:dyDescent="0.3">
      <c r="E33" s="78"/>
      <c r="F33" s="79"/>
      <c r="H33" s="90"/>
      <c r="I33" s="81"/>
      <c r="J33" s="90"/>
      <c r="K33" s="81"/>
      <c r="L33" s="90"/>
      <c r="M33" s="81"/>
      <c r="N33" s="90"/>
      <c r="O33" s="81"/>
      <c r="P33" s="90"/>
      <c r="Q33" s="81"/>
      <c r="R33" s="90"/>
      <c r="S33" s="81"/>
      <c r="T33" s="90"/>
      <c r="U33" s="81"/>
      <c r="V33" s="90"/>
      <c r="W33" s="81"/>
      <c r="X33" s="90"/>
      <c r="Y33" s="81"/>
      <c r="Z33" s="90"/>
      <c r="AA33" s="81"/>
      <c r="AB33" s="90"/>
      <c r="AC33" s="81"/>
      <c r="AD33" s="90"/>
      <c r="AE33" s="81"/>
      <c r="AG33" s="90"/>
      <c r="AH33" s="81"/>
      <c r="AI33" s="90"/>
      <c r="AJ33" s="81"/>
    </row>
    <row r="34" spans="5:36" s="35" customFormat="1" ht="13.5" thickBot="1" x14ac:dyDescent="0.25">
      <c r="E34" s="82" t="s">
        <v>71</v>
      </c>
      <c r="F34" s="83"/>
      <c r="H34" s="84">
        <f>+H29-H31-H32</f>
        <v>197.60287237499989</v>
      </c>
      <c r="I34" s="85">
        <f>+H34/H$10</f>
        <v>9.7056050063513769E-2</v>
      </c>
      <c r="J34" s="84">
        <f t="shared" ref="J34" si="158">+J29-J31-J32</f>
        <v>218.90372362500003</v>
      </c>
      <c r="K34" s="85">
        <f t="shared" ref="K34" si="159">+J34/J$10</f>
        <v>0.1149279354381858</v>
      </c>
      <c r="L34" s="84">
        <f t="shared" ref="L34" si="160">+L29-L31-L32</f>
        <v>79.354125750000094</v>
      </c>
      <c r="M34" s="85">
        <f t="shared" ref="M34" si="161">+L34/L$10</f>
        <v>5.5610785157672225E-2</v>
      </c>
      <c r="N34" s="84">
        <f t="shared" ref="N34" si="162">+N29-N31-N32</f>
        <v>311.032966875</v>
      </c>
      <c r="O34" s="85">
        <f t="shared" ref="O34" si="163">+N34/N$10</f>
        <v>0.14088464260752134</v>
      </c>
      <c r="P34" s="84">
        <f t="shared" ref="P34" si="164">+P29-P31-P32</f>
        <v>142.41193462499993</v>
      </c>
      <c r="Q34" s="85">
        <f t="shared" ref="Q34" si="165">+P34/P$10</f>
        <v>6.2676133231567649E-2</v>
      </c>
      <c r="R34" s="84">
        <f t="shared" ref="R34" si="166">+R29-R31-R32</f>
        <v>281.69760112499989</v>
      </c>
      <c r="S34" s="85">
        <f t="shared" ref="S34" si="167">+R34/R$10</f>
        <v>0.14017136497101787</v>
      </c>
      <c r="T34" s="84">
        <f t="shared" ref="T34" si="168">+T29-T31-T32</f>
        <v>92.704230000000024</v>
      </c>
      <c r="U34" s="85">
        <f t="shared" ref="U34" si="169">+T34/T$10</f>
        <v>6.9945079622501849E-2</v>
      </c>
      <c r="V34" s="84">
        <f t="shared" ref="V34" si="170">+V29-V31-V32</f>
        <v>106.99910287499992</v>
      </c>
      <c r="W34" s="85">
        <f t="shared" ref="W34" si="171">+V34/V$10</f>
        <v>6.9316160398888133E-2</v>
      </c>
      <c r="X34" s="84">
        <f t="shared" ref="X34" si="172">+X29-X31-X32</f>
        <v>-773.57211825000036</v>
      </c>
      <c r="Y34" s="85">
        <f t="shared" ref="Y34" si="173">+X34/X$10</f>
        <v>-0.4535591772705192</v>
      </c>
      <c r="Z34" s="84">
        <f t="shared" ref="Z34" si="174">+Z29-Z31-Z32</f>
        <v>1094.1372082500002</v>
      </c>
      <c r="AA34" s="85">
        <f t="shared" ref="AA34" si="175">+Z34/Z$10</f>
        <v>0.62557242604482832</v>
      </c>
      <c r="AB34" s="84">
        <f t="shared" ref="AB34" si="176">+AB29-AB31-AB32</f>
        <v>-228.89812350000017</v>
      </c>
      <c r="AC34" s="85">
        <f t="shared" ref="AC34" si="177">+AB34/AB$10</f>
        <v>-0.10994308244630185</v>
      </c>
      <c r="AD34" s="84">
        <f t="shared" ref="AD34" si="178">+AD29-AD31-AD32</f>
        <v>-591.07534975000044</v>
      </c>
      <c r="AE34" s="85">
        <f t="shared" ref="AE34" si="179">+AD34/AD$10</f>
        <v>-0.38617804015938273</v>
      </c>
      <c r="AG34" s="84">
        <f ca="1">+AG29-AG31-AG32</f>
        <v>931.29817400000206</v>
      </c>
      <c r="AH34" s="85">
        <f ca="1">+AG34/AG$10</f>
        <v>4.2733150977945562E-2</v>
      </c>
      <c r="AI34" s="84">
        <f>+AI29-AI31-AI32</f>
        <v>931.29817400000206</v>
      </c>
      <c r="AJ34" s="85">
        <f>+AI34/AI$10</f>
        <v>4.2733150977945562E-2</v>
      </c>
    </row>
    <row r="35" spans="5:36" ht="5.25" customHeight="1" x14ac:dyDescent="0.25">
      <c r="E35" s="53"/>
      <c r="F35" s="54"/>
      <c r="H35" s="92"/>
      <c r="I35" s="76"/>
      <c r="J35" s="92"/>
      <c r="K35" s="76"/>
      <c r="L35" s="92"/>
      <c r="M35" s="76"/>
      <c r="N35" s="92"/>
      <c r="O35" s="76"/>
      <c r="P35" s="92"/>
      <c r="Q35" s="76"/>
      <c r="R35" s="92"/>
      <c r="S35" s="76"/>
      <c r="T35" s="92"/>
      <c r="U35" s="76"/>
      <c r="V35" s="92"/>
      <c r="W35" s="76"/>
      <c r="X35" s="92"/>
      <c r="Y35" s="76"/>
      <c r="Z35" s="92"/>
      <c r="AA35" s="76"/>
      <c r="AB35" s="92"/>
      <c r="AC35" s="76"/>
      <c r="AD35" s="92"/>
      <c r="AE35" s="76"/>
      <c r="AG35" s="92"/>
      <c r="AH35" s="76"/>
      <c r="AI35" s="92"/>
      <c r="AJ35" s="76"/>
    </row>
    <row r="36" spans="5:36" s="35" customFormat="1" ht="13.5" thickBot="1" x14ac:dyDescent="0.25">
      <c r="E36" s="67" t="s">
        <v>72</v>
      </c>
      <c r="F36" s="68"/>
      <c r="H36" s="93">
        <f>IF(+H$2="Real",+H34+50+H32+1,+'[1]Presupuesto 2021'!E47/1000)</f>
        <v>314.47049649999985</v>
      </c>
      <c r="I36" s="70">
        <f>+H36/H$10</f>
        <v>0.15445759408739987</v>
      </c>
      <c r="J36" s="93">
        <f>IF(+J$2="Real",+J34+50+J32+1,+'[1]Presupuesto 2021'!G47/1000)</f>
        <v>342.87163150000003</v>
      </c>
      <c r="K36" s="70">
        <f t="shared" ref="K36" si="180">+J36/J$10</f>
        <v>0.18001305814295937</v>
      </c>
      <c r="L36" s="93">
        <f>IF(+L$2="Real",+L34+50+L32+1,+'[1]Presupuesto 2021'!I47/1000)</f>
        <v>156.80550100000013</v>
      </c>
      <c r="M36" s="70">
        <f t="shared" ref="M36" si="181">+L36/L$10</f>
        <v>0.10988813682005885</v>
      </c>
      <c r="N36" s="93">
        <f>IF(+N$2="Real",+N34+50+N32+1,+'[1]Presupuesto 2021'!K47/1000)</f>
        <v>465.7106225</v>
      </c>
      <c r="O36" s="70">
        <f t="shared" ref="O36" si="182">+N36/N$10</f>
        <v>0.2109470107578891</v>
      </c>
      <c r="P36" s="93">
        <f>IF(+P$2="Real",+P34+50+P32+1,+'[1]Presupuesto 2021'!M47/1000)</f>
        <v>240.88257949999991</v>
      </c>
      <c r="Q36" s="70">
        <f t="shared" ref="Q36" si="183">+P36/P$10</f>
        <v>0.1060135071239693</v>
      </c>
      <c r="R36" s="93">
        <f>IF(+R$2="Real",+R34+50+R32+1,+'[1]Presupuesto 2021'!O47/1000)</f>
        <v>426.59680149999986</v>
      </c>
      <c r="S36" s="70">
        <f t="shared" ref="S36" si="184">+R36/R$10</f>
        <v>0.21227250682902088</v>
      </c>
      <c r="T36" s="93">
        <f>IF(+T$2="Real",+T34+50+T32+1,+'[1]Presupuesto 2021'!Q47/1000)</f>
        <v>174.60564000000002</v>
      </c>
      <c r="U36" s="70">
        <f t="shared" ref="U36" si="185">+T36/T$10</f>
        <v>0.13173946207565601</v>
      </c>
      <c r="V36" s="93">
        <f>IF(+V$2="Real",+V34+50+V32+1,+'[1]Presupuesto 2021'!S47/1000)</f>
        <v>193.66547049999988</v>
      </c>
      <c r="W36" s="70">
        <f t="shared" ref="W36" si="186">+V36/V$10</f>
        <v>0.12546036794894144</v>
      </c>
      <c r="X36" s="93">
        <f>IF(+X$2="Real",+X34+50+X32+1,+'[1]Presupuesto 2021'!U47/1000)</f>
        <v>-980.42949100000055</v>
      </c>
      <c r="Y36" s="70">
        <f t="shared" ref="Y36" si="187">+X36/X$10</f>
        <v>-0.57484335696546274</v>
      </c>
      <c r="Z36" s="93">
        <f>IF(+Z$2="Real",+Z34+50+Z32+1,+'[1]Presupuesto 2021'!W47/1000)</f>
        <v>1509.8496110000001</v>
      </c>
      <c r="AA36" s="70">
        <f t="shared" ref="AA36" si="188">+Z36/Z$10</f>
        <v>0.86325579369228089</v>
      </c>
      <c r="AB36" s="93">
        <f>IF(+AB$2="Real",+AB34+50+AB32+1,+'[1]Presupuesto 2021'!Y47/1000)</f>
        <v>-254.19749800000022</v>
      </c>
      <c r="AC36" s="70">
        <f t="shared" ref="AC36" si="189">+AB36/AB$10</f>
        <v>-0.12209473827450426</v>
      </c>
      <c r="AD36" s="93">
        <f>IF(+AD$2="Real",+AD34+50+AD32+1,+'[1]Presupuesto 2021'!AA47/1000)</f>
        <v>-715.76713300000063</v>
      </c>
      <c r="AE36" s="70">
        <f t="shared" ref="AE36" si="190">+AD36/AD$10</f>
        <v>-0.4676451974343907</v>
      </c>
      <c r="AG36" s="93">
        <f ca="1">SUM(H66:INDIRECT("F66C"&amp;[1]Cabecera!$C$8,0))</f>
        <v>1875.0642319999984</v>
      </c>
      <c r="AH36" s="70">
        <f ca="1">+AG36/AG$10</f>
        <v>8.6038397965763957E-2</v>
      </c>
      <c r="AI36" s="93">
        <f>+H36+J36+L36+N36+P36+R36+T36+V36+X36+Z36+AB36+AD36</f>
        <v>1875.0642319999984</v>
      </c>
      <c r="AJ36" s="70">
        <f>+AI36/AI$10</f>
        <v>8.6038397965763957E-2</v>
      </c>
    </row>
    <row r="38" spans="5:36" x14ac:dyDescent="0.25">
      <c r="H38" s="94">
        <f>+H8</f>
        <v>1914.57062</v>
      </c>
      <c r="J38" s="94">
        <f t="shared" ref="J38:J87" si="191">+J8</f>
        <v>1777.5726299999999</v>
      </c>
      <c r="L38" s="94">
        <f t="shared" ref="L38:L87" si="192">+L8</f>
        <v>1313.5720700000002</v>
      </c>
      <c r="N38" s="94">
        <f t="shared" ref="N38:N87" si="193">+N8</f>
        <v>1993.6548</v>
      </c>
      <c r="P38" s="94">
        <f t="shared" ref="P38:P87" si="194">+P8</f>
        <v>2060.19074</v>
      </c>
      <c r="R38" s="94">
        <f t="shared" ref="R38:R87" si="195">+R8</f>
        <v>1862.2117499999999</v>
      </c>
      <c r="T38" s="94">
        <f t="shared" ref="T38:T87" si="196">+T8</f>
        <v>1202.95218</v>
      </c>
      <c r="V38" s="94">
        <f t="shared" ref="V38:V87" si="197">+V8</f>
        <v>1492.1363899999999</v>
      </c>
      <c r="X38" s="94">
        <f t="shared" ref="X38:X87" si="198">+X8</f>
        <v>1576.9635000000001</v>
      </c>
      <c r="Z38" s="94">
        <f t="shared" ref="Z38:Z87" si="199">+Z8</f>
        <v>1640.0537300000001</v>
      </c>
      <c r="AB38" s="94">
        <f t="shared" ref="AB38:AB87" si="200">+AB8</f>
        <v>1966.98667</v>
      </c>
      <c r="AD38" s="94">
        <f t="shared" ref="AD38:AD85" si="201">+AD8</f>
        <v>1509.4025000000001</v>
      </c>
    </row>
    <row r="39" spans="5:36" x14ac:dyDescent="0.25">
      <c r="H39" s="94">
        <f t="shared" ref="H39:H87" si="202">+H9</f>
        <v>121.39594</v>
      </c>
      <c r="J39" s="94">
        <f t="shared" si="191"/>
        <v>127.13159</v>
      </c>
      <c r="L39" s="94">
        <f t="shared" si="192"/>
        <v>113.38360999999999</v>
      </c>
      <c r="N39" s="94">
        <f t="shared" si="193"/>
        <v>214.05898000000002</v>
      </c>
      <c r="P39" s="94">
        <f t="shared" si="194"/>
        <v>211.99688999999995</v>
      </c>
      <c r="R39" s="94">
        <f t="shared" si="195"/>
        <v>147.45407</v>
      </c>
      <c r="T39" s="94">
        <f t="shared" si="196"/>
        <v>122.43382999999999</v>
      </c>
      <c r="V39" s="94">
        <f t="shared" si="197"/>
        <v>51.50224</v>
      </c>
      <c r="X39" s="94">
        <f t="shared" si="198"/>
        <v>128.5959</v>
      </c>
      <c r="Z39" s="94">
        <f t="shared" si="199"/>
        <v>108.96390999999998</v>
      </c>
      <c r="AB39" s="94">
        <f t="shared" si="200"/>
        <v>114.98264</v>
      </c>
      <c r="AD39" s="94">
        <f t="shared" si="201"/>
        <v>21.174820000000004</v>
      </c>
    </row>
    <row r="40" spans="5:36" x14ac:dyDescent="0.25">
      <c r="H40" s="94">
        <f t="shared" si="202"/>
        <v>2035.9665599999998</v>
      </c>
      <c r="J40" s="94">
        <f t="shared" si="191"/>
        <v>1904.7042199999999</v>
      </c>
      <c r="L40" s="94">
        <f t="shared" si="192"/>
        <v>1426.9556800000003</v>
      </c>
      <c r="N40" s="94">
        <f t="shared" si="193"/>
        <v>2207.71378</v>
      </c>
      <c r="P40" s="94">
        <f t="shared" si="194"/>
        <v>2272.1876299999999</v>
      </c>
      <c r="R40" s="94">
        <f t="shared" si="195"/>
        <v>2009.6658199999999</v>
      </c>
      <c r="T40" s="94">
        <f t="shared" si="196"/>
        <v>1325.3860099999999</v>
      </c>
      <c r="V40" s="94">
        <f t="shared" si="197"/>
        <v>1543.6386299999999</v>
      </c>
      <c r="X40" s="94">
        <f t="shared" si="198"/>
        <v>1705.5594000000001</v>
      </c>
      <c r="Z40" s="94">
        <f t="shared" si="199"/>
        <v>1749.01764</v>
      </c>
      <c r="AB40" s="94">
        <f t="shared" si="200"/>
        <v>2081.96931</v>
      </c>
      <c r="AD40" s="94">
        <f t="shared" si="201"/>
        <v>1530.5773200000001</v>
      </c>
    </row>
    <row r="41" spans="5:36" x14ac:dyDescent="0.25">
      <c r="H41" s="94">
        <f t="shared" si="202"/>
        <v>0</v>
      </c>
      <c r="J41" s="94">
        <f t="shared" si="191"/>
        <v>0</v>
      </c>
      <c r="L41" s="94">
        <f t="shared" si="192"/>
        <v>0</v>
      </c>
      <c r="N41" s="94">
        <f t="shared" si="193"/>
        <v>0</v>
      </c>
      <c r="P41" s="94">
        <f t="shared" si="194"/>
        <v>0</v>
      </c>
      <c r="R41" s="94">
        <f t="shared" si="195"/>
        <v>0</v>
      </c>
      <c r="T41" s="94">
        <f t="shared" si="196"/>
        <v>0</v>
      </c>
      <c r="V41" s="94">
        <f t="shared" si="197"/>
        <v>0</v>
      </c>
      <c r="X41" s="94">
        <f t="shared" si="198"/>
        <v>0</v>
      </c>
      <c r="Z41" s="94">
        <f t="shared" si="199"/>
        <v>0</v>
      </c>
      <c r="AB41" s="94">
        <f t="shared" si="200"/>
        <v>0</v>
      </c>
      <c r="AD41" s="94">
        <f t="shared" si="201"/>
        <v>0</v>
      </c>
    </row>
    <row r="42" spans="5:36" x14ac:dyDescent="0.25">
      <c r="H42" s="94">
        <f t="shared" si="202"/>
        <v>1426.01331</v>
      </c>
      <c r="J42" s="94">
        <f t="shared" si="191"/>
        <v>1329.0678499999999</v>
      </c>
      <c r="L42" s="94">
        <f t="shared" si="192"/>
        <v>1082.4737500000001</v>
      </c>
      <c r="N42" s="94">
        <f t="shared" si="193"/>
        <v>1432.6461400000001</v>
      </c>
      <c r="P42" s="94">
        <f t="shared" si="194"/>
        <v>1686.65978</v>
      </c>
      <c r="R42" s="94">
        <f t="shared" si="195"/>
        <v>1341.6826000000001</v>
      </c>
      <c r="T42" s="94">
        <f t="shared" si="196"/>
        <v>914.6540399999999</v>
      </c>
      <c r="V42" s="94">
        <f t="shared" si="197"/>
        <v>1196.80438</v>
      </c>
      <c r="X42" s="94">
        <f t="shared" si="198"/>
        <v>2674.7855700000005</v>
      </c>
      <c r="Z42" s="94">
        <f t="shared" si="199"/>
        <v>-240.28460999999999</v>
      </c>
      <c r="AB42" s="94">
        <f t="shared" si="200"/>
        <v>2181.2461400000002</v>
      </c>
      <c r="AD42" s="94">
        <f t="shared" si="201"/>
        <v>1782.0035300000009</v>
      </c>
    </row>
    <row r="43" spans="5:36" x14ac:dyDescent="0.25">
      <c r="H43" s="94">
        <f t="shared" si="202"/>
        <v>80.470130000000012</v>
      </c>
      <c r="J43" s="94">
        <f t="shared" si="191"/>
        <v>74.891670000000005</v>
      </c>
      <c r="L43" s="94">
        <f t="shared" si="192"/>
        <v>89.709550000000007</v>
      </c>
      <c r="N43" s="94">
        <f t="shared" si="193"/>
        <v>141.10760000000002</v>
      </c>
      <c r="P43" s="94">
        <f t="shared" si="194"/>
        <v>161.02952999999999</v>
      </c>
      <c r="R43" s="94">
        <f t="shared" si="195"/>
        <v>74.891670000000005</v>
      </c>
      <c r="T43" s="94">
        <f t="shared" si="196"/>
        <v>97.777990000000003</v>
      </c>
      <c r="V43" s="94">
        <f t="shared" si="197"/>
        <v>39.749839999999999</v>
      </c>
      <c r="X43" s="94">
        <f t="shared" si="198"/>
        <v>0</v>
      </c>
      <c r="Z43" s="94">
        <f t="shared" si="199"/>
        <v>0</v>
      </c>
      <c r="AB43" s="94">
        <f t="shared" si="200"/>
        <v>0</v>
      </c>
      <c r="AD43" s="94">
        <f t="shared" si="201"/>
        <v>241.47846999999999</v>
      </c>
    </row>
    <row r="44" spans="5:36" x14ac:dyDescent="0.25">
      <c r="H44" s="94">
        <f t="shared" si="202"/>
        <v>0</v>
      </c>
      <c r="J44" s="94">
        <f t="shared" si="191"/>
        <v>0</v>
      </c>
      <c r="L44" s="94">
        <f t="shared" si="192"/>
        <v>0</v>
      </c>
      <c r="N44" s="94">
        <f t="shared" si="193"/>
        <v>0</v>
      </c>
      <c r="P44" s="94">
        <f t="shared" si="194"/>
        <v>0</v>
      </c>
      <c r="R44" s="94">
        <f t="shared" si="195"/>
        <v>0</v>
      </c>
      <c r="T44" s="94">
        <f t="shared" si="196"/>
        <v>0</v>
      </c>
      <c r="V44" s="94">
        <f t="shared" si="197"/>
        <v>0</v>
      </c>
      <c r="X44" s="94">
        <f t="shared" si="198"/>
        <v>0</v>
      </c>
      <c r="Z44" s="94">
        <f t="shared" si="199"/>
        <v>0</v>
      </c>
      <c r="AB44" s="94">
        <f t="shared" si="200"/>
        <v>0</v>
      </c>
      <c r="AD44" s="94">
        <f t="shared" si="201"/>
        <v>0</v>
      </c>
    </row>
    <row r="45" spans="5:36" x14ac:dyDescent="0.25">
      <c r="H45" s="94">
        <f t="shared" si="202"/>
        <v>529.48311999999976</v>
      </c>
      <c r="J45" s="94">
        <f t="shared" si="191"/>
        <v>500.74469999999997</v>
      </c>
      <c r="L45" s="94">
        <f t="shared" si="192"/>
        <v>254.77238000000014</v>
      </c>
      <c r="N45" s="94">
        <f t="shared" si="193"/>
        <v>633.96003999999994</v>
      </c>
      <c r="P45" s="94">
        <f t="shared" si="194"/>
        <v>424.49831999999992</v>
      </c>
      <c r="R45" s="94">
        <f t="shared" si="195"/>
        <v>593.09154999999987</v>
      </c>
      <c r="T45" s="94">
        <f t="shared" si="196"/>
        <v>312.95398000000006</v>
      </c>
      <c r="V45" s="94">
        <f t="shared" si="197"/>
        <v>307.08440999999988</v>
      </c>
      <c r="X45" s="94">
        <f t="shared" si="198"/>
        <v>-969.22617000000037</v>
      </c>
      <c r="Z45" s="94">
        <f t="shared" si="199"/>
        <v>1989.30225</v>
      </c>
      <c r="AB45" s="94">
        <f t="shared" si="200"/>
        <v>-99.276830000000245</v>
      </c>
      <c r="AD45" s="94">
        <f t="shared" si="201"/>
        <v>-492.90468000000078</v>
      </c>
    </row>
    <row r="46" spans="5:36" x14ac:dyDescent="0.25">
      <c r="H46" s="94">
        <f t="shared" si="202"/>
        <v>0</v>
      </c>
      <c r="J46" s="94">
        <f t="shared" si="191"/>
        <v>0</v>
      </c>
      <c r="L46" s="94">
        <f t="shared" si="192"/>
        <v>0</v>
      </c>
      <c r="N46" s="94">
        <f t="shared" si="193"/>
        <v>0</v>
      </c>
      <c r="P46" s="94">
        <f t="shared" si="194"/>
        <v>0</v>
      </c>
      <c r="R46" s="94">
        <f t="shared" si="195"/>
        <v>0</v>
      </c>
      <c r="T46" s="94">
        <f t="shared" si="196"/>
        <v>0</v>
      </c>
      <c r="V46" s="94">
        <f t="shared" si="197"/>
        <v>0</v>
      </c>
      <c r="X46" s="94">
        <f t="shared" si="198"/>
        <v>0</v>
      </c>
      <c r="Z46" s="94">
        <f t="shared" si="199"/>
        <v>0</v>
      </c>
      <c r="AB46" s="94">
        <f t="shared" si="200"/>
        <v>0</v>
      </c>
      <c r="AD46" s="94">
        <f t="shared" si="201"/>
        <v>0</v>
      </c>
    </row>
    <row r="47" spans="5:36" x14ac:dyDescent="0.25">
      <c r="H47" s="94">
        <f t="shared" si="202"/>
        <v>54.557470000000002</v>
      </c>
      <c r="J47" s="94">
        <f t="shared" si="191"/>
        <v>47.831980000000001</v>
      </c>
      <c r="L47" s="94">
        <f t="shared" si="192"/>
        <v>38.5473</v>
      </c>
      <c r="N47" s="94">
        <f t="shared" si="193"/>
        <v>38.767330000000001</v>
      </c>
      <c r="P47" s="94">
        <f t="shared" si="194"/>
        <v>46.903269999999999</v>
      </c>
      <c r="R47" s="94">
        <f t="shared" si="195"/>
        <v>39.29598</v>
      </c>
      <c r="T47" s="94">
        <f t="shared" si="196"/>
        <v>60.569810000000004</v>
      </c>
      <c r="V47" s="94">
        <f t="shared" si="197"/>
        <v>42.292650000000002</v>
      </c>
      <c r="X47" s="94">
        <f t="shared" si="198"/>
        <v>68.925080000000008</v>
      </c>
      <c r="Z47" s="94">
        <f t="shared" si="199"/>
        <v>40.646639999999998</v>
      </c>
      <c r="AB47" s="94">
        <f t="shared" si="200"/>
        <v>38.446379999999998</v>
      </c>
      <c r="AD47" s="94">
        <f t="shared" si="201"/>
        <v>42.551600000000001</v>
      </c>
    </row>
    <row r="48" spans="5:36" x14ac:dyDescent="0.25">
      <c r="H48" s="94">
        <f t="shared" si="202"/>
        <v>142.10570999999999</v>
      </c>
      <c r="J48" s="94">
        <f t="shared" si="191"/>
        <v>90.855729999999994</v>
      </c>
      <c r="L48" s="94">
        <f t="shared" si="192"/>
        <v>80.007649999999998</v>
      </c>
      <c r="N48" s="94">
        <f t="shared" si="193"/>
        <v>88.353750000000005</v>
      </c>
      <c r="P48" s="94">
        <f t="shared" si="194"/>
        <v>143.87351000000001</v>
      </c>
      <c r="R48" s="94">
        <f t="shared" si="195"/>
        <v>90.377719999999997</v>
      </c>
      <c r="T48" s="94">
        <f t="shared" si="196"/>
        <v>103.76389</v>
      </c>
      <c r="V48" s="94">
        <f t="shared" si="197"/>
        <v>97.631749999999997</v>
      </c>
      <c r="X48" s="94">
        <f t="shared" si="198"/>
        <v>173.75363000000002</v>
      </c>
      <c r="Z48" s="94">
        <f t="shared" si="199"/>
        <v>130.4324</v>
      </c>
      <c r="AB48" s="94">
        <f t="shared" si="200"/>
        <v>154.70348000000001</v>
      </c>
      <c r="AD48" s="94">
        <f t="shared" si="201"/>
        <v>300.19536999999997</v>
      </c>
    </row>
    <row r="49" spans="8:30" x14ac:dyDescent="0.25">
      <c r="H49" s="94">
        <f t="shared" si="202"/>
        <v>1.17852</v>
      </c>
      <c r="J49" s="94">
        <f t="shared" si="191"/>
        <v>0.93813000000000002</v>
      </c>
      <c r="L49" s="94">
        <f t="shared" si="192"/>
        <v>1.5081300000000002</v>
      </c>
      <c r="N49" s="94">
        <f t="shared" si="193"/>
        <v>0.93813000000000002</v>
      </c>
      <c r="P49" s="94">
        <f t="shared" si="194"/>
        <v>0.93813000000000002</v>
      </c>
      <c r="R49" s="94">
        <f t="shared" si="195"/>
        <v>1.5081300000000002</v>
      </c>
      <c r="T49" s="94">
        <f t="shared" si="196"/>
        <v>1.5081300000000002</v>
      </c>
      <c r="V49" s="94">
        <f t="shared" si="197"/>
        <v>0</v>
      </c>
      <c r="X49" s="94">
        <f t="shared" si="198"/>
        <v>0.93813000000000002</v>
      </c>
      <c r="Z49" s="94">
        <f t="shared" si="199"/>
        <v>0</v>
      </c>
      <c r="AB49" s="94">
        <f t="shared" si="200"/>
        <v>2</v>
      </c>
      <c r="AD49" s="94">
        <f t="shared" si="201"/>
        <v>0.13250000000000001</v>
      </c>
    </row>
    <row r="50" spans="8:30" x14ac:dyDescent="0.25">
      <c r="H50" s="94">
        <f t="shared" si="202"/>
        <v>7.03</v>
      </c>
      <c r="J50" s="94">
        <f t="shared" si="191"/>
        <v>7.5</v>
      </c>
      <c r="L50" s="94">
        <f t="shared" si="192"/>
        <v>0</v>
      </c>
      <c r="N50" s="94">
        <f t="shared" si="193"/>
        <v>7.8550000000000004</v>
      </c>
      <c r="P50" s="94">
        <f t="shared" si="194"/>
        <v>0</v>
      </c>
      <c r="R50" s="94">
        <f t="shared" si="195"/>
        <v>12.59</v>
      </c>
      <c r="T50" s="94">
        <f t="shared" si="196"/>
        <v>5.88</v>
      </c>
      <c r="V50" s="94">
        <f t="shared" si="197"/>
        <v>0</v>
      </c>
      <c r="X50" s="94">
        <f t="shared" si="198"/>
        <v>0</v>
      </c>
      <c r="Z50" s="94">
        <f t="shared" si="199"/>
        <v>12.43</v>
      </c>
      <c r="AB50" s="94">
        <f t="shared" si="200"/>
        <v>6.665</v>
      </c>
      <c r="AD50" s="94">
        <f t="shared" si="201"/>
        <v>0</v>
      </c>
    </row>
    <row r="51" spans="8:30" x14ac:dyDescent="0.25">
      <c r="H51" s="94">
        <f t="shared" si="202"/>
        <v>204.87169999999998</v>
      </c>
      <c r="J51" s="94">
        <f t="shared" si="191"/>
        <v>147.12583999999998</v>
      </c>
      <c r="L51" s="94">
        <f t="shared" si="192"/>
        <v>120.06307999999999</v>
      </c>
      <c r="N51" s="94">
        <f t="shared" si="193"/>
        <v>135.91421</v>
      </c>
      <c r="P51" s="94">
        <f t="shared" si="194"/>
        <v>191.71491</v>
      </c>
      <c r="R51" s="94">
        <f t="shared" si="195"/>
        <v>143.77182999999999</v>
      </c>
      <c r="T51" s="94">
        <f t="shared" si="196"/>
        <v>171.72183000000001</v>
      </c>
      <c r="V51" s="94">
        <f t="shared" si="197"/>
        <v>139.92439999999999</v>
      </c>
      <c r="X51" s="94">
        <f t="shared" si="198"/>
        <v>243.61684000000002</v>
      </c>
      <c r="Z51" s="94">
        <f t="shared" si="199"/>
        <v>183.50904</v>
      </c>
      <c r="AB51" s="94">
        <f t="shared" si="200"/>
        <v>201.81486000000001</v>
      </c>
      <c r="AD51" s="94">
        <f t="shared" si="201"/>
        <v>342.87946999999997</v>
      </c>
    </row>
    <row r="52" spans="8:30" x14ac:dyDescent="0.25">
      <c r="H52" s="94">
        <f t="shared" si="202"/>
        <v>0</v>
      </c>
      <c r="J52" s="94">
        <f t="shared" si="191"/>
        <v>0</v>
      </c>
      <c r="L52" s="94">
        <f t="shared" si="192"/>
        <v>0</v>
      </c>
      <c r="N52" s="94">
        <f t="shared" si="193"/>
        <v>0</v>
      </c>
      <c r="P52" s="94">
        <f t="shared" si="194"/>
        <v>0</v>
      </c>
      <c r="R52" s="94">
        <f t="shared" si="195"/>
        <v>0</v>
      </c>
      <c r="T52" s="94">
        <f t="shared" si="196"/>
        <v>0</v>
      </c>
      <c r="V52" s="94">
        <f t="shared" si="197"/>
        <v>0</v>
      </c>
      <c r="X52" s="94">
        <f t="shared" si="198"/>
        <v>0</v>
      </c>
      <c r="Z52" s="94">
        <f t="shared" si="199"/>
        <v>0</v>
      </c>
      <c r="AB52" s="94">
        <f t="shared" si="200"/>
        <v>0</v>
      </c>
      <c r="AD52" s="94">
        <f t="shared" si="201"/>
        <v>0</v>
      </c>
    </row>
    <row r="53" spans="8:30" x14ac:dyDescent="0.25">
      <c r="H53" s="94">
        <f t="shared" si="202"/>
        <v>324.61141999999978</v>
      </c>
      <c r="J53" s="94">
        <f t="shared" si="191"/>
        <v>353.61885999999998</v>
      </c>
      <c r="L53" s="94">
        <f t="shared" si="192"/>
        <v>134.70930000000016</v>
      </c>
      <c r="N53" s="94">
        <f t="shared" si="193"/>
        <v>498.04582999999991</v>
      </c>
      <c r="P53" s="94">
        <f t="shared" si="194"/>
        <v>232.78340999999992</v>
      </c>
      <c r="R53" s="94">
        <f t="shared" si="195"/>
        <v>449.31971999999985</v>
      </c>
      <c r="T53" s="94">
        <f t="shared" si="196"/>
        <v>141.23215000000005</v>
      </c>
      <c r="V53" s="94">
        <f t="shared" si="197"/>
        <v>167.16000999999989</v>
      </c>
      <c r="X53" s="94">
        <f t="shared" si="198"/>
        <v>-1212.8430100000005</v>
      </c>
      <c r="Z53" s="94">
        <f t="shared" si="199"/>
        <v>1805.79321</v>
      </c>
      <c r="AB53" s="94">
        <f t="shared" si="200"/>
        <v>-301.09169000000026</v>
      </c>
      <c r="AD53" s="94">
        <f t="shared" si="201"/>
        <v>-835.78415000000075</v>
      </c>
    </row>
    <row r="54" spans="8:30" x14ac:dyDescent="0.25">
      <c r="H54" s="94">
        <f t="shared" si="202"/>
        <v>0</v>
      </c>
      <c r="J54" s="94">
        <f t="shared" si="191"/>
        <v>0</v>
      </c>
      <c r="L54" s="94">
        <f t="shared" si="192"/>
        <v>0</v>
      </c>
      <c r="N54" s="94">
        <f t="shared" si="193"/>
        <v>0</v>
      </c>
      <c r="P54" s="94">
        <f t="shared" si="194"/>
        <v>0</v>
      </c>
      <c r="R54" s="94">
        <f t="shared" si="195"/>
        <v>0</v>
      </c>
      <c r="T54" s="94">
        <f t="shared" si="196"/>
        <v>0</v>
      </c>
      <c r="V54" s="94">
        <f t="shared" si="197"/>
        <v>0</v>
      </c>
      <c r="X54" s="94">
        <f t="shared" si="198"/>
        <v>0</v>
      </c>
      <c r="Z54" s="94">
        <f t="shared" si="199"/>
        <v>0</v>
      </c>
      <c r="AB54" s="94">
        <f t="shared" si="200"/>
        <v>0</v>
      </c>
      <c r="AD54" s="94">
        <f t="shared" si="201"/>
        <v>0</v>
      </c>
    </row>
    <row r="55" spans="8:30" x14ac:dyDescent="0.25">
      <c r="H55" s="94">
        <f t="shared" si="202"/>
        <v>14.81551</v>
      </c>
      <c r="J55" s="94">
        <f t="shared" si="191"/>
        <v>10.293010000000001</v>
      </c>
      <c r="L55" s="94">
        <f t="shared" si="192"/>
        <v>10.26741</v>
      </c>
      <c r="N55" s="94">
        <f t="shared" si="193"/>
        <v>10.19491</v>
      </c>
      <c r="P55" s="94">
        <f t="shared" si="194"/>
        <v>9.79406</v>
      </c>
      <c r="R55" s="94">
        <f t="shared" si="195"/>
        <v>8.0506099999999989</v>
      </c>
      <c r="T55" s="94">
        <f t="shared" si="196"/>
        <v>4.6187399999999998</v>
      </c>
      <c r="V55" s="94">
        <f t="shared" si="197"/>
        <v>0.46949999999999997</v>
      </c>
      <c r="X55" s="94">
        <f t="shared" si="198"/>
        <v>1.34741</v>
      </c>
      <c r="Z55" s="94">
        <f t="shared" si="199"/>
        <v>1.0469300000000001</v>
      </c>
      <c r="AB55" s="94">
        <f t="shared" si="200"/>
        <v>0.83611000000000002</v>
      </c>
      <c r="AD55" s="94">
        <f t="shared" si="201"/>
        <v>1.26406</v>
      </c>
    </row>
    <row r="56" spans="8:30" x14ac:dyDescent="0.25">
      <c r="H56" s="94">
        <f t="shared" si="202"/>
        <v>-0.16941000000000001</v>
      </c>
      <c r="J56" s="94">
        <f t="shared" si="191"/>
        <v>-5.2569999999999999E-2</v>
      </c>
      <c r="L56" s="94">
        <f t="shared" si="192"/>
        <v>-3.524E-2</v>
      </c>
      <c r="N56" s="94">
        <f t="shared" si="193"/>
        <v>-4.3959999999999999E-2</v>
      </c>
      <c r="P56" s="94">
        <f t="shared" si="194"/>
        <v>-0.40194000000000002</v>
      </c>
      <c r="R56" s="94">
        <f t="shared" si="195"/>
        <v>-0.61008000000000007</v>
      </c>
      <c r="T56" s="94">
        <f t="shared" si="196"/>
        <v>-8.8050800000000002</v>
      </c>
      <c r="V56" s="94">
        <f t="shared" si="197"/>
        <v>-1.1513300000000002</v>
      </c>
      <c r="X56" s="94">
        <f t="shared" si="198"/>
        <v>-0.74403000000000008</v>
      </c>
      <c r="Z56" s="94">
        <f t="shared" si="199"/>
        <v>-3.271999999999764E-2</v>
      </c>
      <c r="AB56" s="94">
        <f t="shared" si="200"/>
        <v>-17.982469999999999</v>
      </c>
      <c r="AD56" s="94">
        <f t="shared" si="201"/>
        <v>-3.0612000000000137</v>
      </c>
    </row>
    <row r="57" spans="8:30" x14ac:dyDescent="0.25">
      <c r="H57" s="94">
        <f t="shared" si="202"/>
        <v>2.9999999999999997E-5</v>
      </c>
      <c r="J57" s="94">
        <f t="shared" si="191"/>
        <v>2.9999999999999997E-5</v>
      </c>
      <c r="L57" s="94">
        <f t="shared" si="192"/>
        <v>7.0000000000000007E-5</v>
      </c>
      <c r="N57" s="94">
        <f t="shared" si="193"/>
        <v>2.9999999999999997E-5</v>
      </c>
      <c r="P57" s="94">
        <f t="shared" si="194"/>
        <v>2.0000000000000002E-5</v>
      </c>
      <c r="R57" s="94">
        <f t="shared" si="195"/>
        <v>5.9999999999999995E-4</v>
      </c>
      <c r="T57" s="94">
        <f t="shared" si="196"/>
        <v>8.9999999999999992E-5</v>
      </c>
      <c r="V57" s="94">
        <f t="shared" si="197"/>
        <v>1.1E-4</v>
      </c>
      <c r="X57" s="94">
        <f t="shared" si="198"/>
        <v>7.0000000000000007E-5</v>
      </c>
      <c r="Z57" s="94">
        <f t="shared" si="199"/>
        <v>88.485339999999994</v>
      </c>
      <c r="AB57" s="94">
        <f t="shared" si="200"/>
        <v>75.110550000000003</v>
      </c>
      <c r="AD57" s="94">
        <f t="shared" si="201"/>
        <v>68.091970000000003</v>
      </c>
    </row>
    <row r="58" spans="8:30" x14ac:dyDescent="0.25">
      <c r="H58" s="94">
        <f t="shared" si="202"/>
        <v>0</v>
      </c>
      <c r="J58" s="94">
        <f t="shared" si="191"/>
        <v>0</v>
      </c>
      <c r="L58" s="94">
        <f t="shared" si="192"/>
        <v>0</v>
      </c>
      <c r="N58" s="94">
        <f t="shared" si="193"/>
        <v>0</v>
      </c>
      <c r="P58" s="94">
        <f t="shared" si="194"/>
        <v>0</v>
      </c>
      <c r="R58" s="94">
        <f t="shared" si="195"/>
        <v>0</v>
      </c>
      <c r="T58" s="94">
        <f t="shared" si="196"/>
        <v>0</v>
      </c>
      <c r="V58" s="94">
        <f t="shared" si="197"/>
        <v>0</v>
      </c>
      <c r="X58" s="94">
        <f t="shared" si="198"/>
        <v>0</v>
      </c>
      <c r="Z58" s="94">
        <f t="shared" si="199"/>
        <v>0</v>
      </c>
      <c r="AB58" s="94">
        <f t="shared" si="200"/>
        <v>0</v>
      </c>
      <c r="AD58" s="94">
        <f t="shared" si="201"/>
        <v>0</v>
      </c>
    </row>
    <row r="59" spans="8:30" x14ac:dyDescent="0.25">
      <c r="H59" s="94">
        <f t="shared" si="202"/>
        <v>309.96528999999981</v>
      </c>
      <c r="J59" s="94">
        <f t="shared" si="191"/>
        <v>343.37839000000002</v>
      </c>
      <c r="L59" s="94">
        <f t="shared" si="192"/>
        <v>124.47706000000017</v>
      </c>
      <c r="N59" s="94">
        <f t="shared" si="193"/>
        <v>487.89484999999996</v>
      </c>
      <c r="P59" s="94">
        <f t="shared" si="194"/>
        <v>223.39126999999991</v>
      </c>
      <c r="R59" s="94">
        <f t="shared" si="195"/>
        <v>441.8785899999998</v>
      </c>
      <c r="T59" s="94">
        <f t="shared" si="196"/>
        <v>145.41840000000005</v>
      </c>
      <c r="V59" s="94">
        <f t="shared" si="197"/>
        <v>167.84172999999987</v>
      </c>
      <c r="X59" s="94">
        <f t="shared" si="198"/>
        <v>-1213.4464600000006</v>
      </c>
      <c r="Z59" s="94">
        <f t="shared" si="199"/>
        <v>1716.29366</v>
      </c>
      <c r="AB59" s="94">
        <f t="shared" si="200"/>
        <v>-359.05588000000029</v>
      </c>
      <c r="AD59" s="94">
        <f t="shared" si="201"/>
        <v>-902.07898000000068</v>
      </c>
    </row>
    <row r="60" spans="8:30" x14ac:dyDescent="0.25">
      <c r="H60" s="94">
        <f t="shared" si="202"/>
        <v>0</v>
      </c>
      <c r="J60" s="94">
        <f t="shared" si="191"/>
        <v>0</v>
      </c>
      <c r="L60" s="94">
        <f t="shared" si="192"/>
        <v>0</v>
      </c>
      <c r="N60" s="94">
        <f t="shared" si="193"/>
        <v>0</v>
      </c>
      <c r="P60" s="94">
        <f t="shared" si="194"/>
        <v>0</v>
      </c>
      <c r="R60" s="94">
        <f t="shared" si="195"/>
        <v>0</v>
      </c>
      <c r="T60" s="94">
        <f t="shared" si="196"/>
        <v>0</v>
      </c>
      <c r="V60" s="94">
        <f t="shared" si="197"/>
        <v>0</v>
      </c>
      <c r="X60" s="94">
        <f t="shared" si="198"/>
        <v>0</v>
      </c>
      <c r="Z60" s="94">
        <f t="shared" si="199"/>
        <v>0</v>
      </c>
      <c r="AB60" s="94">
        <f t="shared" si="200"/>
        <v>0</v>
      </c>
      <c r="AD60" s="94">
        <f t="shared" si="201"/>
        <v>0</v>
      </c>
    </row>
    <row r="61" spans="8:30" x14ac:dyDescent="0.25">
      <c r="H61" s="94">
        <f t="shared" si="202"/>
        <v>46.494793499999972</v>
      </c>
      <c r="J61" s="94">
        <f t="shared" si="191"/>
        <v>51.506758500000004</v>
      </c>
      <c r="L61" s="94">
        <f t="shared" si="192"/>
        <v>18.671559000000023</v>
      </c>
      <c r="N61" s="94">
        <f t="shared" si="193"/>
        <v>73.184227499999992</v>
      </c>
      <c r="P61" s="94">
        <f t="shared" si="194"/>
        <v>33.508690499999986</v>
      </c>
      <c r="R61" s="94">
        <f t="shared" si="195"/>
        <v>66.281788499999962</v>
      </c>
      <c r="T61" s="94">
        <f t="shared" si="196"/>
        <v>21.812760000000008</v>
      </c>
      <c r="V61" s="94">
        <f t="shared" si="197"/>
        <v>25.176259499999979</v>
      </c>
      <c r="X61" s="94">
        <f t="shared" si="198"/>
        <v>-182.01696900000007</v>
      </c>
      <c r="Z61" s="94">
        <f t="shared" si="199"/>
        <v>257.44404900000001</v>
      </c>
      <c r="AB61" s="94">
        <f t="shared" si="200"/>
        <v>-53.858382000000042</v>
      </c>
      <c r="AD61" s="94">
        <f t="shared" si="201"/>
        <v>-135.31184700000009</v>
      </c>
    </row>
    <row r="62" spans="8:30" x14ac:dyDescent="0.25">
      <c r="H62" s="94">
        <f t="shared" si="202"/>
        <v>65.867624124999963</v>
      </c>
      <c r="J62" s="94">
        <f t="shared" si="191"/>
        <v>72.967907875000009</v>
      </c>
      <c r="L62" s="94">
        <f t="shared" si="192"/>
        <v>26.451375250000034</v>
      </c>
      <c r="N62" s="94">
        <f t="shared" si="193"/>
        <v>103.677655625</v>
      </c>
      <c r="P62" s="94">
        <f t="shared" si="194"/>
        <v>47.470644874999977</v>
      </c>
      <c r="R62" s="94">
        <f t="shared" si="195"/>
        <v>93.899200374999964</v>
      </c>
      <c r="T62" s="94">
        <f t="shared" si="196"/>
        <v>30.901410000000009</v>
      </c>
      <c r="V62" s="94">
        <f t="shared" si="197"/>
        <v>35.666367624999971</v>
      </c>
      <c r="X62" s="94">
        <f t="shared" si="198"/>
        <v>-257.85737275000014</v>
      </c>
      <c r="Z62" s="94">
        <f t="shared" si="199"/>
        <v>364.71240275000002</v>
      </c>
      <c r="AB62" s="94">
        <f t="shared" si="200"/>
        <v>-76.299374500000056</v>
      </c>
      <c r="AD62" s="94">
        <f t="shared" si="201"/>
        <v>-175.69178325000016</v>
      </c>
    </row>
    <row r="63" spans="8:30" x14ac:dyDescent="0.25">
      <c r="H63" s="94">
        <f t="shared" si="202"/>
        <v>0</v>
      </c>
      <c r="J63" s="94">
        <f t="shared" si="191"/>
        <v>0</v>
      </c>
      <c r="L63" s="94">
        <f t="shared" si="192"/>
        <v>0</v>
      </c>
      <c r="N63" s="94">
        <f t="shared" si="193"/>
        <v>0</v>
      </c>
      <c r="P63" s="94">
        <f t="shared" si="194"/>
        <v>0</v>
      </c>
      <c r="R63" s="94">
        <f t="shared" si="195"/>
        <v>0</v>
      </c>
      <c r="T63" s="94">
        <f t="shared" si="196"/>
        <v>0</v>
      </c>
      <c r="V63" s="94">
        <f t="shared" si="197"/>
        <v>0</v>
      </c>
      <c r="X63" s="94">
        <f t="shared" si="198"/>
        <v>0</v>
      </c>
      <c r="Z63" s="94">
        <f t="shared" si="199"/>
        <v>0</v>
      </c>
      <c r="AB63" s="94">
        <f t="shared" si="200"/>
        <v>0</v>
      </c>
      <c r="AD63" s="94">
        <f t="shared" si="201"/>
        <v>0</v>
      </c>
    </row>
    <row r="64" spans="8:30" x14ac:dyDescent="0.25">
      <c r="H64" s="94">
        <f t="shared" si="202"/>
        <v>197.60287237499989</v>
      </c>
      <c r="J64" s="94">
        <f t="shared" si="191"/>
        <v>218.90372362500003</v>
      </c>
      <c r="L64" s="94">
        <f t="shared" si="192"/>
        <v>79.354125750000094</v>
      </c>
      <c r="N64" s="94">
        <f t="shared" si="193"/>
        <v>311.032966875</v>
      </c>
      <c r="P64" s="94">
        <f t="shared" si="194"/>
        <v>142.41193462499993</v>
      </c>
      <c r="R64" s="94">
        <f t="shared" si="195"/>
        <v>281.69760112499989</v>
      </c>
      <c r="T64" s="94">
        <f t="shared" si="196"/>
        <v>92.704230000000024</v>
      </c>
      <c r="V64" s="94">
        <f t="shared" si="197"/>
        <v>106.99910287499992</v>
      </c>
      <c r="X64" s="94">
        <f t="shared" si="198"/>
        <v>-773.57211825000036</v>
      </c>
      <c r="Z64" s="94">
        <f t="shared" si="199"/>
        <v>1094.1372082500002</v>
      </c>
      <c r="AB64" s="94">
        <f t="shared" si="200"/>
        <v>-228.89812350000017</v>
      </c>
      <c r="AD64" s="94">
        <f t="shared" si="201"/>
        <v>-591.07534975000044</v>
      </c>
    </row>
    <row r="65" spans="8:30" x14ac:dyDescent="0.25">
      <c r="H65" s="94">
        <f t="shared" si="202"/>
        <v>0</v>
      </c>
      <c r="J65" s="94">
        <f t="shared" si="191"/>
        <v>0</v>
      </c>
      <c r="L65" s="94">
        <f t="shared" si="192"/>
        <v>0</v>
      </c>
      <c r="N65" s="94">
        <f t="shared" si="193"/>
        <v>0</v>
      </c>
      <c r="P65" s="94">
        <f t="shared" si="194"/>
        <v>0</v>
      </c>
      <c r="R65" s="94">
        <f t="shared" si="195"/>
        <v>0</v>
      </c>
      <c r="T65" s="94">
        <f t="shared" si="196"/>
        <v>0</v>
      </c>
      <c r="V65" s="94">
        <f t="shared" si="197"/>
        <v>0</v>
      </c>
      <c r="X65" s="94">
        <f t="shared" si="198"/>
        <v>0</v>
      </c>
      <c r="Z65" s="94">
        <f t="shared" si="199"/>
        <v>0</v>
      </c>
      <c r="AB65" s="94">
        <f t="shared" si="200"/>
        <v>0</v>
      </c>
      <c r="AD65" s="94">
        <f t="shared" si="201"/>
        <v>0</v>
      </c>
    </row>
    <row r="66" spans="8:30" x14ac:dyDescent="0.25">
      <c r="H66" s="94">
        <f t="shared" si="202"/>
        <v>314.47049649999985</v>
      </c>
      <c r="J66" s="94">
        <f t="shared" si="191"/>
        <v>342.87163150000003</v>
      </c>
      <c r="L66" s="94">
        <f t="shared" si="192"/>
        <v>156.80550100000013</v>
      </c>
      <c r="N66" s="94">
        <f t="shared" si="193"/>
        <v>465.7106225</v>
      </c>
      <c r="P66" s="94">
        <f t="shared" si="194"/>
        <v>240.88257949999991</v>
      </c>
      <c r="R66" s="94">
        <f t="shared" si="195"/>
        <v>426.59680149999986</v>
      </c>
      <c r="T66" s="94">
        <f t="shared" si="196"/>
        <v>174.60564000000002</v>
      </c>
      <c r="V66" s="94">
        <f t="shared" si="197"/>
        <v>193.66547049999988</v>
      </c>
      <c r="X66" s="94">
        <f t="shared" si="198"/>
        <v>-980.42949100000055</v>
      </c>
      <c r="Z66" s="94">
        <f t="shared" si="199"/>
        <v>1509.8496110000001</v>
      </c>
      <c r="AB66" s="94">
        <f t="shared" si="200"/>
        <v>-254.19749800000022</v>
      </c>
      <c r="AD66" s="94">
        <f t="shared" si="201"/>
        <v>-715.76713300000063</v>
      </c>
    </row>
    <row r="67" spans="8:30" x14ac:dyDescent="0.25">
      <c r="H67" s="94">
        <f t="shared" si="202"/>
        <v>0</v>
      </c>
      <c r="J67" s="94">
        <f t="shared" si="191"/>
        <v>0</v>
      </c>
      <c r="L67" s="94">
        <f t="shared" si="192"/>
        <v>0</v>
      </c>
      <c r="N67" s="94">
        <f t="shared" si="193"/>
        <v>0</v>
      </c>
      <c r="P67" s="94">
        <f t="shared" si="194"/>
        <v>0</v>
      </c>
      <c r="R67" s="94">
        <f t="shared" si="195"/>
        <v>0</v>
      </c>
      <c r="T67" s="94">
        <f t="shared" si="196"/>
        <v>0</v>
      </c>
      <c r="V67" s="94">
        <f t="shared" si="197"/>
        <v>0</v>
      </c>
      <c r="X67" s="94">
        <f t="shared" si="198"/>
        <v>0</v>
      </c>
      <c r="Z67" s="94">
        <f t="shared" si="199"/>
        <v>0</v>
      </c>
      <c r="AB67" s="94">
        <f t="shared" si="200"/>
        <v>0</v>
      </c>
      <c r="AD67" s="94">
        <f t="shared" si="201"/>
        <v>0</v>
      </c>
    </row>
    <row r="68" spans="8:30" x14ac:dyDescent="0.25">
      <c r="H68" s="94">
        <f t="shared" si="202"/>
        <v>1914.57062</v>
      </c>
      <c r="J68" s="94">
        <f t="shared" si="191"/>
        <v>1777.5726299999999</v>
      </c>
      <c r="L68" s="94">
        <f t="shared" si="192"/>
        <v>1313.5720700000002</v>
      </c>
      <c r="N68" s="94">
        <f t="shared" si="193"/>
        <v>1993.6548</v>
      </c>
      <c r="P68" s="94">
        <f t="shared" si="194"/>
        <v>2060.19074</v>
      </c>
      <c r="R68" s="94">
        <f t="shared" si="195"/>
        <v>1862.2117499999999</v>
      </c>
      <c r="T68" s="94">
        <f t="shared" si="196"/>
        <v>1202.95218</v>
      </c>
      <c r="V68" s="94">
        <f t="shared" si="197"/>
        <v>1492.1363899999999</v>
      </c>
      <c r="X68" s="94">
        <f t="shared" si="198"/>
        <v>1576.9635000000001</v>
      </c>
      <c r="Z68" s="94">
        <f t="shared" si="199"/>
        <v>1640.0537300000001</v>
      </c>
      <c r="AB68" s="94">
        <f t="shared" si="200"/>
        <v>1966.98667</v>
      </c>
      <c r="AD68" s="94">
        <f t="shared" si="201"/>
        <v>1509.4025000000001</v>
      </c>
    </row>
    <row r="69" spans="8:30" x14ac:dyDescent="0.25">
      <c r="H69" s="94">
        <f t="shared" si="202"/>
        <v>121.39594</v>
      </c>
      <c r="J69" s="94">
        <f t="shared" si="191"/>
        <v>127.13159</v>
      </c>
      <c r="L69" s="94">
        <f t="shared" si="192"/>
        <v>113.38360999999999</v>
      </c>
      <c r="N69" s="94">
        <f t="shared" si="193"/>
        <v>214.05898000000002</v>
      </c>
      <c r="P69" s="94">
        <f t="shared" si="194"/>
        <v>211.99688999999995</v>
      </c>
      <c r="R69" s="94">
        <f t="shared" si="195"/>
        <v>147.45407</v>
      </c>
      <c r="T69" s="94">
        <f t="shared" si="196"/>
        <v>122.43382999999999</v>
      </c>
      <c r="V69" s="94">
        <f t="shared" si="197"/>
        <v>51.50224</v>
      </c>
      <c r="X69" s="94">
        <f t="shared" si="198"/>
        <v>128.5959</v>
      </c>
      <c r="Z69" s="94">
        <f t="shared" si="199"/>
        <v>108.96390999999998</v>
      </c>
      <c r="AB69" s="94">
        <f t="shared" si="200"/>
        <v>114.98264</v>
      </c>
      <c r="AD69" s="94">
        <f t="shared" si="201"/>
        <v>21.174820000000004</v>
      </c>
    </row>
    <row r="70" spans="8:30" x14ac:dyDescent="0.25">
      <c r="H70" s="94">
        <f t="shared" si="202"/>
        <v>2035.9665599999998</v>
      </c>
      <c r="J70" s="94">
        <f t="shared" si="191"/>
        <v>1904.7042199999999</v>
      </c>
      <c r="L70" s="94">
        <f t="shared" si="192"/>
        <v>1426.9556800000003</v>
      </c>
      <c r="N70" s="94">
        <f t="shared" si="193"/>
        <v>2207.71378</v>
      </c>
      <c r="P70" s="94">
        <f t="shared" si="194"/>
        <v>2272.1876299999999</v>
      </c>
      <c r="R70" s="94">
        <f t="shared" si="195"/>
        <v>2009.6658199999999</v>
      </c>
      <c r="T70" s="94">
        <f t="shared" si="196"/>
        <v>1325.3860099999999</v>
      </c>
      <c r="V70" s="94">
        <f t="shared" si="197"/>
        <v>1543.6386299999999</v>
      </c>
      <c r="X70" s="94">
        <f t="shared" si="198"/>
        <v>1705.5594000000001</v>
      </c>
      <c r="Z70" s="94">
        <f t="shared" si="199"/>
        <v>1749.01764</v>
      </c>
      <c r="AB70" s="94">
        <f t="shared" si="200"/>
        <v>2081.96931</v>
      </c>
      <c r="AD70" s="94">
        <f t="shared" si="201"/>
        <v>1530.5773200000001</v>
      </c>
    </row>
    <row r="71" spans="8:30" x14ac:dyDescent="0.25">
      <c r="H71" s="94">
        <f t="shared" si="202"/>
        <v>0</v>
      </c>
      <c r="J71" s="94">
        <f t="shared" si="191"/>
        <v>0</v>
      </c>
      <c r="L71" s="94">
        <f t="shared" si="192"/>
        <v>0</v>
      </c>
      <c r="N71" s="94">
        <f t="shared" si="193"/>
        <v>0</v>
      </c>
      <c r="P71" s="94">
        <f t="shared" si="194"/>
        <v>0</v>
      </c>
      <c r="R71" s="94">
        <f t="shared" si="195"/>
        <v>0</v>
      </c>
      <c r="T71" s="94">
        <f t="shared" si="196"/>
        <v>0</v>
      </c>
      <c r="V71" s="94">
        <f t="shared" si="197"/>
        <v>0</v>
      </c>
      <c r="X71" s="94">
        <f t="shared" si="198"/>
        <v>0</v>
      </c>
      <c r="Z71" s="94">
        <f t="shared" si="199"/>
        <v>0</v>
      </c>
      <c r="AB71" s="94">
        <f t="shared" si="200"/>
        <v>0</v>
      </c>
      <c r="AD71" s="94">
        <f t="shared" si="201"/>
        <v>0</v>
      </c>
    </row>
    <row r="72" spans="8:30" x14ac:dyDescent="0.25">
      <c r="H72" s="94">
        <f t="shared" si="202"/>
        <v>1426.01331</v>
      </c>
      <c r="J72" s="94">
        <f t="shared" si="191"/>
        <v>1329.0678499999999</v>
      </c>
      <c r="L72" s="94">
        <f t="shared" si="192"/>
        <v>1082.4737500000001</v>
      </c>
      <c r="N72" s="94">
        <f t="shared" si="193"/>
        <v>1432.6461400000001</v>
      </c>
      <c r="P72" s="94">
        <f t="shared" si="194"/>
        <v>1686.65978</v>
      </c>
      <c r="R72" s="94">
        <f t="shared" si="195"/>
        <v>1341.6826000000001</v>
      </c>
      <c r="T72" s="94">
        <f t="shared" si="196"/>
        <v>914.6540399999999</v>
      </c>
      <c r="V72" s="94">
        <f t="shared" si="197"/>
        <v>1196.80438</v>
      </c>
      <c r="X72" s="94">
        <f t="shared" si="198"/>
        <v>2674.7855700000005</v>
      </c>
      <c r="Z72" s="94">
        <f t="shared" si="199"/>
        <v>-240.28460999999999</v>
      </c>
      <c r="AB72" s="94">
        <f t="shared" si="200"/>
        <v>2181.2461400000002</v>
      </c>
      <c r="AD72" s="94">
        <f t="shared" si="201"/>
        <v>1782.0035300000009</v>
      </c>
    </row>
    <row r="73" spans="8:30" x14ac:dyDescent="0.25">
      <c r="H73" s="94">
        <f t="shared" si="202"/>
        <v>80.470130000000012</v>
      </c>
      <c r="J73" s="94">
        <f t="shared" si="191"/>
        <v>74.891670000000005</v>
      </c>
      <c r="L73" s="94">
        <f t="shared" si="192"/>
        <v>89.709550000000007</v>
      </c>
      <c r="N73" s="94">
        <f t="shared" si="193"/>
        <v>141.10760000000002</v>
      </c>
      <c r="P73" s="94">
        <f t="shared" si="194"/>
        <v>161.02952999999999</v>
      </c>
      <c r="R73" s="94">
        <f t="shared" si="195"/>
        <v>74.891670000000005</v>
      </c>
      <c r="T73" s="94">
        <f t="shared" si="196"/>
        <v>97.777990000000003</v>
      </c>
      <c r="V73" s="94">
        <f t="shared" si="197"/>
        <v>39.749839999999999</v>
      </c>
      <c r="X73" s="94">
        <f t="shared" si="198"/>
        <v>0</v>
      </c>
      <c r="Z73" s="94">
        <f t="shared" si="199"/>
        <v>0</v>
      </c>
      <c r="AB73" s="94">
        <f t="shared" si="200"/>
        <v>0</v>
      </c>
      <c r="AD73" s="94">
        <f t="shared" si="201"/>
        <v>241.47846999999999</v>
      </c>
    </row>
    <row r="74" spans="8:30" x14ac:dyDescent="0.25">
      <c r="H74" s="94">
        <f t="shared" si="202"/>
        <v>0</v>
      </c>
      <c r="J74" s="94">
        <f t="shared" si="191"/>
        <v>0</v>
      </c>
      <c r="L74" s="94">
        <f t="shared" si="192"/>
        <v>0</v>
      </c>
      <c r="N74" s="94">
        <f t="shared" si="193"/>
        <v>0</v>
      </c>
      <c r="P74" s="94">
        <f t="shared" si="194"/>
        <v>0</v>
      </c>
      <c r="R74" s="94">
        <f t="shared" si="195"/>
        <v>0</v>
      </c>
      <c r="T74" s="94">
        <f t="shared" si="196"/>
        <v>0</v>
      </c>
      <c r="V74" s="94">
        <f t="shared" si="197"/>
        <v>0</v>
      </c>
      <c r="X74" s="94">
        <f t="shared" si="198"/>
        <v>0</v>
      </c>
      <c r="Z74" s="94">
        <f t="shared" si="199"/>
        <v>0</v>
      </c>
      <c r="AB74" s="94">
        <f t="shared" si="200"/>
        <v>0</v>
      </c>
      <c r="AD74" s="94">
        <f t="shared" si="201"/>
        <v>0</v>
      </c>
    </row>
    <row r="75" spans="8:30" x14ac:dyDescent="0.25">
      <c r="H75" s="94">
        <f t="shared" si="202"/>
        <v>529.48311999999976</v>
      </c>
      <c r="J75" s="94">
        <f t="shared" si="191"/>
        <v>500.74469999999997</v>
      </c>
      <c r="L75" s="94">
        <f t="shared" si="192"/>
        <v>254.77238000000014</v>
      </c>
      <c r="N75" s="94">
        <f t="shared" si="193"/>
        <v>633.96003999999994</v>
      </c>
      <c r="P75" s="94">
        <f t="shared" si="194"/>
        <v>424.49831999999992</v>
      </c>
      <c r="R75" s="94">
        <f t="shared" si="195"/>
        <v>593.09154999999987</v>
      </c>
      <c r="T75" s="94">
        <f t="shared" si="196"/>
        <v>312.95398000000006</v>
      </c>
      <c r="V75" s="94">
        <f t="shared" si="197"/>
        <v>307.08440999999988</v>
      </c>
      <c r="X75" s="94">
        <f t="shared" si="198"/>
        <v>-969.22617000000037</v>
      </c>
      <c r="Z75" s="94">
        <f t="shared" si="199"/>
        <v>1989.30225</v>
      </c>
      <c r="AB75" s="94">
        <f t="shared" si="200"/>
        <v>-99.276830000000245</v>
      </c>
      <c r="AD75" s="94">
        <f t="shared" si="201"/>
        <v>-492.90468000000078</v>
      </c>
    </row>
    <row r="76" spans="8:30" x14ac:dyDescent="0.25">
      <c r="H76" s="94">
        <f t="shared" si="202"/>
        <v>0</v>
      </c>
      <c r="J76" s="94">
        <f t="shared" si="191"/>
        <v>0</v>
      </c>
      <c r="L76" s="94">
        <f t="shared" si="192"/>
        <v>0</v>
      </c>
      <c r="N76" s="94">
        <f t="shared" si="193"/>
        <v>0</v>
      </c>
      <c r="P76" s="94">
        <f t="shared" si="194"/>
        <v>0</v>
      </c>
      <c r="R76" s="94">
        <f t="shared" si="195"/>
        <v>0</v>
      </c>
      <c r="T76" s="94">
        <f t="shared" si="196"/>
        <v>0</v>
      </c>
      <c r="V76" s="94">
        <f t="shared" si="197"/>
        <v>0</v>
      </c>
      <c r="X76" s="94">
        <f t="shared" si="198"/>
        <v>0</v>
      </c>
      <c r="Z76" s="94">
        <f t="shared" si="199"/>
        <v>0</v>
      </c>
      <c r="AB76" s="94">
        <f t="shared" si="200"/>
        <v>0</v>
      </c>
      <c r="AD76" s="94">
        <f t="shared" si="201"/>
        <v>0</v>
      </c>
    </row>
    <row r="77" spans="8:30" x14ac:dyDescent="0.25">
      <c r="H77" s="94">
        <f t="shared" si="202"/>
        <v>54.557470000000002</v>
      </c>
      <c r="J77" s="94">
        <f t="shared" si="191"/>
        <v>47.831980000000001</v>
      </c>
      <c r="L77" s="94">
        <f t="shared" si="192"/>
        <v>38.5473</v>
      </c>
      <c r="N77" s="94">
        <f t="shared" si="193"/>
        <v>38.767330000000001</v>
      </c>
      <c r="P77" s="94">
        <f t="shared" si="194"/>
        <v>46.903269999999999</v>
      </c>
      <c r="R77" s="94">
        <f t="shared" si="195"/>
        <v>39.29598</v>
      </c>
      <c r="T77" s="94">
        <f t="shared" si="196"/>
        <v>60.569810000000004</v>
      </c>
      <c r="V77" s="94">
        <f t="shared" si="197"/>
        <v>42.292650000000002</v>
      </c>
      <c r="X77" s="94">
        <f t="shared" si="198"/>
        <v>68.925080000000008</v>
      </c>
      <c r="Z77" s="94">
        <f t="shared" si="199"/>
        <v>40.646639999999998</v>
      </c>
      <c r="AB77" s="94">
        <f t="shared" si="200"/>
        <v>38.446379999999998</v>
      </c>
      <c r="AD77" s="94">
        <f t="shared" si="201"/>
        <v>42.551600000000001</v>
      </c>
    </row>
    <row r="78" spans="8:30" x14ac:dyDescent="0.25">
      <c r="H78" s="94">
        <f t="shared" si="202"/>
        <v>142.10570999999999</v>
      </c>
      <c r="J78" s="94">
        <f t="shared" si="191"/>
        <v>90.855729999999994</v>
      </c>
      <c r="L78" s="94">
        <f t="shared" si="192"/>
        <v>80.007649999999998</v>
      </c>
      <c r="N78" s="94">
        <f t="shared" si="193"/>
        <v>88.353750000000005</v>
      </c>
      <c r="P78" s="94">
        <f t="shared" si="194"/>
        <v>143.87351000000001</v>
      </c>
      <c r="R78" s="94">
        <f t="shared" si="195"/>
        <v>90.377719999999997</v>
      </c>
      <c r="T78" s="94">
        <f t="shared" si="196"/>
        <v>103.76389</v>
      </c>
      <c r="V78" s="94">
        <f t="shared" si="197"/>
        <v>97.631749999999997</v>
      </c>
      <c r="X78" s="94">
        <f t="shared" si="198"/>
        <v>173.75363000000002</v>
      </c>
      <c r="Z78" s="94">
        <f t="shared" si="199"/>
        <v>130.4324</v>
      </c>
      <c r="AB78" s="94">
        <f t="shared" si="200"/>
        <v>154.70348000000001</v>
      </c>
      <c r="AD78" s="94">
        <f t="shared" si="201"/>
        <v>300.19536999999997</v>
      </c>
    </row>
    <row r="79" spans="8:30" x14ac:dyDescent="0.25">
      <c r="H79" s="94">
        <f t="shared" si="202"/>
        <v>1.17852</v>
      </c>
      <c r="J79" s="94">
        <f t="shared" si="191"/>
        <v>0.93813000000000002</v>
      </c>
      <c r="L79" s="94">
        <f t="shared" si="192"/>
        <v>1.5081300000000002</v>
      </c>
      <c r="N79" s="94">
        <f t="shared" si="193"/>
        <v>0.93813000000000002</v>
      </c>
      <c r="P79" s="94">
        <f t="shared" si="194"/>
        <v>0.93813000000000002</v>
      </c>
      <c r="R79" s="94">
        <f t="shared" si="195"/>
        <v>1.5081300000000002</v>
      </c>
      <c r="T79" s="94">
        <f t="shared" si="196"/>
        <v>1.5081300000000002</v>
      </c>
      <c r="V79" s="94">
        <f t="shared" si="197"/>
        <v>0</v>
      </c>
      <c r="X79" s="94">
        <f t="shared" si="198"/>
        <v>0.93813000000000002</v>
      </c>
      <c r="Z79" s="94">
        <f t="shared" si="199"/>
        <v>0</v>
      </c>
      <c r="AB79" s="94">
        <f t="shared" si="200"/>
        <v>2</v>
      </c>
      <c r="AD79" s="94">
        <f t="shared" si="201"/>
        <v>0.13250000000000001</v>
      </c>
    </row>
    <row r="80" spans="8:30" x14ac:dyDescent="0.25">
      <c r="H80" s="94">
        <f>+H50</f>
        <v>7.03</v>
      </c>
      <c r="J80" s="94">
        <f t="shared" si="191"/>
        <v>7.5</v>
      </c>
      <c r="L80" s="94">
        <f t="shared" si="192"/>
        <v>0</v>
      </c>
      <c r="N80" s="94">
        <f t="shared" si="193"/>
        <v>7.8550000000000004</v>
      </c>
      <c r="P80" s="94">
        <f t="shared" si="194"/>
        <v>0</v>
      </c>
      <c r="R80" s="94">
        <f t="shared" si="195"/>
        <v>12.59</v>
      </c>
      <c r="T80" s="94">
        <f t="shared" si="196"/>
        <v>5.88</v>
      </c>
      <c r="V80" s="94">
        <f t="shared" si="197"/>
        <v>0</v>
      </c>
      <c r="X80" s="94">
        <f t="shared" si="198"/>
        <v>0</v>
      </c>
      <c r="Z80" s="94">
        <f t="shared" si="199"/>
        <v>12.43</v>
      </c>
      <c r="AB80" s="94">
        <f t="shared" si="200"/>
        <v>6.665</v>
      </c>
      <c r="AD80" s="94">
        <f t="shared" si="201"/>
        <v>0</v>
      </c>
    </row>
    <row r="81" spans="8:30" x14ac:dyDescent="0.25">
      <c r="H81" s="94">
        <f t="shared" si="202"/>
        <v>204.87169999999998</v>
      </c>
      <c r="J81" s="94">
        <f t="shared" si="191"/>
        <v>147.12583999999998</v>
      </c>
      <c r="L81" s="94">
        <f t="shared" si="192"/>
        <v>120.06307999999999</v>
      </c>
      <c r="N81" s="94">
        <f t="shared" si="193"/>
        <v>135.91421</v>
      </c>
      <c r="P81" s="94">
        <f t="shared" si="194"/>
        <v>191.71491</v>
      </c>
      <c r="R81" s="94">
        <f t="shared" si="195"/>
        <v>143.77182999999999</v>
      </c>
      <c r="T81" s="94">
        <f t="shared" si="196"/>
        <v>171.72183000000001</v>
      </c>
      <c r="V81" s="94">
        <f t="shared" si="197"/>
        <v>139.92439999999999</v>
      </c>
      <c r="X81" s="94">
        <f t="shared" si="198"/>
        <v>243.61684000000002</v>
      </c>
      <c r="Z81" s="94">
        <f t="shared" si="199"/>
        <v>183.50904</v>
      </c>
      <c r="AB81" s="94">
        <f t="shared" si="200"/>
        <v>201.81486000000001</v>
      </c>
      <c r="AD81" s="94">
        <f t="shared" si="201"/>
        <v>342.87946999999997</v>
      </c>
    </row>
    <row r="82" spans="8:30" x14ac:dyDescent="0.25">
      <c r="H82" s="94">
        <f t="shared" si="202"/>
        <v>0</v>
      </c>
      <c r="J82" s="94">
        <f t="shared" si="191"/>
        <v>0</v>
      </c>
      <c r="L82" s="94">
        <f t="shared" si="192"/>
        <v>0</v>
      </c>
      <c r="N82" s="94">
        <f t="shared" si="193"/>
        <v>0</v>
      </c>
      <c r="P82" s="94">
        <f t="shared" si="194"/>
        <v>0</v>
      </c>
      <c r="R82" s="94">
        <f t="shared" si="195"/>
        <v>0</v>
      </c>
      <c r="T82" s="94">
        <f t="shared" si="196"/>
        <v>0</v>
      </c>
      <c r="V82" s="94">
        <f t="shared" si="197"/>
        <v>0</v>
      </c>
      <c r="X82" s="94">
        <f t="shared" si="198"/>
        <v>0</v>
      </c>
      <c r="Z82" s="94">
        <f t="shared" si="199"/>
        <v>0</v>
      </c>
      <c r="AB82" s="94">
        <f t="shared" si="200"/>
        <v>0</v>
      </c>
      <c r="AD82" s="94">
        <f t="shared" si="201"/>
        <v>0</v>
      </c>
    </row>
    <row r="83" spans="8:30" x14ac:dyDescent="0.25">
      <c r="H83" s="94">
        <f t="shared" si="202"/>
        <v>324.61141999999978</v>
      </c>
      <c r="J83" s="94">
        <f t="shared" si="191"/>
        <v>353.61885999999998</v>
      </c>
      <c r="L83" s="94">
        <f t="shared" si="192"/>
        <v>134.70930000000016</v>
      </c>
      <c r="N83" s="94">
        <f t="shared" si="193"/>
        <v>498.04582999999991</v>
      </c>
      <c r="P83" s="94">
        <f t="shared" si="194"/>
        <v>232.78340999999992</v>
      </c>
      <c r="R83" s="94">
        <f t="shared" si="195"/>
        <v>449.31971999999985</v>
      </c>
      <c r="T83" s="94">
        <f t="shared" si="196"/>
        <v>141.23215000000005</v>
      </c>
      <c r="V83" s="94">
        <f t="shared" si="197"/>
        <v>167.16000999999989</v>
      </c>
      <c r="X83" s="94">
        <f t="shared" si="198"/>
        <v>-1212.8430100000005</v>
      </c>
      <c r="Z83" s="94">
        <f t="shared" si="199"/>
        <v>1805.79321</v>
      </c>
      <c r="AB83" s="94">
        <f t="shared" si="200"/>
        <v>-301.09169000000026</v>
      </c>
      <c r="AD83" s="94">
        <f t="shared" si="201"/>
        <v>-835.78415000000075</v>
      </c>
    </row>
    <row r="84" spans="8:30" x14ac:dyDescent="0.25">
      <c r="H84" s="94">
        <f t="shared" si="202"/>
        <v>0</v>
      </c>
      <c r="J84" s="94">
        <f t="shared" si="191"/>
        <v>0</v>
      </c>
      <c r="L84" s="94">
        <f t="shared" si="192"/>
        <v>0</v>
      </c>
      <c r="N84" s="94">
        <f t="shared" si="193"/>
        <v>0</v>
      </c>
      <c r="P84" s="94">
        <f t="shared" si="194"/>
        <v>0</v>
      </c>
      <c r="R84" s="94">
        <f t="shared" si="195"/>
        <v>0</v>
      </c>
      <c r="T84" s="94">
        <f t="shared" si="196"/>
        <v>0</v>
      </c>
      <c r="V84" s="94">
        <f t="shared" si="197"/>
        <v>0</v>
      </c>
      <c r="X84" s="94">
        <f t="shared" si="198"/>
        <v>0</v>
      </c>
      <c r="Z84" s="94">
        <f t="shared" si="199"/>
        <v>0</v>
      </c>
      <c r="AB84" s="94">
        <f t="shared" si="200"/>
        <v>0</v>
      </c>
      <c r="AD84" s="94">
        <f t="shared" si="201"/>
        <v>0</v>
      </c>
    </row>
    <row r="85" spans="8:30" x14ac:dyDescent="0.25">
      <c r="H85" s="94">
        <f t="shared" si="202"/>
        <v>14.81551</v>
      </c>
      <c r="J85" s="94">
        <f t="shared" si="191"/>
        <v>10.293010000000001</v>
      </c>
      <c r="L85" s="94">
        <f t="shared" si="192"/>
        <v>10.26741</v>
      </c>
      <c r="N85" s="94">
        <f t="shared" si="193"/>
        <v>10.19491</v>
      </c>
      <c r="P85" s="94">
        <f t="shared" si="194"/>
        <v>9.79406</v>
      </c>
      <c r="R85" s="94">
        <f t="shared" si="195"/>
        <v>8.0506099999999989</v>
      </c>
      <c r="T85" s="94">
        <f t="shared" si="196"/>
        <v>4.6187399999999998</v>
      </c>
      <c r="V85" s="94">
        <f t="shared" si="197"/>
        <v>0.46949999999999997</v>
      </c>
      <c r="X85" s="94">
        <f t="shared" si="198"/>
        <v>1.34741</v>
      </c>
      <c r="Z85" s="94">
        <f t="shared" si="199"/>
        <v>1.0469300000000001</v>
      </c>
      <c r="AB85" s="94">
        <f t="shared" si="200"/>
        <v>0.83611000000000002</v>
      </c>
      <c r="AD85" s="94">
        <f t="shared" si="201"/>
        <v>1.26406</v>
      </c>
    </row>
    <row r="86" spans="8:30" x14ac:dyDescent="0.25">
      <c r="H86" s="94">
        <f t="shared" si="202"/>
        <v>-0.16941000000000001</v>
      </c>
      <c r="J86" s="94">
        <f t="shared" si="191"/>
        <v>-5.2569999999999999E-2</v>
      </c>
      <c r="L86" s="94">
        <f t="shared" si="192"/>
        <v>-3.524E-2</v>
      </c>
      <c r="N86" s="94">
        <f t="shared" si="193"/>
        <v>-4.3959999999999999E-2</v>
      </c>
      <c r="P86" s="94">
        <f t="shared" si="194"/>
        <v>-0.40194000000000002</v>
      </c>
      <c r="R86" s="94">
        <f t="shared" si="195"/>
        <v>-0.61008000000000007</v>
      </c>
      <c r="T86" s="94">
        <f t="shared" si="196"/>
        <v>-8.8050800000000002</v>
      </c>
      <c r="V86" s="94">
        <f t="shared" si="197"/>
        <v>-1.1513300000000002</v>
      </c>
      <c r="X86" s="94">
        <f t="shared" si="198"/>
        <v>-0.74403000000000008</v>
      </c>
      <c r="Z86" s="94">
        <f t="shared" si="199"/>
        <v>-3.271999999999764E-2</v>
      </c>
      <c r="AB86" s="94">
        <f t="shared" si="200"/>
        <v>-17.982469999999999</v>
      </c>
      <c r="AD86" s="94">
        <f>+AD56</f>
        <v>-3.0612000000000137</v>
      </c>
    </row>
    <row r="87" spans="8:30" x14ac:dyDescent="0.25">
      <c r="H87" s="94">
        <f t="shared" si="202"/>
        <v>2.9999999999999997E-5</v>
      </c>
      <c r="J87" s="94">
        <f t="shared" si="191"/>
        <v>2.9999999999999997E-5</v>
      </c>
      <c r="L87" s="94">
        <f t="shared" si="192"/>
        <v>7.0000000000000007E-5</v>
      </c>
      <c r="N87" s="94">
        <f t="shared" si="193"/>
        <v>2.9999999999999997E-5</v>
      </c>
      <c r="P87" s="94">
        <f t="shared" si="194"/>
        <v>2.0000000000000002E-5</v>
      </c>
      <c r="R87" s="94">
        <f t="shared" si="195"/>
        <v>5.9999999999999995E-4</v>
      </c>
      <c r="T87" s="94">
        <f t="shared" si="196"/>
        <v>8.9999999999999992E-5</v>
      </c>
      <c r="V87" s="94">
        <f t="shared" si="197"/>
        <v>1.1E-4</v>
      </c>
      <c r="X87" s="94">
        <f t="shared" si="198"/>
        <v>7.0000000000000007E-5</v>
      </c>
      <c r="Z87" s="94">
        <f t="shared" si="199"/>
        <v>88.485339999999994</v>
      </c>
      <c r="AB87" s="94">
        <f t="shared" si="200"/>
        <v>75.110550000000003</v>
      </c>
      <c r="AD87" s="94">
        <f>+AD57</f>
        <v>68.091970000000003</v>
      </c>
    </row>
  </sheetData>
  <mergeCells count="15">
    <mergeCell ref="P2:Q2"/>
    <mergeCell ref="E2:F2"/>
    <mergeCell ref="H2:I2"/>
    <mergeCell ref="J2:K2"/>
    <mergeCell ref="L2:M2"/>
    <mergeCell ref="N2:O2"/>
    <mergeCell ref="AD2:AE2"/>
    <mergeCell ref="AG2:AH2"/>
    <mergeCell ref="AI2:AJ2"/>
    <mergeCell ref="R2:S2"/>
    <mergeCell ref="T2:U2"/>
    <mergeCell ref="V2:W2"/>
    <mergeCell ref="X2:Y2"/>
    <mergeCell ref="Z2:AA2"/>
    <mergeCell ref="AB2:AC2"/>
  </mergeCells>
  <conditionalFormatting sqref="H2:AE2">
    <cfRule type="cellIs" dxfId="11" priority="3" stopIfTrue="1" operator="equal">
      <formula>"Estimado"</formula>
    </cfRule>
  </conditionalFormatting>
  <conditionalFormatting sqref="AG2:AH2">
    <cfRule type="cellIs" dxfId="10" priority="2" stopIfTrue="1" operator="equal">
      <formula>"Estimado"</formula>
    </cfRule>
  </conditionalFormatting>
  <conditionalFormatting sqref="AI2:AJ2">
    <cfRule type="cellIs" dxfId="9" priority="1" stopIfTrue="1" operator="equal">
      <formula>"Estimado"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B3C96-1CA0-4F1F-A4A4-3BCB01218874}">
  <dimension ref="A1:Q44"/>
  <sheetViews>
    <sheetView topLeftCell="A5" workbookViewId="0">
      <selection sqref="A1:XFD1048576"/>
    </sheetView>
  </sheetViews>
  <sheetFormatPr baseColWidth="10" defaultColWidth="9.140625" defaultRowHeight="15.75" x14ac:dyDescent="0.25"/>
  <cols>
    <col min="1" max="4" width="3.7109375" style="3" customWidth="1"/>
    <col min="5" max="5" width="24" bestFit="1" customWidth="1"/>
    <col min="7" max="7" width="3.42578125" customWidth="1"/>
    <col min="8" max="9" width="12.7109375" style="95" customWidth="1"/>
    <col min="10" max="10" width="14.5703125" style="95" customWidth="1"/>
    <col min="11" max="11" width="12.7109375" style="95" customWidth="1"/>
    <col min="12" max="12" width="15.28515625" style="95" bestFit="1" customWidth="1"/>
    <col min="13" max="13" width="12.7109375" style="95" customWidth="1"/>
    <col min="14" max="14" width="1.42578125" style="95" customWidth="1"/>
    <col min="15" max="15" width="11.28515625" style="95" customWidth="1"/>
    <col min="16" max="16" width="11.28515625" style="97" customWidth="1"/>
  </cols>
  <sheetData>
    <row r="1" spans="1:17" ht="16.5" hidden="1" thickBot="1" x14ac:dyDescent="0.3">
      <c r="H1" s="95">
        <f>+J1+3</f>
        <v>15</v>
      </c>
      <c r="J1" s="96">
        <f>+[1]Cabecera!B8</f>
        <v>12</v>
      </c>
      <c r="L1" s="95">
        <f>+J1+2</f>
        <v>14</v>
      </c>
    </row>
    <row r="2" spans="1:17" ht="26.25" hidden="1" customHeight="1" x14ac:dyDescent="0.25">
      <c r="J2" s="98"/>
      <c r="K2" s="98"/>
      <c r="M2" s="98"/>
    </row>
    <row r="3" spans="1:17" ht="26.25" hidden="1" customHeight="1" x14ac:dyDescent="0.25">
      <c r="J3" s="98"/>
      <c r="K3" s="98"/>
      <c r="M3" s="98"/>
    </row>
    <row r="4" spans="1:17" ht="16.5" hidden="1" thickBot="1" x14ac:dyDescent="0.3"/>
    <row r="5" spans="1:17" ht="21" thickBot="1" x14ac:dyDescent="0.35">
      <c r="E5" s="398" t="s">
        <v>75</v>
      </c>
      <c r="F5" s="399"/>
      <c r="G5" s="399"/>
      <c r="H5" s="399"/>
      <c r="I5" s="399"/>
      <c r="J5" s="399"/>
      <c r="K5" s="399"/>
      <c r="L5" s="399"/>
      <c r="M5" s="399"/>
      <c r="N5" s="399"/>
      <c r="O5" s="399"/>
      <c r="P5" s="400"/>
    </row>
    <row r="6" spans="1:17" x14ac:dyDescent="0.25">
      <c r="E6" s="401">
        <f>+[1]Cabecera!B7</f>
        <v>44531</v>
      </c>
      <c r="F6" s="401"/>
      <c r="G6" s="401"/>
      <c r="H6" s="401"/>
      <c r="I6" s="401"/>
      <c r="J6" s="401"/>
      <c r="K6" s="401"/>
      <c r="L6" s="401"/>
      <c r="M6" s="401"/>
      <c r="N6" s="401"/>
      <c r="O6" s="401"/>
      <c r="P6" s="401"/>
    </row>
    <row r="7" spans="1:17" ht="16.5" thickBot="1" x14ac:dyDescent="0.3"/>
    <row r="8" spans="1:17" ht="16.5" thickBot="1" x14ac:dyDescent="0.3">
      <c r="E8" s="402" t="s">
        <v>3</v>
      </c>
      <c r="F8" s="402"/>
      <c r="H8" s="403" t="s">
        <v>76</v>
      </c>
      <c r="I8" s="409"/>
      <c r="J8" s="409"/>
      <c r="K8" s="409"/>
      <c r="L8" s="409"/>
      <c r="M8" s="404"/>
      <c r="O8" s="99" t="s">
        <v>77</v>
      </c>
      <c r="P8" s="100" t="s">
        <v>77</v>
      </c>
    </row>
    <row r="9" spans="1:17" ht="16.5" thickBot="1" x14ac:dyDescent="0.3">
      <c r="H9" s="96"/>
      <c r="I9" s="96"/>
    </row>
    <row r="10" spans="1:17" ht="15" customHeight="1" x14ac:dyDescent="0.25">
      <c r="H10" s="407">
        <v>2021</v>
      </c>
      <c r="I10" s="410" t="s">
        <v>78</v>
      </c>
      <c r="J10" s="407" t="s">
        <v>6</v>
      </c>
      <c r="K10" s="410" t="s">
        <v>79</v>
      </c>
      <c r="L10" s="407">
        <v>2020</v>
      </c>
      <c r="M10" s="410" t="s">
        <v>80</v>
      </c>
      <c r="O10" s="407" t="s">
        <v>6</v>
      </c>
      <c r="P10" s="407">
        <v>2020</v>
      </c>
    </row>
    <row r="11" spans="1:17" ht="15.75" customHeight="1" thickBot="1" x14ac:dyDescent="0.3">
      <c r="H11" s="408"/>
      <c r="I11" s="411"/>
      <c r="J11" s="408"/>
      <c r="K11" s="411"/>
      <c r="L11" s="408"/>
      <c r="M11" s="411"/>
      <c r="O11" s="408"/>
      <c r="P11" s="408"/>
    </row>
    <row r="12" spans="1:17" ht="16.5" thickBot="1" x14ac:dyDescent="0.3">
      <c r="H12" s="96"/>
      <c r="I12" s="101"/>
      <c r="J12" s="96"/>
      <c r="K12" s="101"/>
      <c r="M12" s="101"/>
    </row>
    <row r="13" spans="1:17" ht="13.5" hidden="1" customHeight="1" x14ac:dyDescent="0.25">
      <c r="E13" s="53"/>
      <c r="F13" s="54"/>
      <c r="H13" s="102"/>
      <c r="I13" s="103"/>
      <c r="J13" s="102"/>
      <c r="K13" s="103"/>
      <c r="L13" s="102"/>
      <c r="M13" s="103"/>
      <c r="O13" s="102"/>
      <c r="P13" s="102"/>
    </row>
    <row r="14" spans="1:17" ht="13.5" hidden="1" customHeight="1" x14ac:dyDescent="0.25">
      <c r="E14" s="57" t="s">
        <v>51</v>
      </c>
      <c r="F14" s="58"/>
      <c r="H14" s="104">
        <f>+'[1]Comparativo PG Acumulado'!E15/1000</f>
        <v>23295.174230000001</v>
      </c>
      <c r="I14" s="105"/>
      <c r="J14" s="104">
        <f>+'[1]Comparativo PG Acumulado'!F15/1000</f>
        <v>26398.335637778502</v>
      </c>
      <c r="K14" s="105"/>
      <c r="L14" s="104">
        <f>+'[1]Comparativo PG Acumulado'!G15/1000</f>
        <v>25005.447170000003</v>
      </c>
      <c r="M14" s="105"/>
      <c r="O14" s="106">
        <f>+($H14/J14)-1</f>
        <v>-0.11755140363234062</v>
      </c>
      <c r="P14" s="106">
        <f>+($H14/L14)-1</f>
        <v>-6.8396015011156552E-2</v>
      </c>
    </row>
    <row r="15" spans="1:17" ht="13.5" hidden="1" customHeight="1" x14ac:dyDescent="0.25">
      <c r="E15" s="57" t="s">
        <v>52</v>
      </c>
      <c r="F15" s="58"/>
      <c r="H15" s="104">
        <f>+'[1]Comparativo PG Acumulado'!E16/1000</f>
        <v>6191.4813600000007</v>
      </c>
      <c r="I15" s="105"/>
      <c r="J15" s="104">
        <f>+'[1]Comparativo PG Acumulado'!F16/1000</f>
        <v>6870.9747896569406</v>
      </c>
      <c r="K15" s="105"/>
      <c r="L15" s="104">
        <f>+'[1]Comparativo PG Acumulado'!G16/1000</f>
        <v>6560.7468399999998</v>
      </c>
      <c r="M15" s="105"/>
      <c r="O15" s="107">
        <f>+($H15/J15)-1</f>
        <v>-9.8893308512760014E-2</v>
      </c>
      <c r="P15" s="106">
        <f>+($H15/L15)-1</f>
        <v>-5.628406170904765E-2</v>
      </c>
    </row>
    <row r="16" spans="1:17" s="35" customFormat="1" x14ac:dyDescent="0.25">
      <c r="A16" s="108">
        <v>8</v>
      </c>
      <c r="B16" s="108"/>
      <c r="C16" s="108">
        <v>8</v>
      </c>
      <c r="D16" s="108">
        <v>12</v>
      </c>
      <c r="E16" s="62" t="s">
        <v>53</v>
      </c>
      <c r="F16" s="63"/>
      <c r="H16" s="109">
        <f>IF(ISNA(HLOOKUP($H$1,base82,+D16,FALSE))=FALSE,HLOOKUP($H$1,base82,+D16,FALSE),0)</f>
        <v>1956.12213</v>
      </c>
      <c r="I16" s="110">
        <f>+H16/H$18</f>
        <v>0.90629699761161175</v>
      </c>
      <c r="J16" s="109">
        <f>IF(ISNA(HLOOKUP($J$1,base79,+A16,FALSE))=FALSE,HLOOKUP($J$1,base79,+A16,FALSE),0)/1000</f>
        <v>2528.1579999999999</v>
      </c>
      <c r="K16" s="110">
        <f>+J16/J$18</f>
        <v>0.94399135525237865</v>
      </c>
      <c r="L16" s="111">
        <f>IF(ISNA(HLOOKUP($L$1,base80,+C16,FALSE))=FALSE,HLOOKUP($L$1,base80,+C16,FALSE),0)</f>
        <v>1509.4025000000001</v>
      </c>
      <c r="M16" s="112">
        <f>+L16/L$18</f>
        <v>0.98616546859586296</v>
      </c>
      <c r="N16" s="113"/>
      <c r="O16" s="114" t="e">
        <f>+(#REF!/H16)-1</f>
        <v>#REF!</v>
      </c>
      <c r="P16" s="114" t="e">
        <f>+(#REF!/L16)-1</f>
        <v>#REF!</v>
      </c>
      <c r="Q16" s="66"/>
    </row>
    <row r="17" spans="1:17" s="35" customFormat="1" ht="16.5" thickBot="1" x14ac:dyDescent="0.3">
      <c r="A17" s="108">
        <v>9</v>
      </c>
      <c r="B17" s="108"/>
      <c r="C17" s="108">
        <v>9</v>
      </c>
      <c r="D17" s="108">
        <v>13</v>
      </c>
      <c r="E17" s="67" t="s">
        <v>54</v>
      </c>
      <c r="F17" s="68"/>
      <c r="H17" s="115">
        <f>IF(ISNA(HLOOKUP($H$1,base82,+D17,FALSE))=FALSE,HLOOKUP($H$1,base82,+D17,FALSE),0)</f>
        <v>202.24553</v>
      </c>
      <c r="I17" s="116">
        <f>+H17/H$18</f>
        <v>9.3703002388388273E-2</v>
      </c>
      <c r="J17" s="115">
        <f>IF(ISNA(HLOOKUP($J$1,base79,+A17,FALSE))=FALSE,HLOOKUP($J$1,base79,+A17,FALSE),0)/1000</f>
        <v>150</v>
      </c>
      <c r="K17" s="116">
        <f>+J17/J$18</f>
        <v>5.6008644747621315E-2</v>
      </c>
      <c r="L17" s="117">
        <f>IF(ISNA(HLOOKUP($L$1,base80,+C17,FALSE))=FALSE,HLOOKUP($L$1,base80,+C17,FALSE),0)</f>
        <v>21.174820000000004</v>
      </c>
      <c r="M17" s="118">
        <f>+L17/L$18</f>
        <v>1.3834531404137103E-2</v>
      </c>
      <c r="N17" s="113"/>
      <c r="O17" s="119">
        <f>+($H17/J17)-1</f>
        <v>0.3483035333333333</v>
      </c>
      <c r="P17" s="119">
        <f>+($H17/L17)-1</f>
        <v>8.5512278262577901</v>
      </c>
      <c r="Q17" s="66"/>
    </row>
    <row r="18" spans="1:17" s="35" customFormat="1" ht="16.5" thickBot="1" x14ac:dyDescent="0.3">
      <c r="A18" s="108">
        <v>10</v>
      </c>
      <c r="B18" s="108"/>
      <c r="C18" s="108"/>
      <c r="D18" s="108"/>
      <c r="E18" s="71" t="s">
        <v>55</v>
      </c>
      <c r="F18" s="72"/>
      <c r="H18" s="120">
        <f>+H16+H17</f>
        <v>2158.3676599999999</v>
      </c>
      <c r="I18" s="121">
        <f>+H18/H$18</f>
        <v>1</v>
      </c>
      <c r="J18" s="120">
        <f>+J16+J17</f>
        <v>2678.1579999999999</v>
      </c>
      <c r="K18" s="121">
        <f>+J18/J$18</f>
        <v>1</v>
      </c>
      <c r="L18" s="120">
        <f>+L16+L17</f>
        <v>1530.5773200000001</v>
      </c>
      <c r="M18" s="121">
        <f>+L18/L$18</f>
        <v>1</v>
      </c>
      <c r="N18" s="113"/>
      <c r="O18" s="122">
        <f>+($H18/J18)-1</f>
        <v>-0.19408501664203537</v>
      </c>
      <c r="P18" s="122">
        <f>+($H18/L18)-1</f>
        <v>0.41016571446387284</v>
      </c>
      <c r="Q18" s="66"/>
    </row>
    <row r="19" spans="1:17" ht="6.75" customHeight="1" x14ac:dyDescent="0.25">
      <c r="A19" s="108">
        <v>11</v>
      </c>
      <c r="B19" s="108"/>
      <c r="C19" s="108"/>
      <c r="D19" s="108"/>
      <c r="E19" s="53"/>
      <c r="F19" s="54"/>
      <c r="H19" s="123"/>
      <c r="I19" s="124"/>
      <c r="J19" s="123"/>
      <c r="K19" s="124"/>
      <c r="L19" s="123"/>
      <c r="M19" s="124"/>
      <c r="O19" s="114"/>
      <c r="P19" s="114"/>
    </row>
    <row r="20" spans="1:17" x14ac:dyDescent="0.25">
      <c r="A20" s="108">
        <v>12</v>
      </c>
      <c r="B20" s="108">
        <v>14</v>
      </c>
      <c r="C20" s="108">
        <v>12</v>
      </c>
      <c r="D20" s="108">
        <v>16</v>
      </c>
      <c r="E20" s="57" t="s">
        <v>56</v>
      </c>
      <c r="F20" s="58"/>
      <c r="H20" s="104">
        <f>IF(ISNA(HLOOKUP($H$1,base82,+D20,FALSE))=FALSE,HLOOKUP($H$1,base82,+D20,FALSE),0)</f>
        <v>4299.0358799999995</v>
      </c>
      <c r="I20" s="125">
        <f>+H20/H$16</f>
        <v>2.1977338807572302</v>
      </c>
      <c r="J20" s="104">
        <f>IF(ISNA(HLOOKUP($J$1,base79,+A20,FALSE))=FALSE,HLOOKUP($J$1,base79,+A20,FALSE),0)/1000+IF(ISNA(HLOOKUP($J$1,base79,+B20,FALSE))=FALSE,HLOOKUP($J$1,base79,+B20,FALSE),0)/1000</f>
        <v>2004.59322</v>
      </c>
      <c r="K20" s="125">
        <f>+J20/H$16</f>
        <v>1.0247791736807355</v>
      </c>
      <c r="L20" s="104">
        <f>IF(ISNA(HLOOKUP($L$1,base80,+C20,FALSE))=FALSE,HLOOKUP($L$1,base80,+C20,FALSE),0)</f>
        <v>1782.0035300000009</v>
      </c>
      <c r="M20" s="125">
        <f>+L20/L$16</f>
        <v>1.1806019467968289</v>
      </c>
      <c r="O20" s="122">
        <f>+($H20/J20)-1</f>
        <v>1.1445926470807875</v>
      </c>
      <c r="P20" s="122">
        <f>+($H20/L20)-1</f>
        <v>1.412473268220741</v>
      </c>
    </row>
    <row r="21" spans="1:17" x14ac:dyDescent="0.25">
      <c r="A21" s="108">
        <v>13</v>
      </c>
      <c r="B21" s="108"/>
      <c r="C21" s="108">
        <v>13</v>
      </c>
      <c r="D21" s="108">
        <v>17</v>
      </c>
      <c r="E21" s="57" t="s">
        <v>57</v>
      </c>
      <c r="F21" s="58"/>
      <c r="H21" s="104">
        <f>IF(ISNA(HLOOKUP($H$1,base82,+D21,FALSE))=FALSE,HLOOKUP($H$1,base82,+D21,FALSE),0)</f>
        <v>270.50939</v>
      </c>
      <c r="I21" s="125">
        <f>+H21/H$17</f>
        <v>1.3375296353892221</v>
      </c>
      <c r="J21" s="104">
        <f>IF(ISNA(HLOOKUP($J$1,base79,+A21,FALSE))=FALSE,HLOOKUP($J$1,base79,+A21,FALSE),0)/1000</f>
        <v>107.1</v>
      </c>
      <c r="K21" s="125">
        <f>+J21/J$17</f>
        <v>0.71399999999999997</v>
      </c>
      <c r="L21" s="104">
        <f>IF(ISNA(HLOOKUP($L$1,base80,+C21,FALSE))=FALSE,HLOOKUP($L$1,base80,+C21,FALSE),0)</f>
        <v>241.47846999999999</v>
      </c>
      <c r="M21" s="125">
        <f>+L21/L$17</f>
        <v>11.404038853695093</v>
      </c>
      <c r="O21" s="122">
        <f>+($H21/J21)-1</f>
        <v>1.5257646125116713</v>
      </c>
      <c r="P21" s="122">
        <f>+($H21/L21)-1</f>
        <v>0.12022156675085771</v>
      </c>
    </row>
    <row r="22" spans="1:17" ht="9" customHeight="1" thickBot="1" x14ac:dyDescent="0.3">
      <c r="A22" s="108">
        <v>14</v>
      </c>
      <c r="B22" s="108"/>
      <c r="C22" s="108"/>
      <c r="D22" s="108"/>
      <c r="E22" s="78"/>
      <c r="F22" s="79"/>
      <c r="H22" s="107"/>
      <c r="I22" s="126"/>
      <c r="J22" s="107"/>
      <c r="K22" s="126"/>
      <c r="L22" s="107"/>
      <c r="M22" s="126"/>
      <c r="O22" s="119"/>
      <c r="P22" s="119"/>
    </row>
    <row r="23" spans="1:17" s="35" customFormat="1" ht="16.5" thickBot="1" x14ac:dyDescent="0.3">
      <c r="A23" s="108">
        <v>15</v>
      </c>
      <c r="B23" s="108"/>
      <c r="C23" s="108"/>
      <c r="D23" s="108"/>
      <c r="E23" s="82" t="s">
        <v>58</v>
      </c>
      <c r="F23" s="83"/>
      <c r="H23" s="127">
        <f>+H18-H20-H21</f>
        <v>-2411.1776099999997</v>
      </c>
      <c r="I23" s="128">
        <f>+H23/H$18</f>
        <v>-1.1171301602990102</v>
      </c>
      <c r="J23" s="127">
        <f>+J18-J20-J21</f>
        <v>566.46477999999991</v>
      </c>
      <c r="K23" s="128">
        <f>+J23/J$18</f>
        <v>0.21151283083372971</v>
      </c>
      <c r="L23" s="127">
        <f>+L18-L20-L21</f>
        <v>-492.90468000000078</v>
      </c>
      <c r="M23" s="128">
        <f>+L23/L$18</f>
        <v>-0.32203840574352738</v>
      </c>
      <c r="N23" s="113"/>
      <c r="O23" s="129">
        <f>+($H23/J23)-1</f>
        <v>-5.256535790274552</v>
      </c>
      <c r="P23" s="129">
        <f>+($H23/L23)-1</f>
        <v>3.8917726039850056</v>
      </c>
    </row>
    <row r="24" spans="1:17" ht="8.25" customHeight="1" x14ac:dyDescent="0.25">
      <c r="A24" s="108">
        <v>16</v>
      </c>
      <c r="B24" s="108"/>
      <c r="C24" s="108"/>
      <c r="D24" s="108"/>
      <c r="E24" s="57"/>
      <c r="F24" s="58"/>
      <c r="H24" s="104"/>
      <c r="I24" s="125"/>
      <c r="J24" s="104"/>
      <c r="K24" s="125"/>
      <c r="L24" s="104"/>
      <c r="M24" s="125"/>
      <c r="O24" s="122"/>
      <c r="P24" s="122"/>
    </row>
    <row r="25" spans="1:17" x14ac:dyDescent="0.25">
      <c r="A25" s="108">
        <v>20</v>
      </c>
      <c r="B25" s="108"/>
      <c r="C25" s="108">
        <v>17</v>
      </c>
      <c r="D25" s="108">
        <v>21</v>
      </c>
      <c r="E25" s="57" t="s">
        <v>59</v>
      </c>
      <c r="F25" s="58"/>
      <c r="H25" s="104">
        <f>IF(ISNA(HLOOKUP($H$1,base82,+D25,FALSE))=FALSE,HLOOKUP($H$1,base82,+D25,FALSE),0)</f>
        <v>39.758470000000003</v>
      </c>
      <c r="I25" s="125">
        <f>+H25/H$18</f>
        <v>1.8420619775224027E-2</v>
      </c>
      <c r="J25" s="104">
        <f>IF(ISNA(HLOOKUP($J$1,base79,+A25,FALSE))=FALSE,HLOOKUP($J$1,base79,+A25,FALSE),0)/1000</f>
        <v>50.424904991999995</v>
      </c>
      <c r="K25" s="125">
        <f>+J25/J$18</f>
        <v>1.8828203934196562E-2</v>
      </c>
      <c r="L25" s="104">
        <f>IF(ISNA(HLOOKUP($L$1,base80,+C25,FALSE))=FALSE,HLOOKUP($L$1,base80,+C25,FALSE),0)</f>
        <v>42.551600000000001</v>
      </c>
      <c r="M25" s="125">
        <f>+L25/L$18</f>
        <v>2.7801013019061328E-2</v>
      </c>
      <c r="O25" s="122">
        <f>+($H25/J25)-1</f>
        <v>-0.2115310875388311</v>
      </c>
      <c r="P25" s="122">
        <f>+($H25/L25)-1</f>
        <v>-6.5641009973772979E-2</v>
      </c>
    </row>
    <row r="26" spans="1:17" x14ac:dyDescent="0.25">
      <c r="A26" s="108">
        <v>21</v>
      </c>
      <c r="B26" s="108">
        <v>24</v>
      </c>
      <c r="C26" s="108">
        <v>18</v>
      </c>
      <c r="D26" s="108">
        <v>22</v>
      </c>
      <c r="E26" s="57" t="s">
        <v>60</v>
      </c>
      <c r="F26" s="58"/>
      <c r="H26" s="104">
        <f>IF(ISNA(HLOOKUP($H$1,base82,+D26,FALSE))=FALSE,HLOOKUP($H$1,base82,+D26,FALSE),0)</f>
        <v>989.53747999999996</v>
      </c>
      <c r="I26" s="125">
        <f>+H26/H$18</f>
        <v>0.45846567215522493</v>
      </c>
      <c r="J26" s="104">
        <f>IF(ISNA(HLOOKUP($J$1,base79,+A26,FALSE))=FALSE,HLOOKUP($J$1,base79,+A26,FALSE),0)/1000+IF(ISNA(HLOOKUP($J$1,base79,+B26,FALSE))=FALSE,HLOOKUP($J$1,base79,+B26,FALSE),0)/1000</f>
        <v>277.84006286979167</v>
      </c>
      <c r="K26" s="125">
        <f>+J26/J$18</f>
        <v>0.10374296918620622</v>
      </c>
      <c r="L26" s="104">
        <f>IF(ISNA(HLOOKUP($L$1,base80,+C26,FALSE))=FALSE,HLOOKUP($L$1,base80,+C26,FALSE),0)</f>
        <v>300.19536999999997</v>
      </c>
      <c r="M26" s="125">
        <f>+L26/L$18</f>
        <v>0.19613211699752611</v>
      </c>
      <c r="O26" s="122">
        <f>+($H26/J26)-1</f>
        <v>2.5615363377733673</v>
      </c>
      <c r="P26" s="122">
        <f>+($H26/L26)-1</f>
        <v>2.2963115986765552</v>
      </c>
    </row>
    <row r="27" spans="1:17" x14ac:dyDescent="0.25">
      <c r="A27" s="108">
        <v>22</v>
      </c>
      <c r="B27" s="108"/>
      <c r="C27" s="108">
        <v>19</v>
      </c>
      <c r="D27" s="108">
        <v>23</v>
      </c>
      <c r="E27" s="57" t="s">
        <v>61</v>
      </c>
      <c r="F27" s="58"/>
      <c r="H27" s="104">
        <f>IF(ISNA(HLOOKUP($H$1,base82,+D27,FALSE))=FALSE,HLOOKUP($H$1,base82,+D27,FALSE),0)</f>
        <v>0</v>
      </c>
      <c r="I27" s="125">
        <f>+H27/H$18</f>
        <v>0</v>
      </c>
      <c r="J27" s="104">
        <f>IF(ISNA(HLOOKUP($J$1,base79,+A27,FALSE))=FALSE,HLOOKUP($J$1,base79,+A27,FALSE),0)/1000</f>
        <v>3</v>
      </c>
      <c r="K27" s="125">
        <f>+J27/J$18</f>
        <v>1.1201728949524262E-3</v>
      </c>
      <c r="L27" s="104">
        <f>IF(ISNA(HLOOKUP($L$1,base80,+C27,FALSE))=FALSE,HLOOKUP($L$1,base80,+C27,FALSE),0)</f>
        <v>0.13250000000000001</v>
      </c>
      <c r="M27" s="125">
        <f>+L27/L$18</f>
        <v>8.6568641955311339E-5</v>
      </c>
      <c r="O27" s="122">
        <f>+($H27/J27)-1</f>
        <v>-1</v>
      </c>
      <c r="P27" s="122">
        <f>IFERROR(+($H27/L27)-1,0)</f>
        <v>-1</v>
      </c>
    </row>
    <row r="28" spans="1:17" ht="16.5" thickBot="1" x14ac:dyDescent="0.3">
      <c r="A28" s="108">
        <v>23</v>
      </c>
      <c r="B28" s="108"/>
      <c r="C28" s="108">
        <v>20</v>
      </c>
      <c r="D28" s="108">
        <v>24</v>
      </c>
      <c r="E28" s="57" t="s">
        <v>62</v>
      </c>
      <c r="F28" s="58"/>
      <c r="H28" s="104">
        <f>IF(ISNA(HLOOKUP($H$1,base82,+D28,FALSE))=FALSE,HLOOKUP($H$1,base82,+D28,FALSE),0)</f>
        <v>0.13</v>
      </c>
      <c r="I28" s="125">
        <f>+H28/H$18</f>
        <v>6.0230702307687474E-5</v>
      </c>
      <c r="J28" s="104">
        <f>IF(ISNA(HLOOKUP($J$1,base79,+A28,FALSE))=FALSE,HLOOKUP($J$1,base79,+A28,FALSE),0)/1000</f>
        <v>10</v>
      </c>
      <c r="K28" s="125">
        <f>+J28/J$18</f>
        <v>3.7339096498414208E-3</v>
      </c>
      <c r="L28" s="104">
        <f>IF(ISNA(HLOOKUP($L$1,base80,+C28,FALSE))=FALSE,HLOOKUP($L$1,base80,+C28,FALSE),0)</f>
        <v>0</v>
      </c>
      <c r="M28" s="125">
        <f>+L28/L$18</f>
        <v>0</v>
      </c>
      <c r="O28" s="122">
        <f>+($H28/J28)-1</f>
        <v>-0.98699999999999999</v>
      </c>
      <c r="P28" s="122" t="e">
        <f>+($H28/L28)-1</f>
        <v>#DIV/0!</v>
      </c>
    </row>
    <row r="29" spans="1:17" ht="16.5" thickBot="1" x14ac:dyDescent="0.3">
      <c r="A29" s="108">
        <v>21</v>
      </c>
      <c r="B29" s="108"/>
      <c r="C29" s="108"/>
      <c r="D29" s="108"/>
      <c r="E29" s="82" t="s">
        <v>63</v>
      </c>
      <c r="F29" s="83"/>
      <c r="H29" s="127">
        <f>SUM(H24:H28)</f>
        <v>1029.4259500000001</v>
      </c>
      <c r="I29" s="128">
        <f>+H29/H$18</f>
        <v>0.47694652263275672</v>
      </c>
      <c r="J29" s="127">
        <f>SUM(J24:J28)</f>
        <v>341.26496786179166</v>
      </c>
      <c r="K29" s="128">
        <f>+J29/J$18</f>
        <v>0.12742525566519664</v>
      </c>
      <c r="L29" s="127">
        <f>SUM(L24:L28)</f>
        <v>342.87946999999997</v>
      </c>
      <c r="M29" s="128">
        <f>+L29/L$18</f>
        <v>0.22401969865854274</v>
      </c>
      <c r="O29" s="129">
        <f>+($H29/J29)-1</f>
        <v>2.0165005111714414</v>
      </c>
      <c r="P29" s="129">
        <f>+($H29/L29)-1</f>
        <v>2.0022968420943958</v>
      </c>
    </row>
    <row r="30" spans="1:17" ht="8.25" customHeight="1" thickBot="1" x14ac:dyDescent="0.3">
      <c r="A30" s="108">
        <v>22</v>
      </c>
      <c r="B30" s="108"/>
      <c r="C30" s="108"/>
      <c r="D30" s="108"/>
      <c r="H30" s="130"/>
      <c r="I30" s="131"/>
      <c r="J30" s="130"/>
      <c r="K30" s="131"/>
      <c r="L30" s="130"/>
      <c r="M30" s="131"/>
      <c r="O30" s="132"/>
      <c r="P30" s="132"/>
    </row>
    <row r="31" spans="1:17" s="35" customFormat="1" ht="16.5" thickBot="1" x14ac:dyDescent="0.3">
      <c r="A31" s="108">
        <v>23</v>
      </c>
      <c r="B31" s="108"/>
      <c r="C31" s="108"/>
      <c r="D31" s="108"/>
      <c r="E31" s="82" t="s">
        <v>64</v>
      </c>
      <c r="F31" s="83"/>
      <c r="H31" s="127">
        <f>+H23-H29</f>
        <v>-3440.6035599999996</v>
      </c>
      <c r="I31" s="128">
        <f>+H31/H$18</f>
        <v>-1.594076682931767</v>
      </c>
      <c r="J31" s="127">
        <f>+J23-J29</f>
        <v>225.19981213820824</v>
      </c>
      <c r="K31" s="128">
        <f>+J31/J$18</f>
        <v>8.4087575168533088E-2</v>
      </c>
      <c r="L31" s="127">
        <f>+L23-L29</f>
        <v>-835.78415000000075</v>
      </c>
      <c r="M31" s="128">
        <f>+L31/L$18</f>
        <v>-0.54605810440207014</v>
      </c>
      <c r="N31" s="113"/>
      <c r="O31" s="129">
        <f>+($H31/J31)-1</f>
        <v>-16.278003686292834</v>
      </c>
      <c r="P31" s="129">
        <f>+($H31/L31)-1</f>
        <v>3.1166173826100874</v>
      </c>
    </row>
    <row r="32" spans="1:17" ht="9.75" customHeight="1" x14ac:dyDescent="0.25">
      <c r="A32" s="108">
        <v>24</v>
      </c>
      <c r="B32" s="108"/>
      <c r="C32" s="108"/>
      <c r="D32" s="108"/>
      <c r="E32" s="57"/>
      <c r="F32" s="58"/>
      <c r="H32" s="133"/>
      <c r="I32" s="121"/>
      <c r="J32" s="133"/>
      <c r="K32" s="121"/>
      <c r="L32" s="133"/>
      <c r="M32" s="121"/>
      <c r="O32" s="122"/>
      <c r="P32" s="122"/>
    </row>
    <row r="33" spans="1:16" x14ac:dyDescent="0.25">
      <c r="A33" s="108">
        <v>30</v>
      </c>
      <c r="B33" s="108"/>
      <c r="C33" s="108">
        <v>25</v>
      </c>
      <c r="D33" s="108">
        <v>29</v>
      </c>
      <c r="E33" s="89" t="s">
        <v>65</v>
      </c>
      <c r="F33" s="58"/>
      <c r="H33" s="104">
        <f>IF(ISNA(HLOOKUP($H$1,base82,+D33,FALSE))=FALSE,HLOOKUP($H$1,base82,+D33,FALSE),0)</f>
        <v>1.42808</v>
      </c>
      <c r="I33" s="125">
        <f>+H33/H$18</f>
        <v>6.6164816424278715E-4</v>
      </c>
      <c r="J33" s="104">
        <f>IF(ISNA(HLOOKUP($J$1,base79,+A33,FALSE))=FALSE,HLOOKUP($J$1,base79,+A33,FALSE),0)/1000</f>
        <v>5</v>
      </c>
      <c r="K33" s="125">
        <f>+J33/J$18</f>
        <v>1.8669548249207104E-3</v>
      </c>
      <c r="L33" s="104">
        <f>IF(ISNA(HLOOKUP($L$1,base80,+C33,FALSE))=FALSE,HLOOKUP($L$1,base80,+C33,FALSE),0)</f>
        <v>1.26406</v>
      </c>
      <c r="M33" s="125">
        <f>+L33/L$18</f>
        <v>8.2587137773608194E-4</v>
      </c>
      <c r="O33" s="122">
        <f>+($H33/J33)-1</f>
        <v>-0.71438400000000002</v>
      </c>
      <c r="P33" s="122">
        <f>IFERROR(+($H33/L33)-1,0)</f>
        <v>0.12975649890036878</v>
      </c>
    </row>
    <row r="34" spans="1:16" x14ac:dyDescent="0.25">
      <c r="A34" s="108">
        <v>31</v>
      </c>
      <c r="B34" s="108"/>
      <c r="C34" s="108">
        <v>26</v>
      </c>
      <c r="D34" s="108">
        <v>30</v>
      </c>
      <c r="E34" s="89" t="s">
        <v>66</v>
      </c>
      <c r="F34" s="58"/>
      <c r="H34" s="104">
        <f>IF(ISNA(HLOOKUP($H$1,base82,+D34,FALSE))=FALSE,HLOOKUP($H$1,base82,+D34,FALSE),0)</f>
        <v>-12.029570000000001</v>
      </c>
      <c r="I34" s="125">
        <f>+H34/H$18</f>
        <v>-5.5734573043037545E-3</v>
      </c>
      <c r="J34" s="104">
        <f>IF(ISNA(HLOOKUP($J$1,base79,+A34,FALSE))=FALSE,HLOOKUP($J$1,base79,+A34,FALSE),0)/1000</f>
        <v>0</v>
      </c>
      <c r="K34" s="125">
        <f>+J34/J$18</f>
        <v>0</v>
      </c>
      <c r="L34" s="104">
        <f>IF(ISNA(HLOOKUP($L$1,base80,+C34,FALSE))=FALSE,HLOOKUP($L$1,base80,+C34,FALSE),0)</f>
        <v>-3.0612000000000137</v>
      </c>
      <c r="M34" s="125">
        <f>+L34/L$18</f>
        <v>-2.0000296358762284E-3</v>
      </c>
      <c r="O34" s="122" t="e">
        <f>+($H34/J34)-1</f>
        <v>#DIV/0!</v>
      </c>
      <c r="P34" s="122">
        <f>IFERROR(+($H34/L34)-1,0)</f>
        <v>2.929690970861083</v>
      </c>
    </row>
    <row r="35" spans="1:16" x14ac:dyDescent="0.25">
      <c r="A35" s="108">
        <v>32</v>
      </c>
      <c r="B35" s="108"/>
      <c r="C35" s="108">
        <v>27</v>
      </c>
      <c r="D35" s="108">
        <v>31</v>
      </c>
      <c r="E35" s="89" t="s">
        <v>67</v>
      </c>
      <c r="F35" s="58"/>
      <c r="H35" s="104">
        <f>IF(ISNA(HLOOKUP($H$1,base82,+D35,FALSE))=FALSE,HLOOKUP($H$1,base82,+D35,FALSE),0)</f>
        <v>6.0999999999999997E-4</v>
      </c>
      <c r="I35" s="125">
        <f>+H35/H$18</f>
        <v>2.8262098775145656E-7</v>
      </c>
      <c r="J35" s="104">
        <f>IF(ISNA(HLOOKUP($J$1,base79,+A35,FALSE))=FALSE,HLOOKUP($J$1,base79,+A35,FALSE),0)/1000</f>
        <v>6</v>
      </c>
      <c r="K35" s="125">
        <f>+J35/J$18</f>
        <v>2.2403457899048524E-3</v>
      </c>
      <c r="L35" s="104">
        <f>IF(ISNA(HLOOKUP($L$1,base80,+C35,FALSE))=FALSE,HLOOKUP($L$1,base80,+C35,FALSE),0)</f>
        <v>68.091970000000003</v>
      </c>
      <c r="M35" s="125">
        <f>+L35/L$18</f>
        <v>4.448776883744756E-2</v>
      </c>
      <c r="O35" s="122">
        <f>+($H35/J35)-1</f>
        <v>-0.99989833333333333</v>
      </c>
      <c r="P35" s="122">
        <f>+($H35/L35)-1</f>
        <v>-0.99999104152809792</v>
      </c>
    </row>
    <row r="36" spans="1:16" ht="7.5" customHeight="1" thickBot="1" x14ac:dyDescent="0.3">
      <c r="A36" s="108">
        <v>28</v>
      </c>
      <c r="B36" s="108"/>
      <c r="C36" s="108"/>
      <c r="D36" s="108"/>
      <c r="E36" s="78"/>
      <c r="F36" s="79"/>
      <c r="H36" s="134"/>
      <c r="I36" s="126"/>
      <c r="J36" s="134"/>
      <c r="K36" s="126"/>
      <c r="L36" s="134"/>
      <c r="M36" s="126"/>
      <c r="O36" s="119"/>
      <c r="P36" s="119"/>
    </row>
    <row r="37" spans="1:16" s="35" customFormat="1" ht="16.5" thickBot="1" x14ac:dyDescent="0.3">
      <c r="A37" s="108">
        <v>29</v>
      </c>
      <c r="B37" s="108"/>
      <c r="C37" s="108"/>
      <c r="D37" s="108"/>
      <c r="E37" s="82" t="s">
        <v>68</v>
      </c>
      <c r="F37" s="83"/>
      <c r="H37" s="127">
        <f>+H31-H33-H34-H35</f>
        <v>-3430.0026799999996</v>
      </c>
      <c r="I37" s="128">
        <f>+H37/H$18</f>
        <v>-1.5891651564126938</v>
      </c>
      <c r="J37" s="127">
        <f>+J31-J33-J34-J35</f>
        <v>214.19981213820824</v>
      </c>
      <c r="K37" s="128">
        <f>+J37/J$18</f>
        <v>7.9980274553707528E-2</v>
      </c>
      <c r="L37" s="127">
        <f>+L31-L33-L34-L35</f>
        <v>-902.07898000000068</v>
      </c>
      <c r="M37" s="128">
        <f>+L37/L$18</f>
        <v>-0.58937171498137753</v>
      </c>
      <c r="N37" s="113"/>
      <c r="O37" s="129">
        <f>+($H37/J37)-1</f>
        <v>-17.013098451210858</v>
      </c>
      <c r="P37" s="129">
        <f>+($H37/L37)-1</f>
        <v>2.8023307892619305</v>
      </c>
    </row>
    <row r="38" spans="1:16" ht="7.5" customHeight="1" x14ac:dyDescent="0.25">
      <c r="A38" s="108">
        <v>30</v>
      </c>
      <c r="B38" s="108"/>
      <c r="C38" s="108"/>
      <c r="D38" s="108"/>
      <c r="E38" s="53"/>
      <c r="F38" s="54"/>
      <c r="H38" s="135"/>
      <c r="I38" s="124"/>
      <c r="J38" s="135"/>
      <c r="K38" s="124"/>
      <c r="L38" s="135"/>
      <c r="M38" s="124"/>
      <c r="O38" s="114"/>
      <c r="P38" s="114"/>
    </row>
    <row r="39" spans="1:16" x14ac:dyDescent="0.25">
      <c r="A39" s="108">
        <v>37</v>
      </c>
      <c r="B39" s="108"/>
      <c r="C39" s="108">
        <v>31</v>
      </c>
      <c r="D39" s="108">
        <v>35</v>
      </c>
      <c r="E39" s="89" t="s">
        <v>69</v>
      </c>
      <c r="F39" s="58"/>
      <c r="H39" s="104">
        <f>IF(ISNA(HLOOKUP($H$1,base82,+D39,FALSE))=FALSE,HLOOKUP($H$1,base82,+D39,FALSE),0)</f>
        <v>-514.50040199999989</v>
      </c>
      <c r="I39" s="125">
        <f>+H39/H$18</f>
        <v>-0.23837477346190403</v>
      </c>
      <c r="J39" s="104">
        <f>IF(ISNA(HLOOKUP($J$1,base79,+A39,FALSE))=FALSE,HLOOKUP($J$1,base79,+A39,FALSE),0)/1000</f>
        <v>32.129971820731285</v>
      </c>
      <c r="K39" s="125">
        <f>+J39/J$18</f>
        <v>1.1997041183056148E-2</v>
      </c>
      <c r="L39" s="104">
        <f>IF(ISNA(HLOOKUP($L$1,base80,+C39,FALSE))=FALSE,HLOOKUP($L$1,base80,+C39,FALSE),0)</f>
        <v>-135.31184700000009</v>
      </c>
      <c r="M39" s="125">
        <f>+L39/L$18</f>
        <v>-8.8405757247206618E-2</v>
      </c>
      <c r="O39" s="122">
        <f>+($H39/J39)-1</f>
        <v>-17.013098451210833</v>
      </c>
      <c r="P39" s="122">
        <f>IFERROR(+($H39/L39)-1,0)</f>
        <v>2.8023307892619305</v>
      </c>
    </row>
    <row r="40" spans="1:16" x14ac:dyDescent="0.25">
      <c r="A40" s="108">
        <v>39</v>
      </c>
      <c r="B40" s="108"/>
      <c r="C40" s="108">
        <v>32</v>
      </c>
      <c r="D40" s="108">
        <v>36</v>
      </c>
      <c r="E40" s="89" t="s">
        <v>70</v>
      </c>
      <c r="F40" s="58"/>
      <c r="H40" s="104">
        <f>IF(ISNA(HLOOKUP($H$1,base82,+D40,FALSE))=FALSE,HLOOKUP($H$1,base82,+D40,FALSE),0)</f>
        <v>-728.87556949999998</v>
      </c>
      <c r="I40" s="125">
        <f>+H40/H$18</f>
        <v>-0.33769759573769748</v>
      </c>
      <c r="J40" s="104">
        <f>IF(ISNA(HLOOKUP($J$1,base79,+A40,FALSE))=FALSE,HLOOKUP($J$1,base79,+A40,FALSE),0)/1000</f>
        <v>40.055364869845008</v>
      </c>
      <c r="K40" s="125">
        <f>+J40/J$18</f>
        <v>1.4956311341543333E-2</v>
      </c>
      <c r="L40" s="104">
        <f>IF(ISNA(HLOOKUP($L$1,base80,+C40,FALSE))=FALSE,HLOOKUP($L$1,base80,+C40,FALSE),0)</f>
        <v>-175.69178325000016</v>
      </c>
      <c r="M40" s="125">
        <f>+L40/L$18</f>
        <v>-0.11478791757478815</v>
      </c>
      <c r="O40" s="122">
        <f>+($H40/J40)-1</f>
        <v>-19.196702785466858</v>
      </c>
      <c r="P40" s="122">
        <f>IFERROR(+($H40/L40)-1,0)</f>
        <v>3.148603628564965</v>
      </c>
    </row>
    <row r="41" spans="1:16" ht="6" customHeight="1" thickBot="1" x14ac:dyDescent="0.3">
      <c r="A41" s="108">
        <v>33</v>
      </c>
      <c r="B41" s="108"/>
      <c r="C41" s="108"/>
      <c r="D41" s="108"/>
      <c r="E41" s="78"/>
      <c r="F41" s="79"/>
      <c r="H41" s="134"/>
      <c r="I41" s="126"/>
      <c r="J41" s="134"/>
      <c r="K41" s="126"/>
      <c r="L41" s="134"/>
      <c r="M41" s="126"/>
      <c r="O41" s="119"/>
      <c r="P41" s="119"/>
    </row>
    <row r="42" spans="1:16" s="35" customFormat="1" ht="16.5" thickBot="1" x14ac:dyDescent="0.3">
      <c r="A42" s="108">
        <v>34</v>
      </c>
      <c r="B42" s="108"/>
      <c r="C42" s="108"/>
      <c r="D42" s="108"/>
      <c r="E42" s="82" t="s">
        <v>71</v>
      </c>
      <c r="F42" s="83"/>
      <c r="H42" s="127">
        <f>+H37-H39-H40</f>
        <v>-2186.6267084999999</v>
      </c>
      <c r="I42" s="128">
        <f>+H42/H$18</f>
        <v>-1.0130927872130924</v>
      </c>
      <c r="J42" s="127">
        <f>+J37-J39-J40</f>
        <v>142.01447544763198</v>
      </c>
      <c r="K42" s="128">
        <f>+J42/J$18</f>
        <v>5.302692202910806E-2</v>
      </c>
      <c r="L42" s="127">
        <f>+L37-L39-L40</f>
        <v>-591.07534975000044</v>
      </c>
      <c r="M42" s="128">
        <f>+L42/L$18</f>
        <v>-0.38617804015938273</v>
      </c>
      <c r="N42" s="113"/>
      <c r="O42" s="129">
        <f>+($H42/J42)-1</f>
        <v>-16.397210049241224</v>
      </c>
      <c r="P42" s="129">
        <f>+($H42/L42)-1</f>
        <v>2.6994043304713169</v>
      </c>
    </row>
    <row r="43" spans="1:16" ht="5.25" customHeight="1" x14ac:dyDescent="0.25">
      <c r="A43" s="108">
        <v>35</v>
      </c>
      <c r="B43" s="108"/>
      <c r="C43" s="108"/>
      <c r="D43" s="108"/>
      <c r="E43" s="53"/>
      <c r="F43" s="54"/>
      <c r="H43" s="135"/>
      <c r="I43" s="124"/>
      <c r="J43" s="135"/>
      <c r="K43" s="124"/>
      <c r="L43" s="135"/>
      <c r="M43" s="124"/>
      <c r="O43" s="114"/>
      <c r="P43" s="114"/>
    </row>
    <row r="44" spans="1:16" s="35" customFormat="1" ht="16.5" thickBot="1" x14ac:dyDescent="0.3">
      <c r="A44" s="108">
        <v>47</v>
      </c>
      <c r="B44" s="108"/>
      <c r="C44" s="108">
        <v>36</v>
      </c>
      <c r="D44" s="108">
        <v>40</v>
      </c>
      <c r="E44" s="67" t="s">
        <v>72</v>
      </c>
      <c r="F44" s="68"/>
      <c r="H44" s="136">
        <f>IF(ISNA(HLOOKUP($H$1,base82,+D44,FALSE))=FALSE,HLOOKUP($H$1,base82,+D44,FALSE),0)</f>
        <v>-2864.5022779999999</v>
      </c>
      <c r="I44" s="118">
        <f>+H44/H$18</f>
        <v>-1.3271614151223894</v>
      </c>
      <c r="J44" s="136">
        <f>IF(ISNA(HLOOKUP($J$1,base79,+A44,FALSE))=FALSE,HLOOKUP($J$1,base79,+A44,FALSE),0)/1000</f>
        <v>242.06984031747729</v>
      </c>
      <c r="K44" s="118">
        <f>+J44/J$18</f>
        <v>9.0386691269700031E-2</v>
      </c>
      <c r="L44" s="136">
        <f>IF(ISNA(HLOOKUP($L$1,base80,+C44,FALSE))=FALSE,HLOOKUP($L$1,base80,+C44,FALSE),0)</f>
        <v>-715.76713300000063</v>
      </c>
      <c r="M44" s="118">
        <f>+L44/L$18</f>
        <v>-0.4676451974343907</v>
      </c>
      <c r="N44" s="113"/>
      <c r="O44" s="119">
        <f>IF(+J44=0,0,(+H44/J44)-1)</f>
        <v>-12.833371204951321</v>
      </c>
      <c r="P44" s="119">
        <f>+($H44/L44)-1</f>
        <v>3.0020030900189401</v>
      </c>
    </row>
  </sheetData>
  <mergeCells count="12">
    <mergeCell ref="O10:O11"/>
    <mergeCell ref="P10:P11"/>
    <mergeCell ref="E5:P5"/>
    <mergeCell ref="E6:P6"/>
    <mergeCell ref="E8:F8"/>
    <mergeCell ref="H8:M8"/>
    <mergeCell ref="H10:H11"/>
    <mergeCell ref="I10:I11"/>
    <mergeCell ref="J10:J11"/>
    <mergeCell ref="K10:K11"/>
    <mergeCell ref="L10:L11"/>
    <mergeCell ref="M10:M1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31FF8-6DC6-45B6-9615-DBB3CB68C0E3}">
  <dimension ref="B1:S44"/>
  <sheetViews>
    <sheetView topLeftCell="A5" workbookViewId="0">
      <selection sqref="A1:XFD1048576"/>
    </sheetView>
  </sheetViews>
  <sheetFormatPr baseColWidth="10" defaultColWidth="9.140625" defaultRowHeight="15.75" x14ac:dyDescent="0.25"/>
  <cols>
    <col min="1" max="1" width="3.7109375" customWidth="1"/>
    <col min="2" max="2" width="24" bestFit="1" customWidth="1"/>
    <col min="4" max="4" width="3.42578125" customWidth="1"/>
    <col min="5" max="6" width="12.7109375" style="95" customWidth="1"/>
    <col min="7" max="7" width="14.5703125" style="95" customWidth="1"/>
    <col min="8" max="10" width="12.7109375" style="95" customWidth="1"/>
    <col min="11" max="11" width="1.42578125" style="95" customWidth="1"/>
    <col min="12" max="12" width="11.140625" style="95" customWidth="1"/>
    <col min="13" max="13" width="11.28515625" style="97" customWidth="1"/>
    <col min="19" max="19" width="10.140625" bestFit="1" customWidth="1"/>
  </cols>
  <sheetData>
    <row r="1" spans="2:17" ht="16.5" hidden="1" thickBot="1" x14ac:dyDescent="0.3"/>
    <row r="2" spans="2:17" ht="26.25" hidden="1" customHeight="1" x14ac:dyDescent="0.25">
      <c r="G2" s="98"/>
      <c r="H2" s="98"/>
      <c r="J2" s="98"/>
    </row>
    <row r="3" spans="2:17" ht="26.25" hidden="1" customHeight="1" x14ac:dyDescent="0.25">
      <c r="G3" s="98"/>
      <c r="H3" s="98"/>
      <c r="J3" s="98"/>
    </row>
    <row r="4" spans="2:17" ht="16.5" hidden="1" thickBot="1" x14ac:dyDescent="0.3"/>
    <row r="5" spans="2:17" ht="21" thickBot="1" x14ac:dyDescent="0.35">
      <c r="B5" s="398" t="s">
        <v>75</v>
      </c>
      <c r="C5" s="399"/>
      <c r="D5" s="399"/>
      <c r="E5" s="399"/>
      <c r="F5" s="399"/>
      <c r="G5" s="399"/>
      <c r="H5" s="399"/>
      <c r="I5" s="399"/>
      <c r="J5" s="399"/>
      <c r="K5" s="399"/>
      <c r="L5" s="399"/>
      <c r="M5" s="400"/>
    </row>
    <row r="6" spans="2:17" x14ac:dyDescent="0.25">
      <c r="B6" s="401">
        <f>+[1]Cabecera!B7</f>
        <v>44531</v>
      </c>
      <c r="C6" s="412"/>
      <c r="D6" s="412"/>
      <c r="E6" s="412"/>
      <c r="F6" s="412"/>
      <c r="G6" s="412"/>
      <c r="H6" s="412"/>
      <c r="I6" s="412"/>
      <c r="J6" s="412"/>
      <c r="K6" s="412"/>
      <c r="L6" s="412"/>
      <c r="M6" s="412"/>
    </row>
    <row r="7" spans="2:17" ht="4.9000000000000004" customHeight="1" thickBot="1" x14ac:dyDescent="0.3"/>
    <row r="8" spans="2:17" ht="16.5" thickBot="1" x14ac:dyDescent="0.3">
      <c r="B8" s="402" t="s">
        <v>3</v>
      </c>
      <c r="C8" s="402"/>
      <c r="E8" s="403" t="s">
        <v>81</v>
      </c>
      <c r="F8" s="409"/>
      <c r="G8" s="409"/>
      <c r="H8" s="409"/>
      <c r="I8" s="409"/>
      <c r="J8" s="404"/>
      <c r="L8" s="137" t="s">
        <v>77</v>
      </c>
      <c r="M8" s="100" t="s">
        <v>77</v>
      </c>
    </row>
    <row r="9" spans="2:17" ht="4.9000000000000004" customHeight="1" thickBot="1" x14ac:dyDescent="0.3">
      <c r="E9" s="96"/>
      <c r="F9" s="96"/>
    </row>
    <row r="10" spans="2:17" ht="15" customHeight="1" x14ac:dyDescent="0.25">
      <c r="E10" s="407">
        <v>2021</v>
      </c>
      <c r="F10" s="410" t="s">
        <v>80</v>
      </c>
      <c r="G10" s="407" t="s">
        <v>6</v>
      </c>
      <c r="H10" s="410" t="s">
        <v>79</v>
      </c>
      <c r="I10" s="407">
        <v>2020</v>
      </c>
      <c r="J10" s="410" t="s">
        <v>80</v>
      </c>
      <c r="L10" s="407" t="s">
        <v>6</v>
      </c>
      <c r="M10" s="407">
        <v>2020</v>
      </c>
      <c r="Q10">
        <f>35*430</f>
        <v>15050</v>
      </c>
    </row>
    <row r="11" spans="2:17" ht="15.75" customHeight="1" thickBot="1" x14ac:dyDescent="0.3">
      <c r="E11" s="408"/>
      <c r="F11" s="411"/>
      <c r="G11" s="408"/>
      <c r="H11" s="411"/>
      <c r="I11" s="408"/>
      <c r="J11" s="411"/>
      <c r="L11" s="408"/>
      <c r="M11" s="408"/>
      <c r="Q11">
        <v>250</v>
      </c>
    </row>
    <row r="12" spans="2:17" ht="4.1500000000000004" customHeight="1" thickBot="1" x14ac:dyDescent="0.3">
      <c r="E12" s="96"/>
      <c r="F12" s="101"/>
      <c r="H12" s="101"/>
      <c r="J12" s="101"/>
      <c r="Q12">
        <f>72*600</f>
        <v>43200</v>
      </c>
    </row>
    <row r="13" spans="2:17" ht="13.5" hidden="1" customHeight="1" x14ac:dyDescent="0.25">
      <c r="B13" s="53"/>
      <c r="C13" s="54"/>
      <c r="E13" s="102"/>
      <c r="F13" s="103"/>
      <c r="G13" s="138"/>
      <c r="H13" s="103"/>
      <c r="I13" s="102"/>
      <c r="J13" s="103"/>
      <c r="L13" s="102"/>
      <c r="M13" s="102"/>
    </row>
    <row r="14" spans="2:17" ht="13.5" hidden="1" customHeight="1" x14ac:dyDescent="0.25">
      <c r="B14" s="57" t="s">
        <v>51</v>
      </c>
      <c r="C14" s="58"/>
      <c r="E14" s="104">
        <f>+'[1]Comparativo PG Acumulado'!E15/1000</f>
        <v>23295.174230000001</v>
      </c>
      <c r="F14" s="105"/>
      <c r="G14" s="104">
        <f>+'[1]Comparativo PG Acumulado'!F15/1000</f>
        <v>26398.335637778502</v>
      </c>
      <c r="H14" s="105"/>
      <c r="I14" s="104">
        <f>+'[1]Comparativo PG Acumulado'!G15/1000</f>
        <v>25005.447170000003</v>
      </c>
      <c r="J14" s="105"/>
      <c r="L14" s="106">
        <f>+($E14/G14)-1</f>
        <v>-0.11755140363234062</v>
      </c>
      <c r="M14" s="106">
        <f>+($E14/I14)-1</f>
        <v>-6.8396015011156552E-2</v>
      </c>
    </row>
    <row r="15" spans="2:17" ht="13.5" hidden="1" customHeight="1" x14ac:dyDescent="0.25">
      <c r="B15" s="57" t="s">
        <v>52</v>
      </c>
      <c r="C15" s="58"/>
      <c r="E15" s="104">
        <f>+'[1]Comparativo PG Acumulado'!E16/1000</f>
        <v>6191.4813600000007</v>
      </c>
      <c r="F15" s="105"/>
      <c r="G15" s="104">
        <f>+'[1]Comparativo PG Acumulado'!F16/1000</f>
        <v>6870.9747896569406</v>
      </c>
      <c r="H15" s="105"/>
      <c r="I15" s="104">
        <f>+'[1]Comparativo PG Acumulado'!G16/1000</f>
        <v>6560.7468399999998</v>
      </c>
      <c r="J15" s="105"/>
      <c r="L15" s="107">
        <f>+($E15/G15)-1</f>
        <v>-9.8893308512760014E-2</v>
      </c>
      <c r="M15" s="106">
        <f>+($E15/I15)-1</f>
        <v>-5.628406170904765E-2</v>
      </c>
    </row>
    <row r="16" spans="2:17" s="35" customFormat="1" x14ac:dyDescent="0.25">
      <c r="B16" s="62" t="s">
        <v>53</v>
      </c>
      <c r="C16" s="63"/>
      <c r="E16" s="111">
        <f>+'[1]PG Mensual 2021'!AG12</f>
        <v>28086.164349999999</v>
      </c>
      <c r="F16" s="110">
        <f>+E16/E$18</f>
        <v>0.92844203083148458</v>
      </c>
      <c r="G16" s="111">
        <f>+'[1]Presupuesto 2021'!AG8</f>
        <v>28145.239000000001</v>
      </c>
      <c r="H16" s="110">
        <f>+G16/G$18</f>
        <v>0.93957651280966248</v>
      </c>
      <c r="I16" s="111">
        <f>+'[1]PG Mensual 2020'!AG8</f>
        <v>20310.26758</v>
      </c>
      <c r="J16" s="112">
        <f>+I16/I$18</f>
        <v>0.93194827943323233</v>
      </c>
      <c r="K16" s="113"/>
      <c r="L16" s="114">
        <f>+($E16/G16)-1</f>
        <v>-2.0989215973615805E-3</v>
      </c>
      <c r="M16" s="114">
        <f>+($E16/I16)-1</f>
        <v>0.38285545669802534</v>
      </c>
      <c r="N16" s="66"/>
      <c r="Q16" s="35">
        <f>87*500</f>
        <v>43500</v>
      </c>
    </row>
    <row r="17" spans="2:17" s="35" customFormat="1" ht="16.5" thickBot="1" x14ac:dyDescent="0.3">
      <c r="B17" s="67" t="s">
        <v>54</v>
      </c>
      <c r="C17" s="68"/>
      <c r="E17" s="117">
        <f>+'[1]PG Mensual 2021'!AG13</f>
        <v>2164.6896800000004</v>
      </c>
      <c r="F17" s="116">
        <f>+E17/E$18</f>
        <v>7.1557969168515423E-2</v>
      </c>
      <c r="G17" s="117">
        <f>+'[1]Presupuesto 2021'!AG9</f>
        <v>1810</v>
      </c>
      <c r="H17" s="116">
        <f>+G17/G$18</f>
        <v>6.0423487190337556E-2</v>
      </c>
      <c r="I17" s="117">
        <f>+'[1]PG Mensual 2020'!AG9</f>
        <v>1483.0744199999997</v>
      </c>
      <c r="J17" s="118">
        <f>+I17/I$18</f>
        <v>6.8051720566767573E-2</v>
      </c>
      <c r="K17" s="113"/>
      <c r="L17" s="119">
        <f>+($E17/G17)-1</f>
        <v>0.19596114917127094</v>
      </c>
      <c r="M17" s="119">
        <f>+($E17/I17)-1</f>
        <v>0.45959612734740629</v>
      </c>
      <c r="N17" s="66"/>
    </row>
    <row r="18" spans="2:17" s="35" customFormat="1" ht="16.5" thickBot="1" x14ac:dyDescent="0.3">
      <c r="B18" s="71" t="s">
        <v>55</v>
      </c>
      <c r="C18" s="72"/>
      <c r="E18" s="120">
        <f>+E16+E17</f>
        <v>30250.854029999999</v>
      </c>
      <c r="F18" s="121">
        <f>+E18/E$18</f>
        <v>1</v>
      </c>
      <c r="G18" s="120">
        <f>+G16+G17</f>
        <v>29955.239000000001</v>
      </c>
      <c r="H18" s="121">
        <f>+G18/G$18</f>
        <v>1</v>
      </c>
      <c r="I18" s="120">
        <f>+I16+I17</f>
        <v>21793.342000000001</v>
      </c>
      <c r="J18" s="121">
        <f>+I18/I$18</f>
        <v>1</v>
      </c>
      <c r="K18" s="113"/>
      <c r="L18" s="122">
        <f>+($E18/G18)-1</f>
        <v>9.8685585516442575E-3</v>
      </c>
      <c r="M18" s="122">
        <f>+($E18/I18)-1</f>
        <v>0.38807779137316323</v>
      </c>
      <c r="N18" s="66"/>
      <c r="Q18" s="35">
        <f>35*430</f>
        <v>15050</v>
      </c>
    </row>
    <row r="19" spans="2:17" ht="6.75" customHeight="1" x14ac:dyDescent="0.25">
      <c r="B19" s="53"/>
      <c r="C19" s="54"/>
      <c r="E19" s="123"/>
      <c r="F19" s="124"/>
      <c r="G19" s="123"/>
      <c r="H19" s="124"/>
      <c r="I19" s="123"/>
      <c r="J19" s="124"/>
      <c r="L19" s="114"/>
      <c r="M19" s="114"/>
    </row>
    <row r="20" spans="2:17" x14ac:dyDescent="0.25">
      <c r="B20" s="57" t="s">
        <v>56</v>
      </c>
      <c r="C20" s="58"/>
      <c r="E20" s="104">
        <f>+'[1]PG Mensual 2021'!AG16</f>
        <v>23031.401289999998</v>
      </c>
      <c r="F20" s="125">
        <f>+E20/E$16</f>
        <v>0.82002657974192183</v>
      </c>
      <c r="G20" s="104">
        <f>+'[1]Presupuesto 2021'!AG12+'[1]Presupuesto 2021'!AG14</f>
        <v>20875.411566999999</v>
      </c>
      <c r="H20" s="125">
        <f>+G20/E$16</f>
        <v>0.74326317067926717</v>
      </c>
      <c r="I20" s="104">
        <f>+'[1]PG Mensual 2020'!AG12</f>
        <v>16807.752479999999</v>
      </c>
      <c r="J20" s="125">
        <f>+I20/I$16</f>
        <v>0.8275495344310968</v>
      </c>
      <c r="L20" s="122">
        <f>+($E20/G20)-1</f>
        <v>0.10327890858967326</v>
      </c>
      <c r="M20" s="122">
        <f>+($E20/I20)-1</f>
        <v>0.37028441592090844</v>
      </c>
    </row>
    <row r="21" spans="2:17" x14ac:dyDescent="0.25">
      <c r="B21" s="57" t="s">
        <v>57</v>
      </c>
      <c r="C21" s="58"/>
      <c r="E21" s="104">
        <f>+'[1]PG Mensual 2021'!AG17</f>
        <v>1661.6501099999998</v>
      </c>
      <c r="F21" s="125">
        <f>+E21/E$17</f>
        <v>0.76761585060081194</v>
      </c>
      <c r="G21" s="104">
        <f>+'[1]Presupuesto 2021'!AG13</f>
        <v>1293.92</v>
      </c>
      <c r="H21" s="125">
        <f>+G21/G$17</f>
        <v>0.7148729281767956</v>
      </c>
      <c r="I21" s="104">
        <f>+'[1]PG Mensual 2020'!AG13</f>
        <v>1001.10645</v>
      </c>
      <c r="J21" s="125">
        <f>+I21/I$17</f>
        <v>0.67502104850544198</v>
      </c>
      <c r="L21" s="122">
        <f>+($E21/G21)-1</f>
        <v>0.28419848986026941</v>
      </c>
      <c r="M21" s="122">
        <f>+($E21/I21)-1</f>
        <v>0.659813609232065</v>
      </c>
    </row>
    <row r="22" spans="2:17" ht="6.6" customHeight="1" thickBot="1" x14ac:dyDescent="0.3">
      <c r="B22" s="78"/>
      <c r="C22" s="79"/>
      <c r="E22" s="107"/>
      <c r="F22" s="126"/>
      <c r="G22" s="107"/>
      <c r="H22" s="126"/>
      <c r="I22" s="107"/>
      <c r="J22" s="126"/>
      <c r="L22" s="119"/>
      <c r="M22" s="119"/>
      <c r="Q22">
        <f>150070-Q18</f>
        <v>135020</v>
      </c>
    </row>
    <row r="23" spans="2:17" s="35" customFormat="1" ht="16.5" thickBot="1" x14ac:dyDescent="0.3">
      <c r="B23" s="82" t="s">
        <v>58</v>
      </c>
      <c r="C23" s="83"/>
      <c r="E23" s="127">
        <f>+E18-E20-E21</f>
        <v>5557.802630000001</v>
      </c>
      <c r="F23" s="128">
        <f>+E23/E$18</f>
        <v>0.18372382559805706</v>
      </c>
      <c r="G23" s="127">
        <f>+G18-G20-G21</f>
        <v>7785.9074330000021</v>
      </c>
      <c r="H23" s="128">
        <f>+G23/G$18</f>
        <v>0.25991805416741964</v>
      </c>
      <c r="I23" s="127">
        <f>+I18-I20-I21</f>
        <v>3984.4830700000011</v>
      </c>
      <c r="J23" s="128">
        <f>+I23/I$18</f>
        <v>0.18283029147158802</v>
      </c>
      <c r="K23" s="113"/>
      <c r="L23" s="129">
        <f>+($E23/G23)-1</f>
        <v>-0.28617149923416008</v>
      </c>
      <c r="M23" s="129">
        <f>+($E23/I23)-1</f>
        <v>0.39486165014625074</v>
      </c>
    </row>
    <row r="24" spans="2:17" ht="8.25" customHeight="1" x14ac:dyDescent="0.25">
      <c r="B24" s="57"/>
      <c r="C24" s="58"/>
      <c r="E24" s="104"/>
      <c r="F24" s="125"/>
      <c r="G24" s="104"/>
      <c r="H24" s="125"/>
      <c r="I24" s="104"/>
      <c r="J24" s="125"/>
      <c r="L24" s="122"/>
      <c r="M24" s="122"/>
    </row>
    <row r="25" spans="2:17" x14ac:dyDescent="0.25">
      <c r="B25" s="57" t="s">
        <v>59</v>
      </c>
      <c r="C25" s="58"/>
      <c r="E25" s="104">
        <f>+'[1]PG Mensual 2021'!AG21</f>
        <v>454.06446000000005</v>
      </c>
      <c r="F25" s="125">
        <f>+E25/E$18</f>
        <v>1.5009971604428124E-2</v>
      </c>
      <c r="G25" s="104">
        <f>+'[1]Presupuesto 2021'!AG20</f>
        <v>605.09885990399982</v>
      </c>
      <c r="H25" s="125">
        <f>+G25/G$18</f>
        <v>2.0200101221158669E-2</v>
      </c>
      <c r="I25" s="104">
        <f>+'[1]PG Mensual 2020'!AG17</f>
        <v>559.33549000000005</v>
      </c>
      <c r="J25" s="125">
        <f>+I25/I$18</f>
        <v>2.5665429836323406E-2</v>
      </c>
      <c r="L25" s="122">
        <f>+($E25/G25)-1</f>
        <v>-0.24960284990119086</v>
      </c>
      <c r="M25" s="122">
        <f>+($E25/I25)-1</f>
        <v>-0.18820731364641274</v>
      </c>
      <c r="Q25">
        <v>135020</v>
      </c>
    </row>
    <row r="26" spans="2:17" x14ac:dyDescent="0.25">
      <c r="B26" s="57" t="s">
        <v>60</v>
      </c>
      <c r="C26" s="58"/>
      <c r="E26" s="104">
        <f>+'[1]PG Mensual 2021'!AG22</f>
        <v>2714.3044299999997</v>
      </c>
      <c r="F26" s="125">
        <f>+E26/E$18</f>
        <v>8.9726538870876296E-2</v>
      </c>
      <c r="G26" s="104">
        <f>+'[1]Presupuesto 2021'!AG21+'[1]Presupuesto 2021'!AG24</f>
        <v>2154.0807544375002</v>
      </c>
      <c r="H26" s="125">
        <f>+G26/G$18</f>
        <v>7.1909983907572902E-2</v>
      </c>
      <c r="I26" s="104">
        <f>+'[1]PG Mensual 2020'!AG18</f>
        <v>1596.0545899999997</v>
      </c>
      <c r="J26" s="125">
        <f>+I26/I$18</f>
        <v>7.3235880481295604E-2</v>
      </c>
      <c r="L26" s="122">
        <f>+($E26/G26)-1</f>
        <v>0.26007552149956048</v>
      </c>
      <c r="M26" s="122">
        <f>+($E26/I26)-1</f>
        <v>0.70063382982407907</v>
      </c>
      <c r="Q26">
        <f>102000+Q25</f>
        <v>237020</v>
      </c>
    </row>
    <row r="27" spans="2:17" x14ac:dyDescent="0.25">
      <c r="B27" s="57" t="s">
        <v>61</v>
      </c>
      <c r="C27" s="58"/>
      <c r="E27" s="104">
        <f>+'[1]PG Mensual 2021'!AG23</f>
        <v>7.2200000000000006</v>
      </c>
      <c r="F27" s="125">
        <f>+E27/E$18</f>
        <v>2.3867094769753846E-4</v>
      </c>
      <c r="G27" s="104">
        <f>+'[1]Presupuesto 2021'!AG22</f>
        <v>36</v>
      </c>
      <c r="H27" s="125">
        <f>+G27/G$18</f>
        <v>1.2017931153879293E-3</v>
      </c>
      <c r="I27" s="104">
        <f>+'[1]PG Mensual 2020'!AG19</f>
        <v>11.58793</v>
      </c>
      <c r="J27" s="125">
        <f>+I27/I$18</f>
        <v>5.3171881577410206E-4</v>
      </c>
      <c r="L27" s="122">
        <f>+($E27/G27)-1</f>
        <v>-0.7994444444444444</v>
      </c>
      <c r="M27" s="122">
        <f>+($E27/I27)-1</f>
        <v>-0.37693790003909233</v>
      </c>
    </row>
    <row r="28" spans="2:17" ht="16.5" thickBot="1" x14ac:dyDescent="0.3">
      <c r="B28" s="57" t="s">
        <v>62</v>
      </c>
      <c r="C28" s="58"/>
      <c r="E28" s="104">
        <f>+'[1]PG Mensual 2021'!AG24</f>
        <v>89.588099999999983</v>
      </c>
      <c r="F28" s="125">
        <f>+E28/E$18</f>
        <v>2.9615064722190916E-3</v>
      </c>
      <c r="G28" s="104">
        <f>+'[1]Presupuesto 2021'!AG23</f>
        <v>120</v>
      </c>
      <c r="H28" s="125">
        <f>+G28/G$18</f>
        <v>4.0059770512930973E-3</v>
      </c>
      <c r="I28" s="104">
        <f>+'[1]PG Mensual 2020'!AG20</f>
        <v>59.95</v>
      </c>
      <c r="J28" s="125">
        <f>+I28/I$18</f>
        <v>2.7508401419112315E-3</v>
      </c>
      <c r="L28" s="122">
        <f>+($E28/G28)-1</f>
        <v>-0.25343250000000017</v>
      </c>
      <c r="M28" s="122">
        <f>+($E28/I28)-1</f>
        <v>0.49438031693077522</v>
      </c>
    </row>
    <row r="29" spans="2:17" ht="16.5" thickBot="1" x14ac:dyDescent="0.3">
      <c r="B29" s="82" t="s">
        <v>82</v>
      </c>
      <c r="C29" s="83"/>
      <c r="E29" s="127">
        <f>SUM(E24:E28)</f>
        <v>3265.1769899999995</v>
      </c>
      <c r="F29" s="128">
        <f>+E29/E$18</f>
        <v>0.10793668789522104</v>
      </c>
      <c r="G29" s="127">
        <f>SUM(G24:G28)</f>
        <v>2915.1796143414999</v>
      </c>
      <c r="H29" s="128">
        <f>+G29/G$18</f>
        <v>9.7317855295412592E-2</v>
      </c>
      <c r="I29" s="127">
        <f>SUM(I24:I28)</f>
        <v>2226.9280099999996</v>
      </c>
      <c r="J29" s="128">
        <f>+I29/I$18</f>
        <v>0.10218386927530433</v>
      </c>
      <c r="L29" s="129">
        <f>+($E29/G29)-1</f>
        <v>0.12006031255729654</v>
      </c>
      <c r="M29" s="129">
        <f>+($E29/I29)-1</f>
        <v>0.46622476134735935</v>
      </c>
      <c r="Q29">
        <f>150070+43450+43500</f>
        <v>237020</v>
      </c>
    </row>
    <row r="30" spans="2:17" ht="8.25" customHeight="1" thickBot="1" x14ac:dyDescent="0.3">
      <c r="E30" s="130"/>
      <c r="F30" s="131"/>
      <c r="G30" s="130"/>
      <c r="H30" s="131"/>
      <c r="I30" s="130"/>
      <c r="J30" s="131"/>
      <c r="L30" s="132"/>
      <c r="M30" s="132"/>
    </row>
    <row r="31" spans="2:17" s="35" customFormat="1" ht="16.5" thickBot="1" x14ac:dyDescent="0.3">
      <c r="B31" s="82" t="s">
        <v>64</v>
      </c>
      <c r="C31" s="83"/>
      <c r="E31" s="127">
        <f>+E23-E29</f>
        <v>2292.6256400000016</v>
      </c>
      <c r="F31" s="128">
        <f>+E31/E$18</f>
        <v>7.5787137702836016E-2</v>
      </c>
      <c r="G31" s="127">
        <f>+G23-G29</f>
        <v>4870.7278186585027</v>
      </c>
      <c r="H31" s="128">
        <f>+G31/G$18</f>
        <v>0.16260019887200708</v>
      </c>
      <c r="I31" s="127">
        <f>+I23-I29</f>
        <v>1757.5550600000015</v>
      </c>
      <c r="J31" s="128">
        <f>+I31/I$18</f>
        <v>8.0646422196283679E-2</v>
      </c>
      <c r="K31" s="113"/>
      <c r="L31" s="129">
        <f>+($E31/G31)-1</f>
        <v>-0.5293053265638159</v>
      </c>
      <c r="M31" s="129">
        <f>+($E31/I31)-1</f>
        <v>0.30444029446223975</v>
      </c>
      <c r="Q31" s="35">
        <f>36+72+87</f>
        <v>195</v>
      </c>
    </row>
    <row r="32" spans="2:17" ht="9.75" customHeight="1" x14ac:dyDescent="0.25">
      <c r="B32" s="57"/>
      <c r="C32" s="58"/>
      <c r="E32" s="133"/>
      <c r="F32" s="121"/>
      <c r="G32" s="133"/>
      <c r="H32" s="121"/>
      <c r="I32" s="133"/>
      <c r="J32" s="121"/>
      <c r="L32" s="122"/>
      <c r="M32" s="122"/>
    </row>
    <row r="33" spans="2:19" x14ac:dyDescent="0.25">
      <c r="B33" s="89" t="s">
        <v>65</v>
      </c>
      <c r="C33" s="58"/>
      <c r="E33" s="104">
        <f>+'[1]PG Mensual 2021'!AG29</f>
        <v>46.068799999999996</v>
      </c>
      <c r="F33" s="125">
        <f>+E33/E$18</f>
        <v>1.5228925422837061E-3</v>
      </c>
      <c r="G33" s="104">
        <f>+'[1]Presupuesto 2021'!AG30</f>
        <v>60</v>
      </c>
      <c r="H33" s="125">
        <f>+G33/G$18</f>
        <v>2.0029885256465487E-3</v>
      </c>
      <c r="I33" s="104">
        <f>+'[1]PG Mensual 2020'!AG25</f>
        <v>72.998260000000002</v>
      </c>
      <c r="J33" s="125">
        <f>+I33/I$18</f>
        <v>3.34956703749246E-3</v>
      </c>
      <c r="L33" s="122">
        <f>+($E33/G33)-1</f>
        <v>-0.23218666666666676</v>
      </c>
      <c r="M33" s="122">
        <f>+($E33/I33)-1</f>
        <v>-0.36890550541889633</v>
      </c>
    </row>
    <row r="34" spans="2:19" x14ac:dyDescent="0.25">
      <c r="B34" s="89" t="s">
        <v>66</v>
      </c>
      <c r="C34" s="58"/>
      <c r="E34" s="104">
        <f>+'[1]PG Mensual 2021'!AG30</f>
        <v>-42.897509999999983</v>
      </c>
      <c r="F34" s="125">
        <f>+E34/E$18</f>
        <v>-1.4180594689147685E-3</v>
      </c>
      <c r="G34" s="104">
        <f>+'[1]Presupuesto 2021'!AG31</f>
        <v>0</v>
      </c>
      <c r="H34" s="125">
        <f>+G34/G$18</f>
        <v>0</v>
      </c>
      <c r="I34" s="104">
        <f>+'[1]PG Mensual 2020'!AG26</f>
        <v>-33.090030000000013</v>
      </c>
      <c r="J34" s="125">
        <f>+I34/I$18</f>
        <v>-1.5183550095253869E-3</v>
      </c>
      <c r="L34" s="122" t="e">
        <f>+($E34/G34)-1</f>
        <v>#DIV/0!</v>
      </c>
      <c r="M34" s="122">
        <f>IFERROR(+($E34/I34)-1,0)</f>
        <v>0.29638776392768351</v>
      </c>
    </row>
    <row r="35" spans="2:19" x14ac:dyDescent="0.25">
      <c r="B35" s="89" t="s">
        <v>67</v>
      </c>
      <c r="C35" s="58"/>
      <c r="E35" s="104">
        <f>+'[1]PG Mensual 2021'!AG31</f>
        <v>180.04454000000001</v>
      </c>
      <c r="F35" s="125">
        <f>+E35/E$18</f>
        <v>5.9517175885827386E-3</v>
      </c>
      <c r="G35" s="104">
        <f>+'[1]Presupuesto 2021'!AG32</f>
        <v>72</v>
      </c>
      <c r="H35" s="125">
        <f>+G35/G$18</f>
        <v>2.4035862307758586E-3</v>
      </c>
      <c r="I35" s="104">
        <f>+'[1]PG Mensual 2020'!AG27</f>
        <v>231.68891000000002</v>
      </c>
      <c r="J35" s="125">
        <f>+I35/I$18</f>
        <v>1.0631178549852519E-2</v>
      </c>
      <c r="L35" s="122">
        <f>+($E35/G35)-1</f>
        <v>1.5006186111111113</v>
      </c>
      <c r="M35" s="122">
        <f>+($E35/I35)-1</f>
        <v>-0.22290393614437565</v>
      </c>
    </row>
    <row r="36" spans="2:19" ht="7.5" customHeight="1" thickBot="1" x14ac:dyDescent="0.3">
      <c r="B36" s="78"/>
      <c r="C36" s="79"/>
      <c r="E36" s="134"/>
      <c r="F36" s="126"/>
      <c r="G36" s="134"/>
      <c r="H36" s="126"/>
      <c r="I36" s="134"/>
      <c r="J36" s="126"/>
      <c r="L36" s="119"/>
      <c r="M36" s="119"/>
    </row>
    <row r="37" spans="2:19" s="35" customFormat="1" ht="16.5" thickBot="1" x14ac:dyDescent="0.3">
      <c r="B37" s="82" t="s">
        <v>83</v>
      </c>
      <c r="C37" s="83"/>
      <c r="E37" s="127">
        <f>+E31-E33-E34-E35</f>
        <v>2109.4098100000015</v>
      </c>
      <c r="F37" s="128">
        <f>+E37/E$18</f>
        <v>6.9730587040884334E-2</v>
      </c>
      <c r="G37" s="127">
        <f>+G31-G33-G34-G35</f>
        <v>4738.7278186585027</v>
      </c>
      <c r="H37" s="128">
        <f>+G37/G$18</f>
        <v>0.15819362411558466</v>
      </c>
      <c r="I37" s="127">
        <f>+I31-I33-I34-I35</f>
        <v>1485.9579200000014</v>
      </c>
      <c r="J37" s="128">
        <f>+I37/I$18</f>
        <v>6.8184031618464092E-2</v>
      </c>
      <c r="K37" s="113"/>
      <c r="L37" s="129">
        <f>+($E37/G37)-1</f>
        <v>-0.55485736030368615</v>
      </c>
      <c r="M37" s="129">
        <f>+($E37/I37)-1</f>
        <v>0.41956227804889612</v>
      </c>
      <c r="S37" s="139" t="e">
        <f>+'[1]Comparativo PG Mes 000'!E6:P6</f>
        <v>#VALUE!</v>
      </c>
    </row>
    <row r="38" spans="2:19" ht="7.5" customHeight="1" x14ac:dyDescent="0.25">
      <c r="B38" s="53"/>
      <c r="C38" s="54"/>
      <c r="E38" s="135"/>
      <c r="F38" s="124"/>
      <c r="G38" s="135"/>
      <c r="H38" s="124"/>
      <c r="I38" s="135"/>
      <c r="J38" s="124"/>
      <c r="L38" s="114"/>
      <c r="M38" s="114"/>
    </row>
    <row r="39" spans="2:19" x14ac:dyDescent="0.25">
      <c r="B39" s="89" t="s">
        <v>69</v>
      </c>
      <c r="C39" s="58"/>
      <c r="E39" s="104">
        <f>+'[1]PG Mensual 2021'!AG35</f>
        <v>316.41147149999972</v>
      </c>
      <c r="F39" s="125">
        <f>+E39/E$18</f>
        <v>1.0459588056132634E-2</v>
      </c>
      <c r="G39" s="104">
        <f>+'[1]Presupuesto 2021'!AG37</f>
        <v>710.80917279877531</v>
      </c>
      <c r="H39" s="125">
        <f>+G39/G$18</f>
        <v>2.3729043617337697E-2</v>
      </c>
      <c r="I39" s="104">
        <f>+'[1]PG Mensual 2020'!AG31</f>
        <v>222.89368799999968</v>
      </c>
      <c r="J39" s="125">
        <f>+I39/I$18</f>
        <v>1.0227604742769588E-2</v>
      </c>
      <c r="L39" s="122">
        <f>+($E39/G39)-1</f>
        <v>-0.55485736030368671</v>
      </c>
      <c r="M39" s="122">
        <f>IFERROR(+($E39/I39)-1,0)</f>
        <v>0.41956227804889723</v>
      </c>
    </row>
    <row r="40" spans="2:19" x14ac:dyDescent="0.25">
      <c r="B40" s="89" t="s">
        <v>70</v>
      </c>
      <c r="C40" s="58"/>
      <c r="E40" s="104">
        <f>+'[1]PG Mensual 2021'!AG36</f>
        <v>448.2495846249999</v>
      </c>
      <c r="F40" s="125">
        <f>+E40/E$18</f>
        <v>1.4817749746187906E-2</v>
      </c>
      <c r="G40" s="104">
        <f>+'[1]Presupuesto 2021'!AG39</f>
        <v>886.14210208913983</v>
      </c>
      <c r="H40" s="125">
        <f>+G40/G$18</f>
        <v>2.9582207709614328E-2</v>
      </c>
      <c r="I40" s="104">
        <f>+'[1]PG Mensual 2020'!AG32</f>
        <v>331.7660579999997</v>
      </c>
      <c r="J40" s="125">
        <f>+I40/I$18</f>
        <v>1.5223275897748941E-2</v>
      </c>
      <c r="L40" s="122">
        <f>+($E40/G40)-1</f>
        <v>-0.49415609125418913</v>
      </c>
      <c r="M40" s="122">
        <f>IFERROR(+($E40/I40)-1,0)</f>
        <v>0.35110139755465974</v>
      </c>
    </row>
    <row r="41" spans="2:19" ht="6" customHeight="1" thickBot="1" x14ac:dyDescent="0.3">
      <c r="B41" s="78"/>
      <c r="C41" s="79"/>
      <c r="E41" s="134"/>
      <c r="F41" s="126"/>
      <c r="G41" s="134"/>
      <c r="H41" s="126"/>
      <c r="I41" s="134"/>
      <c r="J41" s="126"/>
      <c r="L41" s="119"/>
      <c r="M41" s="119"/>
    </row>
    <row r="42" spans="2:19" s="35" customFormat="1" ht="16.5" thickBot="1" x14ac:dyDescent="0.3">
      <c r="B42" s="82" t="s">
        <v>71</v>
      </c>
      <c r="C42" s="83"/>
      <c r="E42" s="127">
        <f>+E37-E39-E40</f>
        <v>1344.748753875002</v>
      </c>
      <c r="F42" s="128">
        <f>+E42/E$18</f>
        <v>4.4453249238563794E-2</v>
      </c>
      <c r="G42" s="127">
        <f>+G37-G39-G40</f>
        <v>3141.7765437705875</v>
      </c>
      <c r="H42" s="128">
        <f>+G42/G$18</f>
        <v>0.10488237278863265</v>
      </c>
      <c r="I42" s="127">
        <f>+I37-I39-I40</f>
        <v>931.29817400000206</v>
      </c>
      <c r="J42" s="128">
        <f>+I42/I$18</f>
        <v>4.2733150977945562E-2</v>
      </c>
      <c r="K42" s="113"/>
      <c r="L42" s="129">
        <f>+($E42/G42)-1</f>
        <v>-0.57197823106123624</v>
      </c>
      <c r="M42" s="129">
        <f>+($E42/I42)-1</f>
        <v>0.44395081126294467</v>
      </c>
    </row>
    <row r="43" spans="2:19" ht="5.25" customHeight="1" x14ac:dyDescent="0.25">
      <c r="B43" s="53"/>
      <c r="C43" s="54"/>
      <c r="E43" s="135"/>
      <c r="F43" s="124"/>
      <c r="G43" s="135"/>
      <c r="H43" s="124"/>
      <c r="I43" s="135"/>
      <c r="J43" s="124"/>
      <c r="L43" s="114"/>
      <c r="M43" s="114"/>
    </row>
    <row r="44" spans="2:19" s="35" customFormat="1" ht="16.5" thickBot="1" x14ac:dyDescent="0.3">
      <c r="B44" s="67" t="s">
        <v>72</v>
      </c>
      <c r="C44" s="68"/>
      <c r="E44" s="136">
        <f>+'[1]PG Mensual 2021'!AG40</f>
        <v>2404.9983384999987</v>
      </c>
      <c r="F44" s="118">
        <f>+E44/E$18</f>
        <v>7.9501832778504158E-2</v>
      </c>
      <c r="G44" s="136">
        <f>+'[1]Presupuesto 2021'!AG47</f>
        <v>4697.9186458597278</v>
      </c>
      <c r="H44" s="118">
        <f>+G44/G$18</f>
        <v>0.15683128570130012</v>
      </c>
      <c r="I44" s="136">
        <f>+'[1]PG Mensual 2020'!AG36</f>
        <v>1875.0642319999984</v>
      </c>
      <c r="J44" s="118">
        <f>+I44/I$18</f>
        <v>8.6038397965763957E-2</v>
      </c>
      <c r="K44" s="113"/>
      <c r="L44" s="119">
        <f>IF(+G44=0,0,(+E44/G44)-1)</f>
        <v>-0.48807152277540566</v>
      </c>
      <c r="M44" s="119">
        <f>+($E44/I44)-1</f>
        <v>0.28262184167139548</v>
      </c>
    </row>
  </sheetData>
  <mergeCells count="12">
    <mergeCell ref="L10:L11"/>
    <mergeCell ref="M10:M11"/>
    <mergeCell ref="B5:M5"/>
    <mergeCell ref="B6:M6"/>
    <mergeCell ref="B8:C8"/>
    <mergeCell ref="E8:J8"/>
    <mergeCell ref="E10:E11"/>
    <mergeCell ref="F10:F11"/>
    <mergeCell ref="G10:G11"/>
    <mergeCell ref="H10:H11"/>
    <mergeCell ref="I10:I11"/>
    <mergeCell ref="J10:J1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DC916-4B4B-43A5-8E14-EDA3281C2949}">
  <dimension ref="B1:AK92"/>
  <sheetViews>
    <sheetView workbookViewId="0">
      <selection sqref="A1:XFD1048576"/>
    </sheetView>
  </sheetViews>
  <sheetFormatPr baseColWidth="10" defaultColWidth="11.42578125" defaultRowHeight="15" x14ac:dyDescent="0.25"/>
  <cols>
    <col min="1" max="1" width="2.85546875" style="148" customWidth="1"/>
    <col min="2" max="2" width="2.28515625" style="140" customWidth="1"/>
    <col min="3" max="3" width="3.42578125" style="141" bestFit="1" customWidth="1"/>
    <col min="4" max="4" width="39" style="142" bestFit="1" customWidth="1"/>
    <col min="5" max="5" width="8.85546875" style="143" bestFit="1" customWidth="1"/>
    <col min="6" max="6" width="6.140625" style="143" bestFit="1" customWidth="1"/>
    <col min="7" max="7" width="8.85546875" style="143" bestFit="1" customWidth="1"/>
    <col min="8" max="28" width="6.140625" style="143" bestFit="1" customWidth="1"/>
    <col min="29" max="29" width="7.28515625" style="143" bestFit="1" customWidth="1"/>
    <col min="30" max="30" width="6.140625" style="143" bestFit="1" customWidth="1"/>
    <col min="31" max="31" width="3" style="238" customWidth="1"/>
    <col min="32" max="32" width="9" style="145" customWidth="1"/>
    <col min="33" max="33" width="11" style="146" bestFit="1" customWidth="1"/>
    <col min="34" max="35" width="5.42578125" style="147" customWidth="1"/>
    <col min="36" max="16384" width="11.42578125" style="148"/>
  </cols>
  <sheetData>
    <row r="1" spans="2:37" ht="15.75" thickBot="1" x14ac:dyDescent="0.3">
      <c r="E1" s="143">
        <v>1</v>
      </c>
      <c r="G1" s="143">
        <v>2</v>
      </c>
      <c r="I1" s="143">
        <v>3</v>
      </c>
      <c r="K1" s="143">
        <v>4</v>
      </c>
      <c r="M1" s="143">
        <v>5</v>
      </c>
      <c r="O1" s="143">
        <v>6</v>
      </c>
      <c r="Q1" s="143">
        <v>7</v>
      </c>
      <c r="S1" s="143">
        <v>8</v>
      </c>
      <c r="U1" s="143">
        <v>9</v>
      </c>
      <c r="W1" s="143">
        <v>10</v>
      </c>
      <c r="Y1" s="143">
        <v>11</v>
      </c>
      <c r="AA1" s="143">
        <v>12</v>
      </c>
      <c r="AE1" s="144"/>
    </row>
    <row r="2" spans="2:37" ht="28.5" customHeight="1" x14ac:dyDescent="0.25">
      <c r="B2" s="423" t="s">
        <v>84</v>
      </c>
      <c r="C2" s="424"/>
      <c r="D2" s="424"/>
      <c r="E2" s="424"/>
      <c r="F2" s="424"/>
      <c r="G2" s="424"/>
      <c r="H2" s="424"/>
      <c r="I2" s="424"/>
      <c r="J2" s="424"/>
      <c r="K2" s="424"/>
      <c r="L2" s="424"/>
      <c r="M2" s="424"/>
      <c r="N2" s="424"/>
      <c r="O2" s="424"/>
      <c r="P2" s="424"/>
      <c r="Q2" s="424"/>
      <c r="R2" s="424"/>
      <c r="S2" s="424"/>
      <c r="T2" s="424"/>
      <c r="U2" s="424"/>
      <c r="V2" s="424"/>
      <c r="W2" s="424"/>
      <c r="X2" s="424"/>
      <c r="Y2" s="424"/>
      <c r="Z2" s="424"/>
      <c r="AA2" s="424"/>
      <c r="AB2" s="424"/>
      <c r="AC2" s="424"/>
      <c r="AD2" s="424"/>
      <c r="AE2" s="425"/>
      <c r="AH2" s="147">
        <v>1760</v>
      </c>
      <c r="AI2" s="147">
        <v>3437</v>
      </c>
      <c r="AJ2" s="148">
        <v>5335</v>
      </c>
      <c r="AK2" s="148">
        <v>7552</v>
      </c>
    </row>
    <row r="3" spans="2:37" ht="28.5" x14ac:dyDescent="0.25">
      <c r="B3" s="149"/>
      <c r="C3" s="150"/>
      <c r="D3" s="151"/>
      <c r="E3" s="151"/>
      <c r="F3" s="151"/>
      <c r="G3" s="426"/>
      <c r="H3" s="426"/>
      <c r="I3" s="426"/>
      <c r="J3" s="426"/>
      <c r="K3" s="426"/>
      <c r="L3" s="426"/>
      <c r="M3" s="426"/>
      <c r="N3" s="426"/>
      <c r="O3" s="426"/>
      <c r="P3" s="426"/>
      <c r="Q3" s="426"/>
      <c r="R3" s="426"/>
      <c r="S3" s="426"/>
      <c r="T3" s="426"/>
      <c r="U3" s="426"/>
      <c r="V3" s="426"/>
      <c r="W3" s="426"/>
      <c r="X3" s="426"/>
      <c r="Y3" s="426"/>
      <c r="Z3" s="426"/>
      <c r="AA3" s="426"/>
      <c r="AB3" s="426"/>
      <c r="AC3" s="426"/>
      <c r="AD3" s="426"/>
      <c r="AE3" s="152"/>
      <c r="AG3" s="146">
        <v>12</v>
      </c>
    </row>
    <row r="4" spans="2:37" ht="26.25" x14ac:dyDescent="0.25">
      <c r="B4" s="149"/>
      <c r="C4" s="150"/>
      <c r="D4" s="153" t="s">
        <v>85</v>
      </c>
      <c r="E4" s="154"/>
      <c r="F4" s="154"/>
      <c r="G4" s="154"/>
      <c r="H4" s="154"/>
      <c r="I4" s="154"/>
      <c r="J4" s="154"/>
      <c r="K4" s="154"/>
      <c r="L4" s="154"/>
      <c r="M4" s="154"/>
      <c r="N4" s="154"/>
      <c r="O4" s="154"/>
      <c r="P4" s="154"/>
      <c r="Q4" s="154"/>
      <c r="R4" s="154"/>
      <c r="S4" s="154"/>
      <c r="T4" s="154"/>
      <c r="U4" s="154"/>
      <c r="V4" s="154"/>
      <c r="W4" s="154"/>
      <c r="X4" s="154"/>
      <c r="Y4" s="154"/>
      <c r="Z4" s="154"/>
      <c r="AA4" s="154"/>
      <c r="AB4" s="154"/>
      <c r="AC4" s="154"/>
      <c r="AD4" s="154"/>
      <c r="AE4" s="155"/>
    </row>
    <row r="5" spans="2:37" s="158" customFormat="1" ht="12.75" customHeight="1" x14ac:dyDescent="0.2">
      <c r="B5" s="156"/>
      <c r="C5" s="157"/>
      <c r="D5" s="427"/>
      <c r="E5" s="419" t="s">
        <v>38</v>
      </c>
      <c r="F5" s="413" t="s">
        <v>39</v>
      </c>
      <c r="G5" s="421" t="s">
        <v>40</v>
      </c>
      <c r="H5" s="417" t="s">
        <v>39</v>
      </c>
      <c r="I5" s="419" t="s">
        <v>41</v>
      </c>
      <c r="J5" s="413" t="s">
        <v>39</v>
      </c>
      <c r="K5" s="421" t="s">
        <v>42</v>
      </c>
      <c r="L5" s="417" t="s">
        <v>39</v>
      </c>
      <c r="M5" s="419" t="s">
        <v>43</v>
      </c>
      <c r="N5" s="413" t="s">
        <v>39</v>
      </c>
      <c r="O5" s="421" t="s">
        <v>44</v>
      </c>
      <c r="P5" s="417" t="s">
        <v>39</v>
      </c>
      <c r="Q5" s="419" t="s">
        <v>45</v>
      </c>
      <c r="R5" s="413" t="s">
        <v>39</v>
      </c>
      <c r="S5" s="421" t="s">
        <v>46</v>
      </c>
      <c r="T5" s="417" t="s">
        <v>39</v>
      </c>
      <c r="U5" s="419" t="s">
        <v>86</v>
      </c>
      <c r="V5" s="413" t="s">
        <v>39</v>
      </c>
      <c r="W5" s="421" t="s">
        <v>87</v>
      </c>
      <c r="X5" s="417" t="s">
        <v>39</v>
      </c>
      <c r="Y5" s="419" t="s">
        <v>88</v>
      </c>
      <c r="Z5" s="413" t="s">
        <v>39</v>
      </c>
      <c r="AA5" s="421" t="s">
        <v>89</v>
      </c>
      <c r="AB5" s="417" t="s">
        <v>39</v>
      </c>
      <c r="AC5" s="419" t="s">
        <v>90</v>
      </c>
      <c r="AD5" s="413" t="s">
        <v>39</v>
      </c>
      <c r="AE5" s="155"/>
      <c r="AF5" s="145"/>
      <c r="AG5" s="415" t="s">
        <v>91</v>
      </c>
      <c r="AH5" s="417" t="s">
        <v>39</v>
      </c>
      <c r="AI5" s="145"/>
    </row>
    <row r="6" spans="2:37" s="160" customFormat="1" ht="12.75" x14ac:dyDescent="0.2">
      <c r="B6" s="156"/>
      <c r="C6" s="157"/>
      <c r="D6" s="428"/>
      <c r="E6" s="420"/>
      <c r="F6" s="414"/>
      <c r="G6" s="422"/>
      <c r="H6" s="418"/>
      <c r="I6" s="420"/>
      <c r="J6" s="414"/>
      <c r="K6" s="422"/>
      <c r="L6" s="418"/>
      <c r="M6" s="420"/>
      <c r="N6" s="414"/>
      <c r="O6" s="422"/>
      <c r="P6" s="418"/>
      <c r="Q6" s="420"/>
      <c r="R6" s="414"/>
      <c r="S6" s="422"/>
      <c r="T6" s="418"/>
      <c r="U6" s="420"/>
      <c r="V6" s="414"/>
      <c r="W6" s="422"/>
      <c r="X6" s="418"/>
      <c r="Y6" s="420"/>
      <c r="Z6" s="414"/>
      <c r="AA6" s="422"/>
      <c r="AB6" s="418"/>
      <c r="AC6" s="420"/>
      <c r="AD6" s="414"/>
      <c r="AE6" s="155"/>
      <c r="AF6" s="145"/>
      <c r="AG6" s="416"/>
      <c r="AH6" s="418"/>
      <c r="AI6" s="159"/>
    </row>
    <row r="7" spans="2:37" x14ac:dyDescent="0.25">
      <c r="B7" s="161"/>
      <c r="C7" s="162"/>
      <c r="D7" s="163"/>
      <c r="E7" s="164"/>
      <c r="F7" s="165"/>
      <c r="G7" s="164"/>
      <c r="H7" s="165"/>
      <c r="I7" s="164"/>
      <c r="J7" s="165"/>
      <c r="K7" s="164"/>
      <c r="L7" s="165"/>
      <c r="M7" s="164"/>
      <c r="N7" s="165"/>
      <c r="O7" s="164"/>
      <c r="P7" s="165"/>
      <c r="Q7" s="164"/>
      <c r="R7" s="165"/>
      <c r="S7" s="164"/>
      <c r="T7" s="165"/>
      <c r="U7" s="164"/>
      <c r="V7" s="165"/>
      <c r="W7" s="164"/>
      <c r="X7" s="165"/>
      <c r="Y7" s="164"/>
      <c r="Z7" s="165"/>
      <c r="AA7" s="164"/>
      <c r="AB7" s="165"/>
      <c r="AC7" s="164"/>
      <c r="AD7" s="165"/>
      <c r="AE7" s="155"/>
    </row>
    <row r="8" spans="2:37" ht="15.75" x14ac:dyDescent="0.25">
      <c r="B8" s="161"/>
      <c r="C8" s="162"/>
      <c r="D8" s="166" t="s">
        <v>92</v>
      </c>
      <c r="E8" s="167">
        <v>1759994</v>
      </c>
      <c r="F8" s="168">
        <v>92.146572188184876</v>
      </c>
      <c r="G8" s="167">
        <v>1676994</v>
      </c>
      <c r="H8" s="168">
        <v>92.805731507686247</v>
      </c>
      <c r="I8" s="167">
        <v>1897575</v>
      </c>
      <c r="J8" s="168">
        <v>93.588399935883999</v>
      </c>
      <c r="K8" s="167">
        <v>2187576</v>
      </c>
      <c r="L8" s="168">
        <v>93.583096335691323</v>
      </c>
      <c r="M8" s="167">
        <v>2227576</v>
      </c>
      <c r="N8" s="168">
        <v>92.909505266986329</v>
      </c>
      <c r="O8" s="167">
        <v>2215576</v>
      </c>
      <c r="P8" s="168">
        <v>93.264791360074355</v>
      </c>
      <c r="Q8" s="167">
        <v>2211158</v>
      </c>
      <c r="R8" s="168">
        <v>93.252242153411956</v>
      </c>
      <c r="S8" s="167">
        <v>2211158</v>
      </c>
      <c r="T8" s="168">
        <v>93.252242153411956</v>
      </c>
      <c r="U8" s="167">
        <v>2208158</v>
      </c>
      <c r="V8" s="168">
        <v>93.639103062644651</v>
      </c>
      <c r="W8" s="167">
        <v>3878158</v>
      </c>
      <c r="X8" s="168">
        <v>96.276213594402208</v>
      </c>
      <c r="Y8" s="167">
        <v>3143158</v>
      </c>
      <c r="Z8" s="168">
        <v>95.445101631928992</v>
      </c>
      <c r="AA8" s="167">
        <v>2528158</v>
      </c>
      <c r="AB8" s="168">
        <v>94.399135525237867</v>
      </c>
      <c r="AC8" s="167">
        <v>28145239</v>
      </c>
      <c r="AD8" s="168">
        <v>93.957651280966246</v>
      </c>
      <c r="AE8" s="155"/>
      <c r="AG8" s="169">
        <f ca="1">SUM(E53:INDIRECT("F53C"&amp;[1]Cabecera!$D$8,0))/1000</f>
        <v>28145.239000000001</v>
      </c>
      <c r="AH8" s="168"/>
    </row>
    <row r="9" spans="2:37" ht="15.75" x14ac:dyDescent="0.25">
      <c r="B9" s="161"/>
      <c r="C9" s="162"/>
      <c r="D9" s="166" t="s">
        <v>93</v>
      </c>
      <c r="E9" s="167">
        <v>150000</v>
      </c>
      <c r="F9" s="168">
        <v>7.8534278118151155</v>
      </c>
      <c r="G9" s="167">
        <v>130000</v>
      </c>
      <c r="H9" s="168">
        <v>7.1942684923137543</v>
      </c>
      <c r="I9" s="167">
        <v>130000</v>
      </c>
      <c r="J9" s="168">
        <v>6.4116000641160005</v>
      </c>
      <c r="K9" s="167">
        <v>150000</v>
      </c>
      <c r="L9" s="168">
        <v>6.4169036643086681</v>
      </c>
      <c r="M9" s="167">
        <v>170000</v>
      </c>
      <c r="N9" s="168">
        <v>7.0904947330136778</v>
      </c>
      <c r="O9" s="167">
        <v>160000</v>
      </c>
      <c r="P9" s="168">
        <v>6.7352086399256441</v>
      </c>
      <c r="Q9" s="167">
        <v>160000</v>
      </c>
      <c r="R9" s="168">
        <v>6.7477578465880388</v>
      </c>
      <c r="S9" s="167">
        <v>160000</v>
      </c>
      <c r="T9" s="168">
        <v>6.7477578465880388</v>
      </c>
      <c r="U9" s="167">
        <v>150000</v>
      </c>
      <c r="V9" s="168">
        <v>6.3608969373553421</v>
      </c>
      <c r="W9" s="167">
        <v>150000</v>
      </c>
      <c r="X9" s="168">
        <v>3.7237864055977941</v>
      </c>
      <c r="Y9" s="167">
        <v>150000</v>
      </c>
      <c r="Z9" s="168">
        <v>4.5548983680710124</v>
      </c>
      <c r="AA9" s="167">
        <v>150000</v>
      </c>
      <c r="AB9" s="168">
        <v>5.6008644747621315</v>
      </c>
      <c r="AC9" s="167">
        <v>1810000</v>
      </c>
      <c r="AD9" s="168">
        <v>6.0423487190337557</v>
      </c>
      <c r="AE9" s="155"/>
      <c r="AG9" s="169">
        <f ca="1">SUM(E54:INDIRECT("F54C"&amp;[1]Cabecera!$D$8,0))/1000</f>
        <v>1810</v>
      </c>
      <c r="AH9" s="168"/>
    </row>
    <row r="10" spans="2:37" s="178" customFormat="1" ht="15.75" x14ac:dyDescent="0.25">
      <c r="B10" s="170"/>
      <c r="C10" s="171"/>
      <c r="D10" s="172" t="s">
        <v>94</v>
      </c>
      <c r="E10" s="173">
        <v>1909994</v>
      </c>
      <c r="F10" s="174">
        <v>100</v>
      </c>
      <c r="G10" s="173">
        <v>1806994</v>
      </c>
      <c r="H10" s="174">
        <v>100</v>
      </c>
      <c r="I10" s="173">
        <v>2027575</v>
      </c>
      <c r="J10" s="174">
        <v>100</v>
      </c>
      <c r="K10" s="173">
        <v>2337576</v>
      </c>
      <c r="L10" s="174">
        <v>100</v>
      </c>
      <c r="M10" s="173">
        <v>2397576</v>
      </c>
      <c r="N10" s="174">
        <v>100</v>
      </c>
      <c r="O10" s="173">
        <v>2375576</v>
      </c>
      <c r="P10" s="174">
        <v>100</v>
      </c>
      <c r="Q10" s="173">
        <v>2371158</v>
      </c>
      <c r="R10" s="174">
        <v>100</v>
      </c>
      <c r="S10" s="173">
        <v>2371158</v>
      </c>
      <c r="T10" s="174">
        <v>100</v>
      </c>
      <c r="U10" s="173">
        <v>2358158</v>
      </c>
      <c r="V10" s="174">
        <v>100</v>
      </c>
      <c r="W10" s="173">
        <v>4028158</v>
      </c>
      <c r="X10" s="174">
        <v>100</v>
      </c>
      <c r="Y10" s="173">
        <v>3293158</v>
      </c>
      <c r="Z10" s="174">
        <v>100</v>
      </c>
      <c r="AA10" s="173">
        <v>2678158</v>
      </c>
      <c r="AB10" s="174">
        <v>100</v>
      </c>
      <c r="AC10" s="173">
        <v>29955239</v>
      </c>
      <c r="AD10" s="174">
        <v>100</v>
      </c>
      <c r="AE10" s="155"/>
      <c r="AF10" s="175"/>
      <c r="AG10" s="176"/>
      <c r="AH10" s="174"/>
      <c r="AI10" s="177"/>
    </row>
    <row r="11" spans="2:37" ht="15.75" x14ac:dyDescent="0.25">
      <c r="B11" s="170"/>
      <c r="D11" s="166"/>
      <c r="E11" s="179"/>
      <c r="F11" s="180"/>
      <c r="G11" s="179"/>
      <c r="H11" s="180"/>
      <c r="I11" s="179"/>
      <c r="J11" s="180"/>
      <c r="K11" s="179"/>
      <c r="L11" s="180"/>
      <c r="M11" s="179"/>
      <c r="N11" s="180"/>
      <c r="O11" s="179"/>
      <c r="P11" s="180"/>
      <c r="Q11" s="179"/>
      <c r="R11" s="180"/>
      <c r="S11" s="179"/>
      <c r="T11" s="180"/>
      <c r="U11" s="179"/>
      <c r="V11" s="180"/>
      <c r="W11" s="179"/>
      <c r="X11" s="180"/>
      <c r="Y11" s="179"/>
      <c r="Z11" s="180"/>
      <c r="AA11" s="179"/>
      <c r="AB11" s="180"/>
      <c r="AC11" s="179"/>
      <c r="AD11" s="180"/>
      <c r="AE11" s="155"/>
      <c r="AG11" s="181"/>
      <c r="AH11" s="180"/>
    </row>
    <row r="12" spans="2:37" ht="15.75" x14ac:dyDescent="0.25">
      <c r="B12" s="170"/>
      <c r="D12" s="166" t="s">
        <v>56</v>
      </c>
      <c r="E12" s="167">
        <v>1267505.7149999999</v>
      </c>
      <c r="F12" s="168">
        <v>66.361764225437341</v>
      </c>
      <c r="G12" s="167">
        <v>1206765.7149999999</v>
      </c>
      <c r="H12" s="168">
        <v>66.783050469453684</v>
      </c>
      <c r="I12" s="167">
        <v>1364418.8949999998</v>
      </c>
      <c r="J12" s="168">
        <v>67.293140574331403</v>
      </c>
      <c r="K12" s="167">
        <v>1564125.0899999999</v>
      </c>
      <c r="L12" s="168">
        <v>66.912266809720833</v>
      </c>
      <c r="M12" s="167">
        <v>1593815.0899999999</v>
      </c>
      <c r="N12" s="168">
        <v>66.47610294731011</v>
      </c>
      <c r="O12" s="167">
        <v>1583305.0899999999</v>
      </c>
      <c r="P12" s="168">
        <v>66.649313261289052</v>
      </c>
      <c r="Q12" s="167">
        <v>1583304.8839999998</v>
      </c>
      <c r="R12" s="168">
        <v>66.773487215951022</v>
      </c>
      <c r="S12" s="167">
        <v>1582664.8839999998</v>
      </c>
      <c r="T12" s="168">
        <v>66.746496184564663</v>
      </c>
      <c r="U12" s="167">
        <v>1579134.8839999998</v>
      </c>
      <c r="V12" s="168">
        <v>66.964761648710564</v>
      </c>
      <c r="W12" s="167">
        <v>2553909.0499999998</v>
      </c>
      <c r="X12" s="168">
        <v>63.401412010154509</v>
      </c>
      <c r="Y12" s="167">
        <v>2131869.0499999998</v>
      </c>
      <c r="Z12" s="168">
        <v>64.736312378573984</v>
      </c>
      <c r="AA12" s="167">
        <v>764593.22</v>
      </c>
      <c r="AB12" s="168">
        <v>28.549220023613241</v>
      </c>
      <c r="AC12" s="167">
        <v>18775411.566999998</v>
      </c>
      <c r="AD12" s="168">
        <v>62.678223221654136</v>
      </c>
      <c r="AE12" s="155"/>
      <c r="AG12" s="169">
        <f ca="1">SUM(E57:INDIRECT("F57C"&amp;[1]Cabecera!$D$8,0))/1000</f>
        <v>18775.411566999999</v>
      </c>
      <c r="AH12" s="168"/>
      <c r="AK12" s="182"/>
    </row>
    <row r="13" spans="2:37" ht="15.75" x14ac:dyDescent="0.25">
      <c r="B13" s="170"/>
      <c r="C13" s="141">
        <v>100</v>
      </c>
      <c r="D13" s="166" t="s">
        <v>57</v>
      </c>
      <c r="E13" s="167">
        <v>107700</v>
      </c>
      <c r="F13" s="168">
        <v>5.6387611688832529</v>
      </c>
      <c r="G13" s="167">
        <v>93340</v>
      </c>
      <c r="H13" s="168">
        <v>5.1654847774812751</v>
      </c>
      <c r="I13" s="167">
        <v>92950</v>
      </c>
      <c r="J13" s="168">
        <v>4.58429404584294</v>
      </c>
      <c r="K13" s="167">
        <v>107250</v>
      </c>
      <c r="L13" s="168">
        <v>4.5880861199806979</v>
      </c>
      <c r="M13" s="167">
        <v>121550</v>
      </c>
      <c r="N13" s="168">
        <v>5.0697037341047793</v>
      </c>
      <c r="O13" s="167">
        <v>114080</v>
      </c>
      <c r="P13" s="168">
        <v>4.8022037602669831</v>
      </c>
      <c r="Q13" s="167">
        <v>114400</v>
      </c>
      <c r="R13" s="168">
        <v>4.8246468603104473</v>
      </c>
      <c r="S13" s="167">
        <v>114400</v>
      </c>
      <c r="T13" s="168">
        <v>4.8246468603104473</v>
      </c>
      <c r="U13" s="167">
        <v>106500</v>
      </c>
      <c r="V13" s="168">
        <v>4.5162368255222933</v>
      </c>
      <c r="W13" s="167">
        <v>107250</v>
      </c>
      <c r="X13" s="168">
        <v>2.6625072800024232</v>
      </c>
      <c r="Y13" s="167">
        <v>107400</v>
      </c>
      <c r="Z13" s="168">
        <v>3.2613072315388449</v>
      </c>
      <c r="AA13" s="167">
        <v>107100</v>
      </c>
      <c r="AB13" s="168">
        <v>3.9990172349801614</v>
      </c>
      <c r="AC13" s="167">
        <v>1293920</v>
      </c>
      <c r="AD13" s="168">
        <v>4.3195115218409708</v>
      </c>
      <c r="AE13" s="155"/>
      <c r="AG13" s="169">
        <f ca="1">SUM(E58:INDIRECT("F58C"&amp;[1]Cabecera!$D$8,0))/1000</f>
        <v>1293.92</v>
      </c>
      <c r="AH13" s="168"/>
      <c r="AJ13" s="183"/>
      <c r="AK13" s="184"/>
    </row>
    <row r="14" spans="2:37" ht="15.75" x14ac:dyDescent="0.25">
      <c r="B14" s="170"/>
      <c r="D14" s="185" t="s">
        <v>95</v>
      </c>
      <c r="E14" s="186">
        <v>0</v>
      </c>
      <c r="F14" s="187">
        <v>0</v>
      </c>
      <c r="G14" s="186">
        <v>0</v>
      </c>
      <c r="H14" s="187">
        <v>0</v>
      </c>
      <c r="I14" s="186">
        <v>0</v>
      </c>
      <c r="J14" s="187">
        <v>0</v>
      </c>
      <c r="K14" s="186">
        <v>0</v>
      </c>
      <c r="L14" s="187">
        <v>0</v>
      </c>
      <c r="M14" s="186">
        <v>0</v>
      </c>
      <c r="N14" s="187">
        <v>0</v>
      </c>
      <c r="O14" s="186">
        <v>0</v>
      </c>
      <c r="P14" s="187">
        <v>0</v>
      </c>
      <c r="Q14" s="186">
        <v>0</v>
      </c>
      <c r="R14" s="187">
        <v>0</v>
      </c>
      <c r="S14" s="186">
        <v>140000</v>
      </c>
      <c r="T14" s="187">
        <v>5.9042881157645333</v>
      </c>
      <c r="U14" s="186">
        <v>140000</v>
      </c>
      <c r="V14" s="187">
        <v>5.9368371415316536</v>
      </c>
      <c r="W14" s="186">
        <v>290000</v>
      </c>
      <c r="X14" s="187">
        <v>7.1993203841557358</v>
      </c>
      <c r="Y14" s="186">
        <v>290000</v>
      </c>
      <c r="Z14" s="187">
        <v>8.8061368449372921</v>
      </c>
      <c r="AA14" s="186">
        <v>1240000</v>
      </c>
      <c r="AB14" s="187">
        <v>46.300479658033616</v>
      </c>
      <c r="AC14" s="186">
        <v>2100000</v>
      </c>
      <c r="AD14" s="187">
        <v>7.0104598397629214</v>
      </c>
      <c r="AE14" s="155"/>
      <c r="AG14" s="188">
        <f ca="1">SUM(E59:INDIRECT("F59C"&amp;[1]Cabecera!$D$8,0))/1000</f>
        <v>2100</v>
      </c>
      <c r="AH14" s="187"/>
      <c r="AK14" s="189"/>
    </row>
    <row r="15" spans="2:37" ht="15.75" x14ac:dyDescent="0.25">
      <c r="B15" s="170"/>
      <c r="D15" s="166"/>
      <c r="E15" s="167"/>
      <c r="F15" s="168"/>
      <c r="G15" s="167"/>
      <c r="H15" s="168"/>
      <c r="I15" s="167"/>
      <c r="J15" s="168"/>
      <c r="K15" s="167"/>
      <c r="L15" s="168"/>
      <c r="M15" s="167"/>
      <c r="N15" s="168"/>
      <c r="O15" s="167"/>
      <c r="P15" s="168"/>
      <c r="Q15" s="167"/>
      <c r="R15" s="168"/>
      <c r="S15" s="167"/>
      <c r="T15" s="168"/>
      <c r="U15" s="167"/>
      <c r="V15" s="168"/>
      <c r="W15" s="167"/>
      <c r="X15" s="168"/>
      <c r="Y15" s="167"/>
      <c r="Z15" s="168"/>
      <c r="AA15" s="167"/>
      <c r="AB15" s="168"/>
      <c r="AC15" s="167"/>
      <c r="AD15" s="168"/>
      <c r="AE15" s="155"/>
      <c r="AG15" s="169"/>
      <c r="AH15" s="168"/>
    </row>
    <row r="16" spans="2:37" s="178" customFormat="1" ht="15.75" x14ac:dyDescent="0.25">
      <c r="B16" s="170"/>
      <c r="C16" s="171">
        <v>100</v>
      </c>
      <c r="D16" s="172" t="s">
        <v>96</v>
      </c>
      <c r="E16" s="173">
        <v>1375205.7149999999</v>
      </c>
      <c r="F16" s="174">
        <v>72.000525394320604</v>
      </c>
      <c r="G16" s="173">
        <v>1300105.7149999999</v>
      </c>
      <c r="H16" s="174">
        <v>71.948535246934952</v>
      </c>
      <c r="I16" s="173">
        <v>1457368.8949999998</v>
      </c>
      <c r="J16" s="174">
        <v>71.877434620174341</v>
      </c>
      <c r="K16" s="173">
        <v>1671375.0899999999</v>
      </c>
      <c r="L16" s="174">
        <v>71.500352929701521</v>
      </c>
      <c r="M16" s="173">
        <v>1715365.0899999999</v>
      </c>
      <c r="N16" s="174">
        <v>71.545806681414888</v>
      </c>
      <c r="O16" s="173">
        <v>1697385.0899999999</v>
      </c>
      <c r="P16" s="174">
        <v>71.451517021556029</v>
      </c>
      <c r="Q16" s="173">
        <v>1697704.8839999998</v>
      </c>
      <c r="R16" s="174">
        <v>71.598134076261459</v>
      </c>
      <c r="S16" s="173">
        <v>1837064.8839999998</v>
      </c>
      <c r="T16" s="174">
        <v>77.475431160639658</v>
      </c>
      <c r="U16" s="173">
        <v>1825634.8839999998</v>
      </c>
      <c r="V16" s="174">
        <v>77.417835615764503</v>
      </c>
      <c r="W16" s="173">
        <v>2951159.05</v>
      </c>
      <c r="X16" s="174">
        <v>73.263239674312672</v>
      </c>
      <c r="Y16" s="173">
        <v>2529269.0499999998</v>
      </c>
      <c r="Z16" s="174">
        <v>76.803756455050134</v>
      </c>
      <c r="AA16" s="173">
        <v>2111693.2199999997</v>
      </c>
      <c r="AB16" s="174">
        <v>78.848716916627012</v>
      </c>
      <c r="AC16" s="173">
        <v>22169331.566999998</v>
      </c>
      <c r="AD16" s="174">
        <v>74.008194583258032</v>
      </c>
      <c r="AE16" s="155"/>
      <c r="AF16" s="175"/>
      <c r="AG16" s="176"/>
      <c r="AH16" s="174"/>
      <c r="AI16" s="177"/>
    </row>
    <row r="17" spans="2:34" ht="15.75" x14ac:dyDescent="0.25">
      <c r="B17" s="170"/>
      <c r="D17" s="166"/>
      <c r="E17" s="167"/>
      <c r="F17" s="168"/>
      <c r="G17" s="167"/>
      <c r="H17" s="168"/>
      <c r="I17" s="167"/>
      <c r="J17" s="168"/>
      <c r="K17" s="167"/>
      <c r="L17" s="168"/>
      <c r="M17" s="167"/>
      <c r="N17" s="168"/>
      <c r="O17" s="167"/>
      <c r="P17" s="168"/>
      <c r="Q17" s="167"/>
      <c r="R17" s="168"/>
      <c r="S17" s="167"/>
      <c r="T17" s="168"/>
      <c r="U17" s="167"/>
      <c r="V17" s="168"/>
      <c r="W17" s="167"/>
      <c r="X17" s="168"/>
      <c r="Y17" s="167"/>
      <c r="Z17" s="168"/>
      <c r="AA17" s="167"/>
      <c r="AB17" s="168"/>
      <c r="AC17" s="167"/>
      <c r="AD17" s="168"/>
      <c r="AE17" s="155"/>
      <c r="AG17" s="169"/>
      <c r="AH17" s="168"/>
    </row>
    <row r="18" spans="2:34" ht="15.75" x14ac:dyDescent="0.25">
      <c r="B18" s="170"/>
      <c r="D18" s="172" t="s">
        <v>97</v>
      </c>
      <c r="E18" s="173">
        <v>534788.28500000015</v>
      </c>
      <c r="F18" s="174">
        <v>27.999474605679396</v>
      </c>
      <c r="G18" s="173">
        <v>506888.28500000015</v>
      </c>
      <c r="H18" s="174">
        <v>28.051464753065041</v>
      </c>
      <c r="I18" s="173">
        <v>570206.10500000021</v>
      </c>
      <c r="J18" s="174">
        <v>28.122565379825666</v>
      </c>
      <c r="K18" s="173">
        <v>666200.91000000015</v>
      </c>
      <c r="L18" s="174">
        <v>28.499647070298469</v>
      </c>
      <c r="M18" s="173">
        <v>682210.91000000015</v>
      </c>
      <c r="N18" s="174">
        <v>28.454193318585109</v>
      </c>
      <c r="O18" s="173">
        <v>678190.91000000015</v>
      </c>
      <c r="P18" s="174">
        <v>28.548482978443975</v>
      </c>
      <c r="Q18" s="173">
        <v>673453.11600000015</v>
      </c>
      <c r="R18" s="174">
        <v>28.401865923738534</v>
      </c>
      <c r="S18" s="173">
        <v>534093.11600000015</v>
      </c>
      <c r="T18" s="174">
        <v>22.524568839360352</v>
      </c>
      <c r="U18" s="173">
        <v>532523.11600000015</v>
      </c>
      <c r="V18" s="174">
        <v>22.582164384235497</v>
      </c>
      <c r="W18" s="173">
        <v>1076998.9500000002</v>
      </c>
      <c r="X18" s="174">
        <v>26.736760325687332</v>
      </c>
      <c r="Y18" s="173">
        <v>763888.95000000019</v>
      </c>
      <c r="Z18" s="174">
        <v>23.196243544949869</v>
      </c>
      <c r="AA18" s="173">
        <v>566464.78000000026</v>
      </c>
      <c r="AB18" s="174">
        <v>21.151283083372984</v>
      </c>
      <c r="AC18" s="173">
        <v>7785907.4330000021</v>
      </c>
      <c r="AD18" s="174">
        <v>25.991805416741965</v>
      </c>
      <c r="AE18" s="155"/>
      <c r="AG18" s="176"/>
      <c r="AH18" s="174"/>
    </row>
    <row r="19" spans="2:34" ht="8.25" customHeight="1" x14ac:dyDescent="0.25">
      <c r="B19" s="170"/>
      <c r="D19" s="190"/>
      <c r="E19" s="191"/>
      <c r="F19" s="192"/>
      <c r="G19" s="191"/>
      <c r="H19" s="192"/>
      <c r="I19" s="191"/>
      <c r="J19" s="192"/>
      <c r="K19" s="191"/>
      <c r="L19" s="192"/>
      <c r="M19" s="191"/>
      <c r="N19" s="192"/>
      <c r="O19" s="191"/>
      <c r="P19" s="192"/>
      <c r="Q19" s="191"/>
      <c r="R19" s="192"/>
      <c r="S19" s="191"/>
      <c r="T19" s="192"/>
      <c r="U19" s="191"/>
      <c r="V19" s="192"/>
      <c r="W19" s="191"/>
      <c r="X19" s="192"/>
      <c r="Y19" s="191"/>
      <c r="Z19" s="192"/>
      <c r="AA19" s="191"/>
      <c r="AB19" s="192"/>
      <c r="AC19" s="191"/>
      <c r="AD19" s="192"/>
      <c r="AE19" s="155"/>
      <c r="AG19" s="193"/>
      <c r="AH19" s="192"/>
    </row>
    <row r="20" spans="2:34" ht="15.75" x14ac:dyDescent="0.25">
      <c r="B20" s="194"/>
      <c r="C20" s="141">
        <v>500</v>
      </c>
      <c r="D20" s="195" t="s">
        <v>59</v>
      </c>
      <c r="E20" s="167">
        <v>50424.904991999996</v>
      </c>
      <c r="F20" s="168">
        <v>2.6400556751487176</v>
      </c>
      <c r="G20" s="167">
        <v>50424.904991999996</v>
      </c>
      <c r="H20" s="168">
        <v>2.7905408093220005</v>
      </c>
      <c r="I20" s="167">
        <v>50424.904991999996</v>
      </c>
      <c r="J20" s="168">
        <v>2.4869563390750029</v>
      </c>
      <c r="K20" s="167">
        <v>50424.904991999996</v>
      </c>
      <c r="L20" s="168">
        <v>2.1571450507705414</v>
      </c>
      <c r="M20" s="167">
        <v>50424.904991999996</v>
      </c>
      <c r="N20" s="168">
        <v>2.1031619015205356</v>
      </c>
      <c r="O20" s="167">
        <v>50424.904991999996</v>
      </c>
      <c r="P20" s="168">
        <v>2.1226390985596755</v>
      </c>
      <c r="Q20" s="167">
        <v>50424.904991999996</v>
      </c>
      <c r="R20" s="168">
        <v>2.1265940520201521</v>
      </c>
      <c r="S20" s="167">
        <v>50424.904991999996</v>
      </c>
      <c r="T20" s="168">
        <v>2.1265940520201521</v>
      </c>
      <c r="U20" s="167">
        <v>50424.904991999996</v>
      </c>
      <c r="V20" s="168">
        <v>2.138317491533646</v>
      </c>
      <c r="W20" s="167">
        <v>50424.904991999996</v>
      </c>
      <c r="X20" s="168">
        <v>1.2518105047517996</v>
      </c>
      <c r="Y20" s="167">
        <v>50424.904991999996</v>
      </c>
      <c r="Z20" s="168">
        <v>1.5312021163879777</v>
      </c>
      <c r="AA20" s="167">
        <v>50424.904991999996</v>
      </c>
      <c r="AB20" s="168">
        <v>1.8828203934196561</v>
      </c>
      <c r="AC20" s="167">
        <v>605098.85990399984</v>
      </c>
      <c r="AD20" s="168">
        <v>2.0200101221158668</v>
      </c>
      <c r="AE20" s="155"/>
      <c r="AG20" s="169">
        <f ca="1">SUM(E65:INDIRECT("F65C"&amp;[1]Cabecera!$D$8,0))/1000</f>
        <v>605.09885990399982</v>
      </c>
      <c r="AH20" s="168"/>
    </row>
    <row r="21" spans="2:34" ht="15.75" x14ac:dyDescent="0.25">
      <c r="B21" s="194"/>
      <c r="C21" s="141">
        <v>600</v>
      </c>
      <c r="D21" s="195" t="s">
        <v>60</v>
      </c>
      <c r="E21" s="167">
        <v>127840.06286979167</v>
      </c>
      <c r="F21" s="168">
        <v>6.6932180347054322</v>
      </c>
      <c r="G21" s="167">
        <v>127840.06286979167</v>
      </c>
      <c r="H21" s="168">
        <v>7.0747364335350129</v>
      </c>
      <c r="I21" s="167">
        <v>127840.06286979167</v>
      </c>
      <c r="J21" s="168">
        <v>6.3050719637888442</v>
      </c>
      <c r="K21" s="167">
        <v>127840.06286979167</v>
      </c>
      <c r="L21" s="168">
        <v>5.4689157858307782</v>
      </c>
      <c r="M21" s="167">
        <v>127840.06286979167</v>
      </c>
      <c r="N21" s="168">
        <v>5.3320546614493836</v>
      </c>
      <c r="O21" s="167">
        <v>127840.06286979167</v>
      </c>
      <c r="P21" s="168">
        <v>5.3814343498078641</v>
      </c>
      <c r="Q21" s="167">
        <v>127840.06286979167</v>
      </c>
      <c r="R21" s="168">
        <v>5.391461170862156</v>
      </c>
      <c r="S21" s="167">
        <v>127840.06286979167</v>
      </c>
      <c r="T21" s="168">
        <v>5.391461170862156</v>
      </c>
      <c r="U21" s="167">
        <v>127840.06286979167</v>
      </c>
      <c r="V21" s="168">
        <v>5.4211830958651488</v>
      </c>
      <c r="W21" s="167">
        <v>127840.06286979167</v>
      </c>
      <c r="X21" s="168">
        <v>3.1736605880353173</v>
      </c>
      <c r="Y21" s="167">
        <v>127840.06286979167</v>
      </c>
      <c r="Z21" s="168">
        <v>3.8819899582647319</v>
      </c>
      <c r="AA21" s="167">
        <v>127840.06286979167</v>
      </c>
      <c r="AB21" s="168">
        <v>4.773432443858491</v>
      </c>
      <c r="AC21" s="167">
        <v>1534080.7544374999</v>
      </c>
      <c r="AD21" s="168">
        <v>5.1212435809225223</v>
      </c>
      <c r="AE21" s="155"/>
      <c r="AG21" s="169">
        <f ca="1">SUM(E66:INDIRECT("F66C"&amp;[1]Cabecera!$D$8,0))/1000</f>
        <v>1534.0807544375</v>
      </c>
      <c r="AH21" s="168"/>
    </row>
    <row r="22" spans="2:34" ht="15.75" x14ac:dyDescent="0.25">
      <c r="B22" s="194"/>
      <c r="C22" s="141">
        <v>700</v>
      </c>
      <c r="D22" s="195" t="s">
        <v>61</v>
      </c>
      <c r="E22" s="167">
        <v>3000</v>
      </c>
      <c r="F22" s="168">
        <v>0.15706855623630231</v>
      </c>
      <c r="G22" s="167">
        <v>3000</v>
      </c>
      <c r="H22" s="168">
        <v>0.16602158059185587</v>
      </c>
      <c r="I22" s="167">
        <v>3000</v>
      </c>
      <c r="J22" s="168">
        <v>0.14796000147960001</v>
      </c>
      <c r="K22" s="167">
        <v>3000</v>
      </c>
      <c r="L22" s="168">
        <v>0.12833807328617336</v>
      </c>
      <c r="M22" s="167">
        <v>3000</v>
      </c>
      <c r="N22" s="168">
        <v>0.12512637764141782</v>
      </c>
      <c r="O22" s="167">
        <v>3000</v>
      </c>
      <c r="P22" s="168">
        <v>0.12628516199860582</v>
      </c>
      <c r="Q22" s="167">
        <v>3000</v>
      </c>
      <c r="R22" s="168">
        <v>0.12652045962352571</v>
      </c>
      <c r="S22" s="167">
        <v>3000</v>
      </c>
      <c r="T22" s="168">
        <v>0.12652045962352571</v>
      </c>
      <c r="U22" s="167">
        <v>3000</v>
      </c>
      <c r="V22" s="168">
        <v>0.12721793874710685</v>
      </c>
      <c r="W22" s="167">
        <v>3000</v>
      </c>
      <c r="X22" s="168">
        <v>7.4475728111955894E-2</v>
      </c>
      <c r="Y22" s="167">
        <v>3000</v>
      </c>
      <c r="Z22" s="168">
        <v>9.1097967361420257E-2</v>
      </c>
      <c r="AA22" s="167">
        <v>3000</v>
      </c>
      <c r="AB22" s="168">
        <v>0.11201728949524262</v>
      </c>
      <c r="AC22" s="167">
        <v>36000</v>
      </c>
      <c r="AD22" s="168">
        <v>0.12017931153879292</v>
      </c>
      <c r="AE22" s="155"/>
      <c r="AG22" s="169">
        <f ca="1">SUM(E67:INDIRECT("F67C"&amp;[1]Cabecera!$D$8,0))/1000</f>
        <v>36</v>
      </c>
      <c r="AH22" s="168"/>
    </row>
    <row r="23" spans="2:34" ht="15.75" x14ac:dyDescent="0.25">
      <c r="B23" s="194"/>
      <c r="C23" s="141">
        <v>800</v>
      </c>
      <c r="D23" s="195" t="s">
        <v>62</v>
      </c>
      <c r="E23" s="167">
        <v>10000</v>
      </c>
      <c r="F23" s="168">
        <v>0.52356185412100764</v>
      </c>
      <c r="G23" s="167">
        <v>10000</v>
      </c>
      <c r="H23" s="168">
        <v>0.55340526863951955</v>
      </c>
      <c r="I23" s="167">
        <v>10000</v>
      </c>
      <c r="J23" s="168">
        <v>0.493200004932</v>
      </c>
      <c r="K23" s="167">
        <v>10000</v>
      </c>
      <c r="L23" s="168">
        <v>0.42779357762057796</v>
      </c>
      <c r="M23" s="167">
        <v>10000</v>
      </c>
      <c r="N23" s="168">
        <v>0.41708792547139278</v>
      </c>
      <c r="O23" s="167">
        <v>10000</v>
      </c>
      <c r="P23" s="168">
        <v>0.42095053999535276</v>
      </c>
      <c r="Q23" s="167">
        <v>10000</v>
      </c>
      <c r="R23" s="168">
        <v>0.42173486541175242</v>
      </c>
      <c r="S23" s="167">
        <v>10000</v>
      </c>
      <c r="T23" s="168">
        <v>0.42173486541175242</v>
      </c>
      <c r="U23" s="167">
        <v>10000</v>
      </c>
      <c r="V23" s="168">
        <v>0.42405979582368947</v>
      </c>
      <c r="W23" s="167">
        <v>10000</v>
      </c>
      <c r="X23" s="168">
        <v>0.24825242703985292</v>
      </c>
      <c r="Y23" s="167">
        <v>10000</v>
      </c>
      <c r="Z23" s="168">
        <v>0.30365989120473419</v>
      </c>
      <c r="AA23" s="167">
        <v>10000</v>
      </c>
      <c r="AB23" s="168">
        <v>0.37339096498414209</v>
      </c>
      <c r="AC23" s="167">
        <v>120000</v>
      </c>
      <c r="AD23" s="168">
        <v>0.40059770512930976</v>
      </c>
      <c r="AE23" s="155"/>
      <c r="AG23" s="169">
        <f ca="1">SUM(E68:INDIRECT("F68C"&amp;[1]Cabecera!$D$8,0))/1000</f>
        <v>120</v>
      </c>
      <c r="AH23" s="168"/>
    </row>
    <row r="24" spans="2:34" ht="15.75" x14ac:dyDescent="0.25">
      <c r="B24" s="194"/>
      <c r="D24" s="196" t="s">
        <v>95</v>
      </c>
      <c r="E24" s="186">
        <v>10000</v>
      </c>
      <c r="F24" s="187">
        <v>0.52356185412100764</v>
      </c>
      <c r="G24" s="186">
        <v>10000</v>
      </c>
      <c r="H24" s="187">
        <v>0.55340526863951955</v>
      </c>
      <c r="I24" s="186">
        <v>10000</v>
      </c>
      <c r="J24" s="187">
        <v>0.493200004932</v>
      </c>
      <c r="K24" s="186">
        <v>90000</v>
      </c>
      <c r="L24" s="187">
        <v>3.8501421985852011</v>
      </c>
      <c r="M24" s="186">
        <v>10000</v>
      </c>
      <c r="N24" s="187">
        <v>0.41708792547139278</v>
      </c>
      <c r="O24" s="186">
        <v>10000</v>
      </c>
      <c r="P24" s="187">
        <v>0.42095053999535276</v>
      </c>
      <c r="Q24" s="186">
        <v>10000</v>
      </c>
      <c r="R24" s="187">
        <v>0.42173486541175242</v>
      </c>
      <c r="S24" s="186">
        <v>120000</v>
      </c>
      <c r="T24" s="187">
        <v>5.0608183849410286</v>
      </c>
      <c r="U24" s="186">
        <v>40000</v>
      </c>
      <c r="V24" s="187">
        <v>1.6962391832947579</v>
      </c>
      <c r="W24" s="186">
        <v>120000</v>
      </c>
      <c r="X24" s="187">
        <v>2.9790291244782354</v>
      </c>
      <c r="Y24" s="186">
        <v>40000</v>
      </c>
      <c r="Z24" s="187">
        <v>1.2146395648189368</v>
      </c>
      <c r="AA24" s="186">
        <v>150000</v>
      </c>
      <c r="AB24" s="187">
        <v>5.6008644747621315</v>
      </c>
      <c r="AC24" s="186">
        <v>620000</v>
      </c>
      <c r="AD24" s="187">
        <v>2.0697548098347669</v>
      </c>
      <c r="AE24" s="155"/>
      <c r="AG24" s="188">
        <f ca="1">SUM(E69:INDIRECT("F69C"&amp;[1]Cabecera!$D$8,0))/1000</f>
        <v>620</v>
      </c>
      <c r="AH24" s="187"/>
    </row>
    <row r="25" spans="2:34" ht="11.25" customHeight="1" x14ac:dyDescent="0.25">
      <c r="B25" s="194"/>
      <c r="D25" s="197"/>
      <c r="E25" s="167"/>
      <c r="F25" s="168"/>
      <c r="G25" s="167"/>
      <c r="H25" s="168"/>
      <c r="I25" s="167"/>
      <c r="J25" s="168"/>
      <c r="K25" s="167"/>
      <c r="L25" s="168"/>
      <c r="M25" s="167"/>
      <c r="N25" s="168"/>
      <c r="O25" s="167"/>
      <c r="P25" s="168"/>
      <c r="Q25" s="167"/>
      <c r="R25" s="168"/>
      <c r="S25" s="167"/>
      <c r="T25" s="168"/>
      <c r="U25" s="167"/>
      <c r="V25" s="168"/>
      <c r="W25" s="167"/>
      <c r="X25" s="168"/>
      <c r="Y25" s="167"/>
      <c r="Z25" s="168"/>
      <c r="AA25" s="167"/>
      <c r="AB25" s="168"/>
      <c r="AC25" s="167"/>
      <c r="AD25" s="168"/>
      <c r="AE25" s="155"/>
      <c r="AG25" s="169"/>
      <c r="AH25" s="168"/>
    </row>
    <row r="26" spans="2:34" ht="15.75" x14ac:dyDescent="0.25">
      <c r="B26" s="170"/>
      <c r="D26" s="198" t="s">
        <v>98</v>
      </c>
      <c r="E26" s="167">
        <v>201264.96786179167</v>
      </c>
      <c r="F26" s="180">
        <v>10.537465974332468</v>
      </c>
      <c r="G26" s="167">
        <v>201264.96786179167</v>
      </c>
      <c r="H26" s="180">
        <v>11.138109360727908</v>
      </c>
      <c r="I26" s="167">
        <v>201264.96786179167</v>
      </c>
      <c r="J26" s="180">
        <v>9.9263883142074469</v>
      </c>
      <c r="K26" s="167">
        <v>281264.96786179167</v>
      </c>
      <c r="L26" s="180">
        <v>12.032334686093273</v>
      </c>
      <c r="M26" s="167">
        <v>201264.96786179167</v>
      </c>
      <c r="N26" s="180">
        <v>8.3945187915541233</v>
      </c>
      <c r="O26" s="167">
        <v>201264.96786179167</v>
      </c>
      <c r="P26" s="180">
        <v>8.4722596903568501</v>
      </c>
      <c r="Q26" s="167">
        <v>201264.96786179167</v>
      </c>
      <c r="R26" s="180">
        <v>8.4880454133293384</v>
      </c>
      <c r="S26" s="167">
        <v>311264.96786179167</v>
      </c>
      <c r="T26" s="180">
        <v>13.127128932858614</v>
      </c>
      <c r="U26" s="167">
        <v>231264.96786179167</v>
      </c>
      <c r="V26" s="180">
        <v>9.8070175052643478</v>
      </c>
      <c r="W26" s="167">
        <v>311264.96786179167</v>
      </c>
      <c r="X26" s="180">
        <v>7.7272283724171604</v>
      </c>
      <c r="Y26" s="167">
        <v>231264.96786179167</v>
      </c>
      <c r="Z26" s="180">
        <v>7.0225894980377994</v>
      </c>
      <c r="AA26" s="167">
        <v>341264.96786179167</v>
      </c>
      <c r="AB26" s="180">
        <v>12.742525566519664</v>
      </c>
      <c r="AC26" s="167">
        <v>2915179.6143414997</v>
      </c>
      <c r="AD26" s="180">
        <v>9.7317855295412592</v>
      </c>
      <c r="AE26" s="155"/>
      <c r="AG26" s="169"/>
      <c r="AH26" s="180"/>
    </row>
    <row r="27" spans="2:34" ht="6.75" customHeight="1" x14ac:dyDescent="0.25">
      <c r="B27" s="170"/>
      <c r="D27" s="199"/>
      <c r="E27" s="200"/>
      <c r="F27" s="201"/>
      <c r="G27" s="200"/>
      <c r="H27" s="201"/>
      <c r="I27" s="200"/>
      <c r="J27" s="201"/>
      <c r="K27" s="200"/>
      <c r="L27" s="201"/>
      <c r="M27" s="200"/>
      <c r="N27" s="201"/>
      <c r="O27" s="200"/>
      <c r="P27" s="201"/>
      <c r="Q27" s="200"/>
      <c r="R27" s="201"/>
      <c r="S27" s="200"/>
      <c r="T27" s="201"/>
      <c r="U27" s="200"/>
      <c r="V27" s="201"/>
      <c r="W27" s="200"/>
      <c r="X27" s="201"/>
      <c r="Y27" s="200"/>
      <c r="Z27" s="201"/>
      <c r="AA27" s="200"/>
      <c r="AB27" s="201"/>
      <c r="AC27" s="200"/>
      <c r="AD27" s="201"/>
      <c r="AE27" s="155"/>
      <c r="AG27" s="202"/>
      <c r="AH27" s="201"/>
    </row>
    <row r="28" spans="2:34" ht="15.75" x14ac:dyDescent="0.25">
      <c r="B28" s="170"/>
      <c r="D28" s="203" t="s">
        <v>99</v>
      </c>
      <c r="E28" s="173">
        <v>333523.31713820848</v>
      </c>
      <c r="F28" s="174">
        <v>17.462008631346933</v>
      </c>
      <c r="G28" s="173">
        <v>305623.31713820848</v>
      </c>
      <c r="H28" s="174">
        <v>16.913355392337134</v>
      </c>
      <c r="I28" s="173">
        <v>368941.13713820855</v>
      </c>
      <c r="J28" s="174">
        <v>18.196177065618215</v>
      </c>
      <c r="K28" s="173">
        <v>384935.94213820848</v>
      </c>
      <c r="L28" s="174">
        <v>16.467312384205197</v>
      </c>
      <c r="M28" s="173">
        <v>480945.94213820848</v>
      </c>
      <c r="N28" s="174">
        <v>20.059674527030989</v>
      </c>
      <c r="O28" s="173">
        <v>476925.94213820848</v>
      </c>
      <c r="P28" s="174">
        <v>20.076223288087121</v>
      </c>
      <c r="Q28" s="173">
        <v>472188.14813820849</v>
      </c>
      <c r="R28" s="174">
        <v>19.913820510409195</v>
      </c>
      <c r="S28" s="173">
        <v>222828.14813820849</v>
      </c>
      <c r="T28" s="174">
        <v>9.397439906501738</v>
      </c>
      <c r="U28" s="173">
        <v>301258.14813820849</v>
      </c>
      <c r="V28" s="174">
        <v>12.77514687897115</v>
      </c>
      <c r="W28" s="173">
        <v>765733.98213820858</v>
      </c>
      <c r="X28" s="174">
        <v>19.009531953270169</v>
      </c>
      <c r="Y28" s="173">
        <v>532623.98213820858</v>
      </c>
      <c r="Z28" s="174">
        <v>16.17365404691207</v>
      </c>
      <c r="AA28" s="173">
        <v>225199.8121382086</v>
      </c>
      <c r="AB28" s="174">
        <v>8.4087575168533224</v>
      </c>
      <c r="AC28" s="173">
        <v>4870727.8186585028</v>
      </c>
      <c r="AD28" s="174">
        <v>16.260019887200709</v>
      </c>
      <c r="AE28" s="155"/>
      <c r="AG28" s="176"/>
      <c r="AH28" s="174"/>
    </row>
    <row r="29" spans="2:34" ht="9.75" customHeight="1" x14ac:dyDescent="0.25">
      <c r="B29" s="170"/>
      <c r="D29" s="204"/>
      <c r="E29" s="167"/>
      <c r="F29" s="168"/>
      <c r="G29" s="167"/>
      <c r="H29" s="168"/>
      <c r="I29" s="167"/>
      <c r="J29" s="168"/>
      <c r="K29" s="167"/>
      <c r="L29" s="168"/>
      <c r="M29" s="167"/>
      <c r="N29" s="168"/>
      <c r="O29" s="167"/>
      <c r="P29" s="168"/>
      <c r="Q29" s="167"/>
      <c r="R29" s="168"/>
      <c r="S29" s="167"/>
      <c r="T29" s="168"/>
      <c r="U29" s="167"/>
      <c r="V29" s="168"/>
      <c r="W29" s="167"/>
      <c r="X29" s="168"/>
      <c r="Y29" s="167"/>
      <c r="Z29" s="168"/>
      <c r="AA29" s="167"/>
      <c r="AB29" s="168"/>
      <c r="AC29" s="167"/>
      <c r="AD29" s="168"/>
      <c r="AE29" s="155"/>
      <c r="AG29" s="169"/>
      <c r="AH29" s="168"/>
    </row>
    <row r="30" spans="2:34" ht="15.75" x14ac:dyDescent="0.25">
      <c r="B30" s="194"/>
      <c r="C30" s="141">
        <v>900</v>
      </c>
      <c r="D30" s="89" t="s">
        <v>65</v>
      </c>
      <c r="E30" s="167">
        <v>5000</v>
      </c>
      <c r="F30" s="168">
        <v>0.26178092706050382</v>
      </c>
      <c r="G30" s="167">
        <v>5000</v>
      </c>
      <c r="H30" s="168">
        <v>0.27670263431975978</v>
      </c>
      <c r="I30" s="167">
        <v>5000</v>
      </c>
      <c r="J30" s="168">
        <v>0.246600002466</v>
      </c>
      <c r="K30" s="167">
        <v>5000</v>
      </c>
      <c r="L30" s="168">
        <v>0.21389678881028898</v>
      </c>
      <c r="M30" s="167">
        <v>5000</v>
      </c>
      <c r="N30" s="168">
        <v>0.20854396273569639</v>
      </c>
      <c r="O30" s="167">
        <v>5000</v>
      </c>
      <c r="P30" s="168">
        <v>0.21047526999767638</v>
      </c>
      <c r="Q30" s="167">
        <v>5000</v>
      </c>
      <c r="R30" s="168">
        <v>0.21086743270587621</v>
      </c>
      <c r="S30" s="167">
        <v>5000</v>
      </c>
      <c r="T30" s="168">
        <v>0.21086743270587621</v>
      </c>
      <c r="U30" s="167">
        <v>5000</v>
      </c>
      <c r="V30" s="168">
        <v>0.21202989791184473</v>
      </c>
      <c r="W30" s="167">
        <v>5000</v>
      </c>
      <c r="X30" s="168">
        <v>0.12412621351992646</v>
      </c>
      <c r="Y30" s="167">
        <v>5000</v>
      </c>
      <c r="Z30" s="168">
        <v>0.15182994560236709</v>
      </c>
      <c r="AA30" s="167">
        <v>5000</v>
      </c>
      <c r="AB30" s="168">
        <v>0.18669548249207105</v>
      </c>
      <c r="AC30" s="167">
        <v>60000</v>
      </c>
      <c r="AD30" s="168">
        <v>0.20029885256465488</v>
      </c>
      <c r="AE30" s="155"/>
      <c r="AG30" s="169">
        <f ca="1">SUM(E75:INDIRECT("F75C"&amp;[1]Cabecera!$D$8,0))/1000</f>
        <v>60</v>
      </c>
      <c r="AH30" s="168"/>
    </row>
    <row r="31" spans="2:34" ht="15.75" x14ac:dyDescent="0.25">
      <c r="B31" s="194"/>
      <c r="C31" s="141">
        <v>1000</v>
      </c>
      <c r="D31" s="89" t="s">
        <v>66</v>
      </c>
      <c r="E31" s="167"/>
      <c r="F31" s="168">
        <v>0</v>
      </c>
      <c r="G31" s="167"/>
      <c r="H31" s="168">
        <v>0</v>
      </c>
      <c r="I31" s="167"/>
      <c r="J31" s="168">
        <v>0</v>
      </c>
      <c r="K31" s="167"/>
      <c r="L31" s="168">
        <v>0</v>
      </c>
      <c r="M31" s="167"/>
      <c r="N31" s="168">
        <v>0</v>
      </c>
      <c r="O31" s="167"/>
      <c r="P31" s="168">
        <v>0</v>
      </c>
      <c r="Q31" s="167"/>
      <c r="R31" s="168">
        <v>0</v>
      </c>
      <c r="S31" s="167"/>
      <c r="T31" s="168">
        <v>0</v>
      </c>
      <c r="U31" s="167"/>
      <c r="V31" s="168">
        <v>0</v>
      </c>
      <c r="W31" s="167"/>
      <c r="X31" s="168">
        <v>0</v>
      </c>
      <c r="Y31" s="167"/>
      <c r="Z31" s="168">
        <v>0</v>
      </c>
      <c r="AA31" s="167"/>
      <c r="AB31" s="168">
        <v>0</v>
      </c>
      <c r="AC31" s="167">
        <v>0</v>
      </c>
      <c r="AD31" s="168">
        <v>0</v>
      </c>
      <c r="AE31" s="155"/>
      <c r="AG31" s="169">
        <f ca="1">SUM(E76:INDIRECT("F76C"&amp;[1]Cabecera!$D$8,0))/1000</f>
        <v>0</v>
      </c>
      <c r="AH31" s="168"/>
    </row>
    <row r="32" spans="2:34" ht="15.75" x14ac:dyDescent="0.25">
      <c r="B32" s="194"/>
      <c r="C32" s="141">
        <v>1200</v>
      </c>
      <c r="D32" s="89" t="s">
        <v>67</v>
      </c>
      <c r="E32" s="200">
        <v>6000</v>
      </c>
      <c r="F32" s="201">
        <v>0.31413711247260462</v>
      </c>
      <c r="G32" s="200">
        <v>6000</v>
      </c>
      <c r="H32" s="201">
        <v>0.33204316118371174</v>
      </c>
      <c r="I32" s="200">
        <v>6000</v>
      </c>
      <c r="J32" s="201">
        <v>0.29592000295920001</v>
      </c>
      <c r="K32" s="200">
        <v>6000</v>
      </c>
      <c r="L32" s="201">
        <v>0.25667614657234672</v>
      </c>
      <c r="M32" s="200">
        <v>6000</v>
      </c>
      <c r="N32" s="201">
        <v>0.25025275528283564</v>
      </c>
      <c r="O32" s="200">
        <v>6000</v>
      </c>
      <c r="P32" s="201">
        <v>0.25257032399721163</v>
      </c>
      <c r="Q32" s="200">
        <v>6000</v>
      </c>
      <c r="R32" s="201">
        <v>0.25304091924705141</v>
      </c>
      <c r="S32" s="200">
        <v>6000</v>
      </c>
      <c r="T32" s="201">
        <v>0.25304091924705141</v>
      </c>
      <c r="U32" s="200">
        <v>6000</v>
      </c>
      <c r="V32" s="201">
        <v>0.2544358774942137</v>
      </c>
      <c r="W32" s="200">
        <v>6000</v>
      </c>
      <c r="X32" s="201">
        <v>0.14895145622391179</v>
      </c>
      <c r="Y32" s="200">
        <v>6000</v>
      </c>
      <c r="Z32" s="201">
        <v>0.18219593472284051</v>
      </c>
      <c r="AA32" s="200">
        <v>6000</v>
      </c>
      <c r="AB32" s="201">
        <v>0.22403457899048523</v>
      </c>
      <c r="AC32" s="200">
        <v>72000</v>
      </c>
      <c r="AD32" s="201">
        <v>0.24035862307758585</v>
      </c>
      <c r="AE32" s="155"/>
      <c r="AG32" s="202">
        <f ca="1">SUM(E77:INDIRECT("F77C"&amp;[1]Cabecera!$D$8,0))/1000</f>
        <v>72</v>
      </c>
      <c r="AH32" s="201"/>
    </row>
    <row r="33" spans="2:35" ht="15.75" x14ac:dyDescent="0.25">
      <c r="B33" s="170"/>
      <c r="D33" s="205" t="s">
        <v>100</v>
      </c>
      <c r="E33" s="179">
        <v>11000</v>
      </c>
      <c r="F33" s="180">
        <v>0.57591803953310849</v>
      </c>
      <c r="G33" s="179">
        <v>11000</v>
      </c>
      <c r="H33" s="180">
        <v>0.60874579550347152</v>
      </c>
      <c r="I33" s="179">
        <v>11000</v>
      </c>
      <c r="J33" s="180">
        <v>0.54252000542520007</v>
      </c>
      <c r="K33" s="179">
        <v>11000</v>
      </c>
      <c r="L33" s="180">
        <v>0.47057293538263567</v>
      </c>
      <c r="M33" s="179">
        <v>11000</v>
      </c>
      <c r="N33" s="180">
        <v>0.45879671801853206</v>
      </c>
      <c r="O33" s="179">
        <v>11000</v>
      </c>
      <c r="P33" s="180">
        <v>0.46304559399488793</v>
      </c>
      <c r="Q33" s="179">
        <v>11000</v>
      </c>
      <c r="R33" s="180">
        <v>0.46390835195292768</v>
      </c>
      <c r="S33" s="179">
        <v>11000</v>
      </c>
      <c r="T33" s="180">
        <v>0.46390835195292768</v>
      </c>
      <c r="U33" s="179">
        <v>11000</v>
      </c>
      <c r="V33" s="180">
        <v>0.46646577540605849</v>
      </c>
      <c r="W33" s="179">
        <v>11000</v>
      </c>
      <c r="X33" s="180">
        <v>0.27307766974383824</v>
      </c>
      <c r="Y33" s="179">
        <v>11000</v>
      </c>
      <c r="Z33" s="180">
        <v>0.33402588032520758</v>
      </c>
      <c r="AA33" s="179">
        <v>11000</v>
      </c>
      <c r="AB33" s="180">
        <v>0.41073006148255631</v>
      </c>
      <c r="AC33" s="179">
        <v>132000</v>
      </c>
      <c r="AD33" s="180">
        <v>0.44065747564224073</v>
      </c>
      <c r="AE33" s="155"/>
      <c r="AG33" s="181"/>
      <c r="AH33" s="180"/>
    </row>
    <row r="34" spans="2:35" ht="15.75" x14ac:dyDescent="0.25">
      <c r="B34" s="170"/>
      <c r="D34" s="166"/>
      <c r="E34" s="206"/>
      <c r="F34" s="180"/>
      <c r="G34" s="206"/>
      <c r="H34" s="180"/>
      <c r="I34" s="206"/>
      <c r="J34" s="180"/>
      <c r="K34" s="206"/>
      <c r="L34" s="180"/>
      <c r="M34" s="206"/>
      <c r="N34" s="180"/>
      <c r="O34" s="206"/>
      <c r="P34" s="180"/>
      <c r="Q34" s="206"/>
      <c r="R34" s="180"/>
      <c r="S34" s="206"/>
      <c r="T34" s="180"/>
      <c r="U34" s="206"/>
      <c r="V34" s="180"/>
      <c r="W34" s="206"/>
      <c r="X34" s="180"/>
      <c r="Y34" s="206"/>
      <c r="Z34" s="180"/>
      <c r="AA34" s="206"/>
      <c r="AB34" s="180"/>
      <c r="AC34" s="206"/>
      <c r="AD34" s="180"/>
      <c r="AE34" s="155"/>
      <c r="AG34" s="207"/>
      <c r="AH34" s="180"/>
    </row>
    <row r="35" spans="2:35" ht="15.75" x14ac:dyDescent="0.25">
      <c r="B35" s="170"/>
      <c r="D35" s="203" t="s">
        <v>101</v>
      </c>
      <c r="E35" s="173">
        <v>322523.31713820848</v>
      </c>
      <c r="F35" s="208">
        <v>16.886090591813822</v>
      </c>
      <c r="G35" s="173">
        <v>294623.31713820848</v>
      </c>
      <c r="H35" s="208">
        <v>16.304609596833664</v>
      </c>
      <c r="I35" s="173">
        <v>357941.13713820855</v>
      </c>
      <c r="J35" s="208">
        <v>17.653657060193019</v>
      </c>
      <c r="K35" s="173">
        <v>373935.94213820848</v>
      </c>
      <c r="L35" s="208">
        <v>15.996739448822561</v>
      </c>
      <c r="M35" s="173">
        <v>469945.94213820848</v>
      </c>
      <c r="N35" s="208">
        <v>19.600877809012456</v>
      </c>
      <c r="O35" s="173">
        <v>465925.94213820848</v>
      </c>
      <c r="P35" s="208">
        <v>19.613177694092233</v>
      </c>
      <c r="Q35" s="173">
        <v>461188.14813820849</v>
      </c>
      <c r="R35" s="208">
        <v>19.449912158456268</v>
      </c>
      <c r="S35" s="173">
        <v>211828.14813820849</v>
      </c>
      <c r="T35" s="208">
        <v>8.9335315545488108</v>
      </c>
      <c r="U35" s="173">
        <v>290258.14813820849</v>
      </c>
      <c r="V35" s="208">
        <v>12.308681103565092</v>
      </c>
      <c r="W35" s="173">
        <v>754733.98213820858</v>
      </c>
      <c r="X35" s="208">
        <v>18.736454283526331</v>
      </c>
      <c r="Y35" s="173">
        <v>521623.98213820858</v>
      </c>
      <c r="Z35" s="208">
        <v>15.839628166586861</v>
      </c>
      <c r="AA35" s="173">
        <v>214199.8121382086</v>
      </c>
      <c r="AB35" s="208">
        <v>7.9980274553707655</v>
      </c>
      <c r="AC35" s="173">
        <v>4738727.8186585028</v>
      </c>
      <c r="AD35" s="208">
        <v>15.819362411558469</v>
      </c>
      <c r="AE35" s="155"/>
      <c r="AG35" s="176"/>
      <c r="AH35" s="208"/>
    </row>
    <row r="36" spans="2:35" ht="15.75" x14ac:dyDescent="0.25">
      <c r="B36" s="170"/>
      <c r="D36" s="166"/>
      <c r="E36" s="206"/>
      <c r="F36" s="209"/>
      <c r="G36" s="206"/>
      <c r="H36" s="209"/>
      <c r="I36" s="206"/>
      <c r="J36" s="209"/>
      <c r="K36" s="206"/>
      <c r="L36" s="209"/>
      <c r="M36" s="206"/>
      <c r="N36" s="209"/>
      <c r="O36" s="206"/>
      <c r="P36" s="209"/>
      <c r="Q36" s="206"/>
      <c r="R36" s="209"/>
      <c r="S36" s="206"/>
      <c r="T36" s="209"/>
      <c r="U36" s="206"/>
      <c r="V36" s="209"/>
      <c r="W36" s="206"/>
      <c r="X36" s="209"/>
      <c r="Y36" s="206"/>
      <c r="Z36" s="209"/>
      <c r="AA36" s="206"/>
      <c r="AB36" s="209"/>
      <c r="AC36" s="206"/>
      <c r="AD36" s="209"/>
      <c r="AE36" s="210"/>
      <c r="AG36" s="207"/>
      <c r="AH36" s="209"/>
    </row>
    <row r="37" spans="2:35" ht="15.75" x14ac:dyDescent="0.25">
      <c r="B37" s="170"/>
      <c r="C37" s="141">
        <v>0.15</v>
      </c>
      <c r="D37" s="211" t="s">
        <v>102</v>
      </c>
      <c r="E37" s="179">
        <v>48378.49757073127</v>
      </c>
      <c r="F37" s="180">
        <v>2.5329135887720731</v>
      </c>
      <c r="G37" s="179">
        <v>44193.49757073127</v>
      </c>
      <c r="H37" s="180">
        <v>2.4456914395250493</v>
      </c>
      <c r="I37" s="179">
        <v>53691.170570731279</v>
      </c>
      <c r="J37" s="180">
        <v>2.6480485590289522</v>
      </c>
      <c r="K37" s="179">
        <v>56090.391320731273</v>
      </c>
      <c r="L37" s="180">
        <v>2.3995109173233842</v>
      </c>
      <c r="M37" s="179">
        <v>70491.891320731273</v>
      </c>
      <c r="N37" s="180">
        <v>2.9401316713518684</v>
      </c>
      <c r="O37" s="179">
        <v>69888.891320731273</v>
      </c>
      <c r="P37" s="180">
        <v>2.941976654113835</v>
      </c>
      <c r="Q37" s="179">
        <v>69178.222220731273</v>
      </c>
      <c r="R37" s="180">
        <v>2.9174868237684404</v>
      </c>
      <c r="S37" s="179">
        <v>31774.222220731273</v>
      </c>
      <c r="T37" s="180">
        <v>1.3400297331823217</v>
      </c>
      <c r="U37" s="179">
        <v>43538.722220731273</v>
      </c>
      <c r="V37" s="180">
        <v>1.8463021655347638</v>
      </c>
      <c r="W37" s="179">
        <v>113210.09732073128</v>
      </c>
      <c r="X37" s="180">
        <v>2.8104681425289493</v>
      </c>
      <c r="Y37" s="179">
        <v>78243.597320731278</v>
      </c>
      <c r="Z37" s="180">
        <v>2.3759442249880292</v>
      </c>
      <c r="AA37" s="179">
        <v>32129.971820731287</v>
      </c>
      <c r="AB37" s="180">
        <v>1.1997041183056147</v>
      </c>
      <c r="AC37" s="179">
        <v>710809.17279877525</v>
      </c>
      <c r="AD37" s="180">
        <v>2.3729043617337697</v>
      </c>
      <c r="AE37" s="155"/>
      <c r="AG37" s="181">
        <f ca="1">SUM(E82:INDIRECT("F82C"&amp;[1]Cabecera!$D$8,0))/1000</f>
        <v>710.80917279877531</v>
      </c>
      <c r="AH37" s="180"/>
    </row>
    <row r="38" spans="2:35" ht="15.75" x14ac:dyDescent="0.25">
      <c r="B38" s="170"/>
      <c r="D38" s="212"/>
      <c r="E38" s="179"/>
      <c r="F38" s="180"/>
      <c r="G38" s="179"/>
      <c r="H38" s="180"/>
      <c r="I38" s="179"/>
      <c r="J38" s="180"/>
      <c r="K38" s="179"/>
      <c r="L38" s="180"/>
      <c r="M38" s="179"/>
      <c r="N38" s="180"/>
      <c r="O38" s="179"/>
      <c r="P38" s="180"/>
      <c r="Q38" s="179"/>
      <c r="R38" s="180"/>
      <c r="S38" s="179"/>
      <c r="T38" s="180"/>
      <c r="U38" s="179"/>
      <c r="V38" s="180"/>
      <c r="W38" s="179"/>
      <c r="X38" s="180"/>
      <c r="Y38" s="179"/>
      <c r="Z38" s="180"/>
      <c r="AA38" s="179"/>
      <c r="AB38" s="180"/>
      <c r="AC38" s="179"/>
      <c r="AD38" s="180"/>
      <c r="AE38" s="155"/>
      <c r="AG38" s="181"/>
      <c r="AH38" s="180"/>
    </row>
    <row r="39" spans="2:35" ht="15.75" x14ac:dyDescent="0.25">
      <c r="B39" s="170"/>
      <c r="D39" s="213" t="s">
        <v>103</v>
      </c>
      <c r="E39" s="179">
        <v>60311.860304844988</v>
      </c>
      <c r="F39" s="180">
        <v>3.1576989406691847</v>
      </c>
      <c r="G39" s="179">
        <v>55094.560304844985</v>
      </c>
      <c r="H39" s="180">
        <v>3.048961994607895</v>
      </c>
      <c r="I39" s="179">
        <v>66934.992644844999</v>
      </c>
      <c r="J39" s="180">
        <v>3.3012338702560942</v>
      </c>
      <c r="K39" s="179">
        <v>69926.021179844989</v>
      </c>
      <c r="L39" s="180">
        <v>2.9913902769298191</v>
      </c>
      <c r="M39" s="179">
        <v>87879.891179844984</v>
      </c>
      <c r="N39" s="180">
        <v>3.6653641502853294</v>
      </c>
      <c r="O39" s="179">
        <v>87128.151179844994</v>
      </c>
      <c r="P39" s="180">
        <v>3.6676642287952479</v>
      </c>
      <c r="Q39" s="179">
        <v>86242.183701844988</v>
      </c>
      <c r="R39" s="180">
        <v>3.6371335736313224</v>
      </c>
      <c r="S39" s="179">
        <v>39611.863701844988</v>
      </c>
      <c r="T39" s="180">
        <v>1.6705704007006277</v>
      </c>
      <c r="U39" s="179">
        <v>54278.273701844992</v>
      </c>
      <c r="V39" s="180">
        <v>2.3017233663666725</v>
      </c>
      <c r="W39" s="179">
        <v>141135.254659845</v>
      </c>
      <c r="X39" s="180">
        <v>3.5037169510194235</v>
      </c>
      <c r="Y39" s="179">
        <v>97543.684659845007</v>
      </c>
      <c r="Z39" s="180">
        <v>2.9620104671517433</v>
      </c>
      <c r="AA39" s="179">
        <v>40055.364869845005</v>
      </c>
      <c r="AB39" s="180">
        <v>1.4956311341543331</v>
      </c>
      <c r="AC39" s="179">
        <v>886142.10208913987</v>
      </c>
      <c r="AD39" s="180">
        <v>2.9582207709614332</v>
      </c>
      <c r="AE39" s="155"/>
      <c r="AG39" s="181">
        <f ca="1">SUM(E84:INDIRECT("F84C"&amp;[1]Cabecera!$D$8,0))/1000</f>
        <v>886.14210208913983</v>
      </c>
      <c r="AH39" s="180"/>
      <c r="AI39" s="214"/>
    </row>
    <row r="40" spans="2:35" ht="15.75" x14ac:dyDescent="0.25">
      <c r="B40" s="170"/>
      <c r="D40" s="215"/>
      <c r="E40" s="206"/>
      <c r="F40" s="209"/>
      <c r="G40" s="206"/>
      <c r="H40" s="209"/>
      <c r="I40" s="206"/>
      <c r="J40" s="209"/>
      <c r="K40" s="206"/>
      <c r="L40" s="209"/>
      <c r="M40" s="206"/>
      <c r="N40" s="209"/>
      <c r="O40" s="206"/>
      <c r="P40" s="209"/>
      <c r="Q40" s="206"/>
      <c r="R40" s="209"/>
      <c r="S40" s="206"/>
      <c r="T40" s="209"/>
      <c r="U40" s="206"/>
      <c r="V40" s="209"/>
      <c r="W40" s="206"/>
      <c r="X40" s="209"/>
      <c r="Y40" s="206"/>
      <c r="Z40" s="209"/>
      <c r="AA40" s="206"/>
      <c r="AB40" s="209"/>
      <c r="AC40" s="206"/>
      <c r="AD40" s="209"/>
      <c r="AE40" s="210"/>
      <c r="AG40" s="207"/>
      <c r="AH40" s="209"/>
      <c r="AI40" s="148"/>
    </row>
    <row r="41" spans="2:35" ht="15.75" x14ac:dyDescent="0.25">
      <c r="B41" s="170"/>
      <c r="D41" s="203" t="s">
        <v>104</v>
      </c>
      <c r="E41" s="216">
        <v>213832.95926263224</v>
      </c>
      <c r="F41" s="174">
        <v>11.195478062372564</v>
      </c>
      <c r="G41" s="216">
        <v>195335.25926263223</v>
      </c>
      <c r="H41" s="174">
        <v>10.80995616270072</v>
      </c>
      <c r="I41" s="216">
        <v>237314.97392263229</v>
      </c>
      <c r="J41" s="174">
        <v>11.704374630907971</v>
      </c>
      <c r="K41" s="216">
        <v>247919.52963763225</v>
      </c>
      <c r="L41" s="174">
        <v>10.60583825456936</v>
      </c>
      <c r="M41" s="216">
        <v>311574.15963763226</v>
      </c>
      <c r="N41" s="174">
        <v>12.995381987375259</v>
      </c>
      <c r="O41" s="216">
        <v>308908.89963763225</v>
      </c>
      <c r="P41" s="174">
        <v>13.00353681118315</v>
      </c>
      <c r="Q41" s="216">
        <v>305767.74221563223</v>
      </c>
      <c r="R41" s="174">
        <v>12.895291761056507</v>
      </c>
      <c r="S41" s="216">
        <v>140442.06221563224</v>
      </c>
      <c r="T41" s="174">
        <v>5.9229314206658623</v>
      </c>
      <c r="U41" s="216">
        <v>192441.15221563223</v>
      </c>
      <c r="V41" s="174">
        <v>8.1606555716636553</v>
      </c>
      <c r="W41" s="216">
        <v>500388.63015763229</v>
      </c>
      <c r="X41" s="174">
        <v>12.422269189977959</v>
      </c>
      <c r="Y41" s="216">
        <v>345836.70015763229</v>
      </c>
      <c r="Z41" s="174">
        <v>10.50167347444709</v>
      </c>
      <c r="AA41" s="216">
        <v>142014.47544763229</v>
      </c>
      <c r="AB41" s="174">
        <v>5.3026922029108174</v>
      </c>
      <c r="AC41" s="216">
        <v>3141776.543770588</v>
      </c>
      <c r="AD41" s="174">
        <v>10.488237278863267</v>
      </c>
      <c r="AE41" s="155"/>
      <c r="AG41" s="217"/>
      <c r="AH41" s="174"/>
      <c r="AI41" s="148"/>
    </row>
    <row r="42" spans="2:35" ht="15.75" x14ac:dyDescent="0.25">
      <c r="B42" s="170"/>
      <c r="D42" s="166"/>
      <c r="E42" s="206"/>
      <c r="F42" s="209"/>
      <c r="G42" s="206"/>
      <c r="H42" s="209"/>
      <c r="I42" s="206"/>
      <c r="J42" s="209"/>
      <c r="K42" s="206"/>
      <c r="L42" s="209"/>
      <c r="M42" s="206"/>
      <c r="N42" s="209"/>
      <c r="O42" s="206"/>
      <c r="P42" s="209"/>
      <c r="Q42" s="206"/>
      <c r="R42" s="209"/>
      <c r="S42" s="206"/>
      <c r="T42" s="209"/>
      <c r="U42" s="206"/>
      <c r="V42" s="209"/>
      <c r="W42" s="206"/>
      <c r="X42" s="209"/>
      <c r="Y42" s="206"/>
      <c r="Z42" s="209"/>
      <c r="AA42" s="206"/>
      <c r="AB42" s="209"/>
      <c r="AC42" s="206"/>
      <c r="AD42" s="209"/>
      <c r="AE42" s="210"/>
      <c r="AG42" s="207"/>
      <c r="AH42" s="209"/>
      <c r="AI42" s="148"/>
    </row>
    <row r="43" spans="2:35" ht="15.75" x14ac:dyDescent="0.25">
      <c r="B43" s="170"/>
      <c r="D43" s="218" t="s">
        <v>105</v>
      </c>
      <c r="E43" s="179">
        <v>50000</v>
      </c>
      <c r="F43" s="180">
        <v>2.6178092706050387</v>
      </c>
      <c r="G43" s="179">
        <v>50000</v>
      </c>
      <c r="H43" s="180">
        <v>2.7670263431975974</v>
      </c>
      <c r="I43" s="179">
        <v>50000</v>
      </c>
      <c r="J43" s="180">
        <v>2.46600002466</v>
      </c>
      <c r="K43" s="179">
        <v>50000</v>
      </c>
      <c r="L43" s="180">
        <v>2.1389678881028895</v>
      </c>
      <c r="M43" s="179">
        <v>50000</v>
      </c>
      <c r="N43" s="180">
        <v>2.0854396273569642</v>
      </c>
      <c r="O43" s="179">
        <v>50000</v>
      </c>
      <c r="P43" s="180">
        <v>2.1047526999767632</v>
      </c>
      <c r="Q43" s="179">
        <v>50000</v>
      </c>
      <c r="R43" s="180">
        <v>2.108674327058762</v>
      </c>
      <c r="S43" s="179">
        <v>50000</v>
      </c>
      <c r="T43" s="180">
        <v>2.108674327058762</v>
      </c>
      <c r="U43" s="179">
        <v>50000</v>
      </c>
      <c r="V43" s="180">
        <v>2.1202989791184472</v>
      </c>
      <c r="W43" s="179">
        <v>50000</v>
      </c>
      <c r="X43" s="180">
        <v>1.2412621351992648</v>
      </c>
      <c r="Y43" s="179">
        <v>55000</v>
      </c>
      <c r="Z43" s="180">
        <v>1.670129401626038</v>
      </c>
      <c r="AA43" s="179">
        <v>55000</v>
      </c>
      <c r="AB43" s="180">
        <v>2.0536503074127817</v>
      </c>
      <c r="AC43" s="179">
        <v>610000</v>
      </c>
      <c r="AD43" s="180">
        <v>2.0363716677406578</v>
      </c>
      <c r="AE43" s="155"/>
      <c r="AG43" s="181">
        <f ca="1">SUM(E88:INDIRECT("F88C"&amp;[1]Cabecera!$D$8,0))/1000</f>
        <v>610</v>
      </c>
      <c r="AH43" s="180"/>
      <c r="AI43" s="148"/>
    </row>
    <row r="44" spans="2:35" ht="15.75" x14ac:dyDescent="0.25">
      <c r="B44" s="170"/>
      <c r="D44" s="166"/>
      <c r="E44" s="206"/>
      <c r="F44" s="209"/>
      <c r="G44" s="206"/>
      <c r="H44" s="209"/>
      <c r="I44" s="206"/>
      <c r="J44" s="209"/>
      <c r="K44" s="206"/>
      <c r="L44" s="209"/>
      <c r="M44" s="206"/>
      <c r="N44" s="209"/>
      <c r="O44" s="206"/>
      <c r="P44" s="209"/>
      <c r="Q44" s="206"/>
      <c r="R44" s="209"/>
      <c r="S44" s="206"/>
      <c r="T44" s="209"/>
      <c r="U44" s="206"/>
      <c r="V44" s="209"/>
      <c r="W44" s="206"/>
      <c r="X44" s="209"/>
      <c r="Y44" s="206"/>
      <c r="Z44" s="209"/>
      <c r="AA44" s="206"/>
      <c r="AB44" s="209"/>
      <c r="AC44" s="206"/>
      <c r="AD44" s="209"/>
      <c r="AE44" s="210"/>
      <c r="AG44" s="207"/>
      <c r="AH44" s="209"/>
      <c r="AI44" s="148"/>
    </row>
    <row r="45" spans="2:35" ht="15.75" x14ac:dyDescent="0.25">
      <c r="B45" s="170"/>
      <c r="D45" s="219" t="s">
        <v>106</v>
      </c>
      <c r="E45" s="173">
        <v>263832.95926263224</v>
      </c>
      <c r="F45" s="174">
        <v>13.813287332977604</v>
      </c>
      <c r="G45" s="173">
        <v>245335.25926263223</v>
      </c>
      <c r="H45" s="174">
        <v>13.576982505898316</v>
      </c>
      <c r="I45" s="173">
        <v>287314.97392263229</v>
      </c>
      <c r="J45" s="174">
        <v>14.170374655567972</v>
      </c>
      <c r="K45" s="173">
        <v>297919.52963763225</v>
      </c>
      <c r="L45" s="174">
        <v>12.74480614267225</v>
      </c>
      <c r="M45" s="173">
        <v>361574.15963763226</v>
      </c>
      <c r="N45" s="174">
        <v>15.080821614732223</v>
      </c>
      <c r="O45" s="173">
        <v>358908.89963763225</v>
      </c>
      <c r="P45" s="174">
        <v>15.108289511159914</v>
      </c>
      <c r="Q45" s="173">
        <v>355767.74221563223</v>
      </c>
      <c r="R45" s="174">
        <v>15.003966088115266</v>
      </c>
      <c r="S45" s="173">
        <v>190442.06221563224</v>
      </c>
      <c r="T45" s="174">
        <v>8.0316057477246243</v>
      </c>
      <c r="U45" s="173">
        <v>242441.15221563223</v>
      </c>
      <c r="V45" s="174">
        <v>10.280954550782104</v>
      </c>
      <c r="W45" s="173">
        <v>550388.63015763229</v>
      </c>
      <c r="X45" s="174">
        <v>13.663531325177223</v>
      </c>
      <c r="Y45" s="173">
        <v>400836.70015763229</v>
      </c>
      <c r="Z45" s="174">
        <v>12.171802876073128</v>
      </c>
      <c r="AA45" s="173">
        <v>197014.47544763229</v>
      </c>
      <c r="AB45" s="174">
        <v>7.3563425103235991</v>
      </c>
      <c r="AC45" s="173">
        <v>3751776.543770588</v>
      </c>
      <c r="AD45" s="174">
        <v>12.524608946603925</v>
      </c>
      <c r="AE45" s="155"/>
      <c r="AG45" s="176"/>
      <c r="AH45" s="174"/>
      <c r="AI45" s="148"/>
    </row>
    <row r="46" spans="2:35" ht="15.75" x14ac:dyDescent="0.25">
      <c r="B46" s="170"/>
      <c r="D46" s="166"/>
      <c r="E46" s="206"/>
      <c r="F46" s="209"/>
      <c r="G46" s="206"/>
      <c r="H46" s="209"/>
      <c r="I46" s="206"/>
      <c r="J46" s="209"/>
      <c r="K46" s="206"/>
      <c r="L46" s="209"/>
      <c r="M46" s="206"/>
      <c r="N46" s="209"/>
      <c r="O46" s="206"/>
      <c r="P46" s="209"/>
      <c r="Q46" s="206"/>
      <c r="R46" s="209"/>
      <c r="S46" s="206"/>
      <c r="T46" s="209"/>
      <c r="U46" s="206"/>
      <c r="V46" s="209"/>
      <c r="W46" s="206"/>
      <c r="X46" s="209"/>
      <c r="Y46" s="206"/>
      <c r="Z46" s="209"/>
      <c r="AA46" s="206"/>
      <c r="AB46" s="209"/>
      <c r="AC46" s="206"/>
      <c r="AD46" s="209"/>
      <c r="AE46" s="210"/>
      <c r="AG46" s="207"/>
      <c r="AH46" s="209"/>
      <c r="AI46" s="148"/>
    </row>
    <row r="47" spans="2:35" ht="15.75" x14ac:dyDescent="0.25">
      <c r="B47" s="170"/>
      <c r="C47" s="220"/>
      <c r="D47" s="219" t="s">
        <v>107</v>
      </c>
      <c r="E47" s="221">
        <v>329144.81956747721</v>
      </c>
      <c r="F47" s="222">
        <v>17.23276720070729</v>
      </c>
      <c r="G47" s="221">
        <v>305429.81956747721</v>
      </c>
      <c r="H47" s="222">
        <v>16.902647134825973</v>
      </c>
      <c r="I47" s="221">
        <v>359249.96656747727</v>
      </c>
      <c r="J47" s="222">
        <v>17.718208528290063</v>
      </c>
      <c r="K47" s="221">
        <v>372845.55081747723</v>
      </c>
      <c r="L47" s="222">
        <v>15.950093208412355</v>
      </c>
      <c r="M47" s="221">
        <v>454454.05081747723</v>
      </c>
      <c r="N47" s="222">
        <v>18.954729727753246</v>
      </c>
      <c r="O47" s="221">
        <v>451037.05081747723</v>
      </c>
      <c r="P47" s="222">
        <v>18.986429009952836</v>
      </c>
      <c r="Q47" s="221">
        <v>447009.92591747723</v>
      </c>
      <c r="R47" s="222">
        <v>18.851967094452469</v>
      </c>
      <c r="S47" s="221">
        <v>235053.92591747723</v>
      </c>
      <c r="T47" s="222">
        <v>9.913043581131129</v>
      </c>
      <c r="U47" s="221">
        <v>301719.42591747723</v>
      </c>
      <c r="V47" s="222">
        <v>12.794707815060621</v>
      </c>
      <c r="W47" s="221">
        <v>696523.88481747732</v>
      </c>
      <c r="X47" s="222">
        <v>17.291374489716574</v>
      </c>
      <c r="Y47" s="221">
        <v>503380.38481747732</v>
      </c>
      <c r="Z47" s="222">
        <v>15.285643288827238</v>
      </c>
      <c r="AA47" s="221">
        <v>242069.8403174773</v>
      </c>
      <c r="AB47" s="222">
        <v>9.038669126970003</v>
      </c>
      <c r="AC47" s="221">
        <v>4697918.6458597276</v>
      </c>
      <c r="AD47" s="222">
        <v>15.683128570130012</v>
      </c>
      <c r="AE47" s="155"/>
      <c r="AG47" s="223">
        <f ca="1">SUM(E92:INDIRECT("F92C"&amp;[1]Cabecera!$D$8,0))/1000</f>
        <v>4697.9186458597278</v>
      </c>
      <c r="AH47" s="222"/>
      <c r="AI47" s="148"/>
    </row>
    <row r="48" spans="2:35" ht="16.5" thickBot="1" x14ac:dyDescent="0.3">
      <c r="B48" s="224"/>
      <c r="C48" s="225"/>
      <c r="D48" s="226"/>
      <c r="E48" s="227"/>
      <c r="F48" s="228"/>
      <c r="G48" s="227"/>
      <c r="H48" s="228"/>
      <c r="I48" s="227"/>
      <c r="J48" s="228"/>
      <c r="K48" s="227"/>
      <c r="L48" s="228"/>
      <c r="M48" s="227"/>
      <c r="N48" s="228"/>
      <c r="O48" s="227"/>
      <c r="P48" s="228"/>
      <c r="Q48" s="227"/>
      <c r="R48" s="228"/>
      <c r="S48" s="227"/>
      <c r="T48" s="228"/>
      <c r="U48" s="227"/>
      <c r="V48" s="228"/>
      <c r="W48" s="227"/>
      <c r="X48" s="228"/>
      <c r="Y48" s="227"/>
      <c r="Z48" s="228"/>
      <c r="AA48" s="227"/>
      <c r="AB48" s="228"/>
      <c r="AC48" s="227"/>
      <c r="AD48" s="228"/>
      <c r="AE48" s="229"/>
      <c r="AH48" s="148"/>
      <c r="AI48" s="148"/>
    </row>
    <row r="49" spans="2:33" s="237" customFormat="1" ht="12.75" x14ac:dyDescent="0.2">
      <c r="B49" s="230"/>
      <c r="C49" s="231"/>
      <c r="D49" s="232"/>
      <c r="E49" s="233"/>
      <c r="F49" s="234"/>
      <c r="G49" s="233"/>
      <c r="H49" s="234"/>
      <c r="I49" s="234"/>
      <c r="J49" s="234"/>
      <c r="K49" s="234"/>
      <c r="L49" s="234"/>
      <c r="M49" s="234"/>
      <c r="N49" s="234"/>
      <c r="O49" s="234"/>
      <c r="P49" s="234"/>
      <c r="Q49" s="234"/>
      <c r="R49" s="234"/>
      <c r="S49" s="234"/>
      <c r="T49" s="234"/>
      <c r="U49" s="234"/>
      <c r="V49" s="234"/>
      <c r="W49" s="234"/>
      <c r="X49" s="234"/>
      <c r="Y49" s="234"/>
      <c r="Z49" s="234"/>
      <c r="AA49" s="234"/>
      <c r="AB49" s="234"/>
      <c r="AC49" s="234"/>
      <c r="AD49" s="234"/>
      <c r="AE49" s="235"/>
      <c r="AF49" s="145"/>
      <c r="AG49" s="236"/>
    </row>
    <row r="53" spans="2:33" x14ac:dyDescent="0.25">
      <c r="E53" s="143">
        <f>+E8</f>
        <v>1759994</v>
      </c>
      <c r="G53" s="143">
        <f>+G8</f>
        <v>1676994</v>
      </c>
      <c r="I53" s="143">
        <f t="shared" ref="I53:I92" si="0">+I8</f>
        <v>1897575</v>
      </c>
      <c r="K53" s="143">
        <f t="shared" ref="K53:K92" si="1">+K8</f>
        <v>2187576</v>
      </c>
      <c r="M53" s="143">
        <f t="shared" ref="M53:M92" si="2">+M8</f>
        <v>2227576</v>
      </c>
      <c r="O53" s="143">
        <f t="shared" ref="O53:O92" si="3">+O8</f>
        <v>2215576</v>
      </c>
      <c r="Q53" s="143">
        <f t="shared" ref="Q53:Q92" si="4">+Q8</f>
        <v>2211158</v>
      </c>
      <c r="S53" s="143">
        <f t="shared" ref="S53:S92" si="5">+S8</f>
        <v>2211158</v>
      </c>
      <c r="U53" s="143">
        <f t="shared" ref="U53:U92" si="6">+U8</f>
        <v>2208158</v>
      </c>
      <c r="W53" s="143">
        <f t="shared" ref="W53:W92" si="7">+W8</f>
        <v>3878158</v>
      </c>
      <c r="Y53" s="143">
        <f t="shared" ref="Y53:Y92" si="8">+Y8</f>
        <v>3143158</v>
      </c>
      <c r="AA53" s="143">
        <f t="shared" ref="AA53:AA92" si="9">+AA8</f>
        <v>2528158</v>
      </c>
    </row>
    <row r="54" spans="2:33" x14ac:dyDescent="0.25">
      <c r="E54" s="143">
        <f t="shared" ref="E54:E92" si="10">+E9</f>
        <v>150000</v>
      </c>
      <c r="G54" s="143">
        <f t="shared" ref="G54:G92" si="11">+G9</f>
        <v>130000</v>
      </c>
      <c r="I54" s="143">
        <f t="shared" si="0"/>
        <v>130000</v>
      </c>
      <c r="K54" s="143">
        <f t="shared" si="1"/>
        <v>150000</v>
      </c>
      <c r="M54" s="143">
        <f t="shared" si="2"/>
        <v>170000</v>
      </c>
      <c r="O54" s="143">
        <f t="shared" si="3"/>
        <v>160000</v>
      </c>
      <c r="Q54" s="143">
        <f t="shared" si="4"/>
        <v>160000</v>
      </c>
      <c r="S54" s="143">
        <f t="shared" si="5"/>
        <v>160000</v>
      </c>
      <c r="U54" s="143">
        <f t="shared" si="6"/>
        <v>150000</v>
      </c>
      <c r="W54" s="143">
        <f t="shared" si="7"/>
        <v>150000</v>
      </c>
      <c r="Y54" s="143">
        <f t="shared" si="8"/>
        <v>150000</v>
      </c>
      <c r="AA54" s="143">
        <f t="shared" si="9"/>
        <v>150000</v>
      </c>
    </row>
    <row r="55" spans="2:33" x14ac:dyDescent="0.25">
      <c r="E55" s="143">
        <f t="shared" si="10"/>
        <v>1909994</v>
      </c>
      <c r="G55" s="143">
        <f t="shared" si="11"/>
        <v>1806994</v>
      </c>
      <c r="I55" s="143">
        <f t="shared" si="0"/>
        <v>2027575</v>
      </c>
      <c r="K55" s="143">
        <f t="shared" si="1"/>
        <v>2337576</v>
      </c>
      <c r="M55" s="143">
        <f t="shared" si="2"/>
        <v>2397576</v>
      </c>
      <c r="O55" s="143">
        <f t="shared" si="3"/>
        <v>2375576</v>
      </c>
      <c r="Q55" s="143">
        <f t="shared" si="4"/>
        <v>2371158</v>
      </c>
      <c r="S55" s="143">
        <f t="shared" si="5"/>
        <v>2371158</v>
      </c>
      <c r="U55" s="143">
        <f t="shared" si="6"/>
        <v>2358158</v>
      </c>
      <c r="W55" s="143">
        <f t="shared" si="7"/>
        <v>4028158</v>
      </c>
      <c r="Y55" s="143">
        <f t="shared" si="8"/>
        <v>3293158</v>
      </c>
      <c r="AA55" s="143">
        <f t="shared" si="9"/>
        <v>2678158</v>
      </c>
    </row>
    <row r="56" spans="2:33" x14ac:dyDescent="0.25">
      <c r="E56" s="143">
        <f t="shared" si="10"/>
        <v>0</v>
      </c>
      <c r="G56" s="143">
        <f t="shared" si="11"/>
        <v>0</v>
      </c>
      <c r="I56" s="143">
        <f t="shared" si="0"/>
        <v>0</v>
      </c>
      <c r="K56" s="143">
        <f t="shared" si="1"/>
        <v>0</v>
      </c>
      <c r="M56" s="143">
        <f t="shared" si="2"/>
        <v>0</v>
      </c>
      <c r="O56" s="143">
        <f t="shared" si="3"/>
        <v>0</v>
      </c>
      <c r="Q56" s="143">
        <f t="shared" si="4"/>
        <v>0</v>
      </c>
      <c r="S56" s="143">
        <f t="shared" si="5"/>
        <v>0</v>
      </c>
      <c r="U56" s="143">
        <f t="shared" si="6"/>
        <v>0</v>
      </c>
      <c r="W56" s="143">
        <f t="shared" si="7"/>
        <v>0</v>
      </c>
      <c r="Y56" s="143">
        <f t="shared" si="8"/>
        <v>0</v>
      </c>
      <c r="AA56" s="143">
        <f t="shared" si="9"/>
        <v>0</v>
      </c>
    </row>
    <row r="57" spans="2:33" x14ac:dyDescent="0.25">
      <c r="E57" s="143">
        <f t="shared" si="10"/>
        <v>1267505.7149999999</v>
      </c>
      <c r="G57" s="143">
        <f t="shared" si="11"/>
        <v>1206765.7149999999</v>
      </c>
      <c r="I57" s="143">
        <f t="shared" si="0"/>
        <v>1364418.8949999998</v>
      </c>
      <c r="K57" s="143">
        <f t="shared" si="1"/>
        <v>1564125.0899999999</v>
      </c>
      <c r="M57" s="143">
        <f t="shared" si="2"/>
        <v>1593815.0899999999</v>
      </c>
      <c r="O57" s="143">
        <f t="shared" si="3"/>
        <v>1583305.0899999999</v>
      </c>
      <c r="Q57" s="143">
        <f t="shared" si="4"/>
        <v>1583304.8839999998</v>
      </c>
      <c r="S57" s="143">
        <f t="shared" si="5"/>
        <v>1582664.8839999998</v>
      </c>
      <c r="U57" s="143">
        <f t="shared" si="6"/>
        <v>1579134.8839999998</v>
      </c>
      <c r="W57" s="143">
        <f t="shared" si="7"/>
        <v>2553909.0499999998</v>
      </c>
      <c r="Y57" s="143">
        <f t="shared" si="8"/>
        <v>2131869.0499999998</v>
      </c>
      <c r="AA57" s="143">
        <f t="shared" si="9"/>
        <v>764593.22</v>
      </c>
    </row>
    <row r="58" spans="2:33" x14ac:dyDescent="0.25">
      <c r="E58" s="143">
        <f t="shared" si="10"/>
        <v>107700</v>
      </c>
      <c r="G58" s="143">
        <f t="shared" si="11"/>
        <v>93340</v>
      </c>
      <c r="I58" s="143">
        <f t="shared" si="0"/>
        <v>92950</v>
      </c>
      <c r="K58" s="143">
        <f t="shared" si="1"/>
        <v>107250</v>
      </c>
      <c r="M58" s="143">
        <f t="shared" si="2"/>
        <v>121550</v>
      </c>
      <c r="O58" s="143">
        <f t="shared" si="3"/>
        <v>114080</v>
      </c>
      <c r="Q58" s="143">
        <f t="shared" si="4"/>
        <v>114400</v>
      </c>
      <c r="S58" s="143">
        <f t="shared" si="5"/>
        <v>114400</v>
      </c>
      <c r="U58" s="143">
        <f t="shared" si="6"/>
        <v>106500</v>
      </c>
      <c r="W58" s="143">
        <f t="shared" si="7"/>
        <v>107250</v>
      </c>
      <c r="Y58" s="143">
        <f t="shared" si="8"/>
        <v>107400</v>
      </c>
      <c r="AA58" s="143">
        <f t="shared" si="9"/>
        <v>107100</v>
      </c>
    </row>
    <row r="59" spans="2:33" x14ac:dyDescent="0.25">
      <c r="E59" s="143">
        <f t="shared" si="10"/>
        <v>0</v>
      </c>
      <c r="G59" s="143">
        <f t="shared" si="11"/>
        <v>0</v>
      </c>
      <c r="I59" s="143">
        <f t="shared" si="0"/>
        <v>0</v>
      </c>
      <c r="K59" s="143">
        <f t="shared" si="1"/>
        <v>0</v>
      </c>
      <c r="M59" s="143">
        <f t="shared" si="2"/>
        <v>0</v>
      </c>
      <c r="O59" s="143">
        <f t="shared" si="3"/>
        <v>0</v>
      </c>
      <c r="Q59" s="143">
        <f t="shared" si="4"/>
        <v>0</v>
      </c>
      <c r="S59" s="143">
        <f t="shared" si="5"/>
        <v>140000</v>
      </c>
      <c r="U59" s="143">
        <f t="shared" si="6"/>
        <v>140000</v>
      </c>
      <c r="W59" s="143">
        <f t="shared" si="7"/>
        <v>290000</v>
      </c>
      <c r="Y59" s="143">
        <f t="shared" si="8"/>
        <v>290000</v>
      </c>
      <c r="AA59" s="143">
        <f t="shared" si="9"/>
        <v>1240000</v>
      </c>
    </row>
    <row r="60" spans="2:33" x14ac:dyDescent="0.25">
      <c r="E60" s="143">
        <f t="shared" si="10"/>
        <v>0</v>
      </c>
      <c r="G60" s="143">
        <f t="shared" si="11"/>
        <v>0</v>
      </c>
      <c r="I60" s="143">
        <f t="shared" si="0"/>
        <v>0</v>
      </c>
      <c r="K60" s="143">
        <f t="shared" si="1"/>
        <v>0</v>
      </c>
      <c r="M60" s="143">
        <f t="shared" si="2"/>
        <v>0</v>
      </c>
      <c r="O60" s="143">
        <f t="shared" si="3"/>
        <v>0</v>
      </c>
      <c r="Q60" s="143">
        <f t="shared" si="4"/>
        <v>0</v>
      </c>
      <c r="S60" s="143">
        <f t="shared" si="5"/>
        <v>0</v>
      </c>
      <c r="U60" s="143">
        <f t="shared" si="6"/>
        <v>0</v>
      </c>
      <c r="W60" s="143">
        <f t="shared" si="7"/>
        <v>0</v>
      </c>
      <c r="Y60" s="143">
        <f t="shared" si="8"/>
        <v>0</v>
      </c>
      <c r="AA60" s="143">
        <f t="shared" si="9"/>
        <v>0</v>
      </c>
    </row>
    <row r="61" spans="2:33" x14ac:dyDescent="0.25">
      <c r="E61" s="143">
        <f t="shared" si="10"/>
        <v>1375205.7149999999</v>
      </c>
      <c r="G61" s="143">
        <f t="shared" si="11"/>
        <v>1300105.7149999999</v>
      </c>
      <c r="I61" s="143">
        <f t="shared" si="0"/>
        <v>1457368.8949999998</v>
      </c>
      <c r="K61" s="143">
        <f t="shared" si="1"/>
        <v>1671375.0899999999</v>
      </c>
      <c r="M61" s="143">
        <f t="shared" si="2"/>
        <v>1715365.0899999999</v>
      </c>
      <c r="O61" s="143">
        <f t="shared" si="3"/>
        <v>1697385.0899999999</v>
      </c>
      <c r="Q61" s="143">
        <f t="shared" si="4"/>
        <v>1697704.8839999998</v>
      </c>
      <c r="S61" s="143">
        <f t="shared" si="5"/>
        <v>1837064.8839999998</v>
      </c>
      <c r="U61" s="143">
        <f t="shared" si="6"/>
        <v>1825634.8839999998</v>
      </c>
      <c r="W61" s="143">
        <f t="shared" si="7"/>
        <v>2951159.05</v>
      </c>
      <c r="Y61" s="143">
        <f t="shared" si="8"/>
        <v>2529269.0499999998</v>
      </c>
      <c r="AA61" s="143">
        <f t="shared" si="9"/>
        <v>2111693.2199999997</v>
      </c>
    </row>
    <row r="62" spans="2:33" x14ac:dyDescent="0.25">
      <c r="E62" s="143">
        <f t="shared" si="10"/>
        <v>0</v>
      </c>
      <c r="G62" s="143">
        <f t="shared" si="11"/>
        <v>0</v>
      </c>
      <c r="I62" s="143">
        <f t="shared" si="0"/>
        <v>0</v>
      </c>
      <c r="K62" s="143">
        <f t="shared" si="1"/>
        <v>0</v>
      </c>
      <c r="M62" s="143">
        <f t="shared" si="2"/>
        <v>0</v>
      </c>
      <c r="O62" s="143">
        <f t="shared" si="3"/>
        <v>0</v>
      </c>
      <c r="Q62" s="143">
        <f t="shared" si="4"/>
        <v>0</v>
      </c>
      <c r="S62" s="143">
        <f t="shared" si="5"/>
        <v>0</v>
      </c>
      <c r="U62" s="143">
        <f t="shared" si="6"/>
        <v>0</v>
      </c>
      <c r="W62" s="143">
        <f t="shared" si="7"/>
        <v>0</v>
      </c>
      <c r="Y62" s="143">
        <f t="shared" si="8"/>
        <v>0</v>
      </c>
      <c r="AA62" s="143">
        <f t="shared" si="9"/>
        <v>0</v>
      </c>
    </row>
    <row r="63" spans="2:33" x14ac:dyDescent="0.25">
      <c r="E63" s="143">
        <f t="shared" si="10"/>
        <v>534788.28500000015</v>
      </c>
      <c r="G63" s="143">
        <f t="shared" si="11"/>
        <v>506888.28500000015</v>
      </c>
      <c r="I63" s="143">
        <f t="shared" si="0"/>
        <v>570206.10500000021</v>
      </c>
      <c r="K63" s="143">
        <f t="shared" si="1"/>
        <v>666200.91000000015</v>
      </c>
      <c r="M63" s="143">
        <f t="shared" si="2"/>
        <v>682210.91000000015</v>
      </c>
      <c r="O63" s="143">
        <f t="shared" si="3"/>
        <v>678190.91000000015</v>
      </c>
      <c r="Q63" s="143">
        <f t="shared" si="4"/>
        <v>673453.11600000015</v>
      </c>
      <c r="S63" s="143">
        <f t="shared" si="5"/>
        <v>534093.11600000015</v>
      </c>
      <c r="U63" s="143">
        <f t="shared" si="6"/>
        <v>532523.11600000015</v>
      </c>
      <c r="W63" s="143">
        <f t="shared" si="7"/>
        <v>1076998.9500000002</v>
      </c>
      <c r="Y63" s="143">
        <f t="shared" si="8"/>
        <v>763888.95000000019</v>
      </c>
      <c r="AA63" s="143">
        <f t="shared" si="9"/>
        <v>566464.78000000026</v>
      </c>
    </row>
    <row r="64" spans="2:33" x14ac:dyDescent="0.25">
      <c r="E64" s="143">
        <f t="shared" si="10"/>
        <v>0</v>
      </c>
      <c r="G64" s="143">
        <f t="shared" si="11"/>
        <v>0</v>
      </c>
      <c r="I64" s="143">
        <f t="shared" si="0"/>
        <v>0</v>
      </c>
      <c r="K64" s="143">
        <f t="shared" si="1"/>
        <v>0</v>
      </c>
      <c r="M64" s="143">
        <f t="shared" si="2"/>
        <v>0</v>
      </c>
      <c r="O64" s="143">
        <f t="shared" si="3"/>
        <v>0</v>
      </c>
      <c r="Q64" s="143">
        <f t="shared" si="4"/>
        <v>0</v>
      </c>
      <c r="S64" s="143">
        <f t="shared" si="5"/>
        <v>0</v>
      </c>
      <c r="U64" s="143">
        <f t="shared" si="6"/>
        <v>0</v>
      </c>
      <c r="W64" s="143">
        <f t="shared" si="7"/>
        <v>0</v>
      </c>
      <c r="Y64" s="143">
        <f t="shared" si="8"/>
        <v>0</v>
      </c>
      <c r="AA64" s="143">
        <f t="shared" si="9"/>
        <v>0</v>
      </c>
    </row>
    <row r="65" spans="5:27" x14ac:dyDescent="0.25">
      <c r="E65" s="143">
        <f t="shared" si="10"/>
        <v>50424.904991999996</v>
      </c>
      <c r="G65" s="143">
        <f t="shared" si="11"/>
        <v>50424.904991999996</v>
      </c>
      <c r="I65" s="143">
        <f t="shared" si="0"/>
        <v>50424.904991999996</v>
      </c>
      <c r="K65" s="143">
        <f t="shared" si="1"/>
        <v>50424.904991999996</v>
      </c>
      <c r="M65" s="143">
        <f t="shared" si="2"/>
        <v>50424.904991999996</v>
      </c>
      <c r="O65" s="143">
        <f t="shared" si="3"/>
        <v>50424.904991999996</v>
      </c>
      <c r="Q65" s="143">
        <f t="shared" si="4"/>
        <v>50424.904991999996</v>
      </c>
      <c r="S65" s="143">
        <f t="shared" si="5"/>
        <v>50424.904991999996</v>
      </c>
      <c r="U65" s="143">
        <f t="shared" si="6"/>
        <v>50424.904991999996</v>
      </c>
      <c r="W65" s="143">
        <f t="shared" si="7"/>
        <v>50424.904991999996</v>
      </c>
      <c r="Y65" s="143">
        <f t="shared" si="8"/>
        <v>50424.904991999996</v>
      </c>
      <c r="AA65" s="143">
        <f t="shared" si="9"/>
        <v>50424.904991999996</v>
      </c>
    </row>
    <row r="66" spans="5:27" x14ac:dyDescent="0.25">
      <c r="E66" s="143">
        <f t="shared" si="10"/>
        <v>127840.06286979167</v>
      </c>
      <c r="G66" s="143">
        <f t="shared" si="11"/>
        <v>127840.06286979167</v>
      </c>
      <c r="I66" s="143">
        <f t="shared" si="0"/>
        <v>127840.06286979167</v>
      </c>
      <c r="K66" s="143">
        <f t="shared" si="1"/>
        <v>127840.06286979167</v>
      </c>
      <c r="M66" s="143">
        <f t="shared" si="2"/>
        <v>127840.06286979167</v>
      </c>
      <c r="O66" s="143">
        <f t="shared" si="3"/>
        <v>127840.06286979167</v>
      </c>
      <c r="Q66" s="143">
        <f t="shared" si="4"/>
        <v>127840.06286979167</v>
      </c>
      <c r="S66" s="143">
        <f t="shared" si="5"/>
        <v>127840.06286979167</v>
      </c>
      <c r="U66" s="143">
        <f t="shared" si="6"/>
        <v>127840.06286979167</v>
      </c>
      <c r="W66" s="143">
        <f t="shared" si="7"/>
        <v>127840.06286979167</v>
      </c>
      <c r="Y66" s="143">
        <f t="shared" si="8"/>
        <v>127840.06286979167</v>
      </c>
      <c r="AA66" s="143">
        <f t="shared" si="9"/>
        <v>127840.06286979167</v>
      </c>
    </row>
    <row r="67" spans="5:27" x14ac:dyDescent="0.25">
      <c r="E67" s="143">
        <f t="shared" si="10"/>
        <v>3000</v>
      </c>
      <c r="G67" s="143">
        <f t="shared" si="11"/>
        <v>3000</v>
      </c>
      <c r="I67" s="143">
        <f t="shared" si="0"/>
        <v>3000</v>
      </c>
      <c r="K67" s="143">
        <f t="shared" si="1"/>
        <v>3000</v>
      </c>
      <c r="M67" s="143">
        <f t="shared" si="2"/>
        <v>3000</v>
      </c>
      <c r="O67" s="143">
        <f t="shared" si="3"/>
        <v>3000</v>
      </c>
      <c r="Q67" s="143">
        <f t="shared" si="4"/>
        <v>3000</v>
      </c>
      <c r="S67" s="143">
        <f t="shared" si="5"/>
        <v>3000</v>
      </c>
      <c r="U67" s="143">
        <f t="shared" si="6"/>
        <v>3000</v>
      </c>
      <c r="W67" s="143">
        <f t="shared" si="7"/>
        <v>3000</v>
      </c>
      <c r="Y67" s="143">
        <f t="shared" si="8"/>
        <v>3000</v>
      </c>
      <c r="AA67" s="143">
        <f t="shared" si="9"/>
        <v>3000</v>
      </c>
    </row>
    <row r="68" spans="5:27" x14ac:dyDescent="0.25">
      <c r="E68" s="143">
        <f t="shared" si="10"/>
        <v>10000</v>
      </c>
      <c r="G68" s="143">
        <f t="shared" si="11"/>
        <v>10000</v>
      </c>
      <c r="I68" s="143">
        <f t="shared" si="0"/>
        <v>10000</v>
      </c>
      <c r="K68" s="143">
        <f t="shared" si="1"/>
        <v>10000</v>
      </c>
      <c r="M68" s="143">
        <f t="shared" si="2"/>
        <v>10000</v>
      </c>
      <c r="O68" s="143">
        <f t="shared" si="3"/>
        <v>10000</v>
      </c>
      <c r="Q68" s="143">
        <f t="shared" si="4"/>
        <v>10000</v>
      </c>
      <c r="S68" s="143">
        <f t="shared" si="5"/>
        <v>10000</v>
      </c>
      <c r="U68" s="143">
        <f t="shared" si="6"/>
        <v>10000</v>
      </c>
      <c r="W68" s="143">
        <f t="shared" si="7"/>
        <v>10000</v>
      </c>
      <c r="Y68" s="143">
        <f t="shared" si="8"/>
        <v>10000</v>
      </c>
      <c r="AA68" s="143">
        <f t="shared" si="9"/>
        <v>10000</v>
      </c>
    </row>
    <row r="69" spans="5:27" x14ac:dyDescent="0.25">
      <c r="E69" s="143">
        <f t="shared" si="10"/>
        <v>10000</v>
      </c>
      <c r="G69" s="143">
        <f t="shared" si="11"/>
        <v>10000</v>
      </c>
      <c r="I69" s="143">
        <f t="shared" si="0"/>
        <v>10000</v>
      </c>
      <c r="K69" s="143">
        <f t="shared" si="1"/>
        <v>90000</v>
      </c>
      <c r="M69" s="143">
        <f t="shared" si="2"/>
        <v>10000</v>
      </c>
      <c r="O69" s="143">
        <f t="shared" si="3"/>
        <v>10000</v>
      </c>
      <c r="Q69" s="143">
        <f t="shared" si="4"/>
        <v>10000</v>
      </c>
      <c r="S69" s="143">
        <f t="shared" si="5"/>
        <v>120000</v>
      </c>
      <c r="U69" s="143">
        <f t="shared" si="6"/>
        <v>40000</v>
      </c>
      <c r="W69" s="143">
        <f t="shared" si="7"/>
        <v>120000</v>
      </c>
      <c r="Y69" s="143">
        <f t="shared" si="8"/>
        <v>40000</v>
      </c>
      <c r="AA69" s="143">
        <f t="shared" si="9"/>
        <v>150000</v>
      </c>
    </row>
    <row r="70" spans="5:27" x14ac:dyDescent="0.25">
      <c r="E70" s="143">
        <f t="shared" si="10"/>
        <v>0</v>
      </c>
      <c r="G70" s="143">
        <f t="shared" si="11"/>
        <v>0</v>
      </c>
      <c r="I70" s="143">
        <f t="shared" si="0"/>
        <v>0</v>
      </c>
      <c r="K70" s="143">
        <f t="shared" si="1"/>
        <v>0</v>
      </c>
      <c r="M70" s="143">
        <f t="shared" si="2"/>
        <v>0</v>
      </c>
      <c r="O70" s="143">
        <f t="shared" si="3"/>
        <v>0</v>
      </c>
      <c r="Q70" s="143">
        <f t="shared" si="4"/>
        <v>0</v>
      </c>
      <c r="S70" s="143">
        <f t="shared" si="5"/>
        <v>0</v>
      </c>
      <c r="U70" s="143">
        <f t="shared" si="6"/>
        <v>0</v>
      </c>
      <c r="W70" s="143">
        <f t="shared" si="7"/>
        <v>0</v>
      </c>
      <c r="Y70" s="143">
        <f t="shared" si="8"/>
        <v>0</v>
      </c>
      <c r="AA70" s="143">
        <f t="shared" si="9"/>
        <v>0</v>
      </c>
    </row>
    <row r="71" spans="5:27" x14ac:dyDescent="0.25">
      <c r="E71" s="143">
        <f t="shared" si="10"/>
        <v>201264.96786179167</v>
      </c>
      <c r="G71" s="143">
        <f t="shared" si="11"/>
        <v>201264.96786179167</v>
      </c>
      <c r="I71" s="143">
        <f t="shared" si="0"/>
        <v>201264.96786179167</v>
      </c>
      <c r="K71" s="143">
        <f t="shared" si="1"/>
        <v>281264.96786179167</v>
      </c>
      <c r="M71" s="143">
        <f t="shared" si="2"/>
        <v>201264.96786179167</v>
      </c>
      <c r="O71" s="143">
        <f t="shared" si="3"/>
        <v>201264.96786179167</v>
      </c>
      <c r="Q71" s="143">
        <f t="shared" si="4"/>
        <v>201264.96786179167</v>
      </c>
      <c r="S71" s="143">
        <f t="shared" si="5"/>
        <v>311264.96786179167</v>
      </c>
      <c r="U71" s="143">
        <f t="shared" si="6"/>
        <v>231264.96786179167</v>
      </c>
      <c r="W71" s="143">
        <f t="shared" si="7"/>
        <v>311264.96786179167</v>
      </c>
      <c r="Y71" s="143">
        <f t="shared" si="8"/>
        <v>231264.96786179167</v>
      </c>
      <c r="AA71" s="143">
        <f t="shared" si="9"/>
        <v>341264.96786179167</v>
      </c>
    </row>
    <row r="72" spans="5:27" x14ac:dyDescent="0.25">
      <c r="E72" s="143">
        <f t="shared" si="10"/>
        <v>0</v>
      </c>
      <c r="G72" s="143">
        <f t="shared" si="11"/>
        <v>0</v>
      </c>
      <c r="I72" s="143">
        <f t="shared" si="0"/>
        <v>0</v>
      </c>
      <c r="K72" s="143">
        <f t="shared" si="1"/>
        <v>0</v>
      </c>
      <c r="M72" s="143">
        <f t="shared" si="2"/>
        <v>0</v>
      </c>
      <c r="O72" s="143">
        <f t="shared" si="3"/>
        <v>0</v>
      </c>
      <c r="Q72" s="143">
        <f t="shared" si="4"/>
        <v>0</v>
      </c>
      <c r="S72" s="143">
        <f t="shared" si="5"/>
        <v>0</v>
      </c>
      <c r="U72" s="143">
        <f t="shared" si="6"/>
        <v>0</v>
      </c>
      <c r="W72" s="143">
        <f t="shared" si="7"/>
        <v>0</v>
      </c>
      <c r="Y72" s="143">
        <f t="shared" si="8"/>
        <v>0</v>
      </c>
      <c r="AA72" s="143">
        <f t="shared" si="9"/>
        <v>0</v>
      </c>
    </row>
    <row r="73" spans="5:27" x14ac:dyDescent="0.25">
      <c r="E73" s="143">
        <f t="shared" si="10"/>
        <v>333523.31713820848</v>
      </c>
      <c r="G73" s="143">
        <f t="shared" si="11"/>
        <v>305623.31713820848</v>
      </c>
      <c r="I73" s="143">
        <f t="shared" si="0"/>
        <v>368941.13713820855</v>
      </c>
      <c r="K73" s="143">
        <f t="shared" si="1"/>
        <v>384935.94213820848</v>
      </c>
      <c r="M73" s="143">
        <f t="shared" si="2"/>
        <v>480945.94213820848</v>
      </c>
      <c r="O73" s="143">
        <f t="shared" si="3"/>
        <v>476925.94213820848</v>
      </c>
      <c r="Q73" s="143">
        <f t="shared" si="4"/>
        <v>472188.14813820849</v>
      </c>
      <c r="S73" s="143">
        <f t="shared" si="5"/>
        <v>222828.14813820849</v>
      </c>
      <c r="U73" s="143">
        <f t="shared" si="6"/>
        <v>301258.14813820849</v>
      </c>
      <c r="W73" s="143">
        <f t="shared" si="7"/>
        <v>765733.98213820858</v>
      </c>
      <c r="Y73" s="143">
        <f t="shared" si="8"/>
        <v>532623.98213820858</v>
      </c>
      <c r="AA73" s="143">
        <f t="shared" si="9"/>
        <v>225199.8121382086</v>
      </c>
    </row>
    <row r="74" spans="5:27" x14ac:dyDescent="0.25">
      <c r="E74" s="143">
        <f t="shared" si="10"/>
        <v>0</v>
      </c>
      <c r="G74" s="143">
        <f t="shared" si="11"/>
        <v>0</v>
      </c>
      <c r="I74" s="143">
        <f t="shared" si="0"/>
        <v>0</v>
      </c>
      <c r="K74" s="143">
        <f t="shared" si="1"/>
        <v>0</v>
      </c>
      <c r="M74" s="143">
        <f t="shared" si="2"/>
        <v>0</v>
      </c>
      <c r="O74" s="143">
        <f t="shared" si="3"/>
        <v>0</v>
      </c>
      <c r="Q74" s="143">
        <f t="shared" si="4"/>
        <v>0</v>
      </c>
      <c r="S74" s="143">
        <f t="shared" si="5"/>
        <v>0</v>
      </c>
      <c r="U74" s="143">
        <f t="shared" si="6"/>
        <v>0</v>
      </c>
      <c r="W74" s="143">
        <f t="shared" si="7"/>
        <v>0</v>
      </c>
      <c r="Y74" s="143">
        <f t="shared" si="8"/>
        <v>0</v>
      </c>
      <c r="AA74" s="143">
        <f t="shared" si="9"/>
        <v>0</v>
      </c>
    </row>
    <row r="75" spans="5:27" x14ac:dyDescent="0.25">
      <c r="E75" s="143">
        <f t="shared" si="10"/>
        <v>5000</v>
      </c>
      <c r="G75" s="143">
        <f t="shared" si="11"/>
        <v>5000</v>
      </c>
      <c r="I75" s="143">
        <f t="shared" si="0"/>
        <v>5000</v>
      </c>
      <c r="K75" s="143">
        <f t="shared" si="1"/>
        <v>5000</v>
      </c>
      <c r="M75" s="143">
        <f t="shared" si="2"/>
        <v>5000</v>
      </c>
      <c r="O75" s="143">
        <f t="shared" si="3"/>
        <v>5000</v>
      </c>
      <c r="Q75" s="143">
        <f t="shared" si="4"/>
        <v>5000</v>
      </c>
      <c r="S75" s="143">
        <f t="shared" si="5"/>
        <v>5000</v>
      </c>
      <c r="U75" s="143">
        <f t="shared" si="6"/>
        <v>5000</v>
      </c>
      <c r="W75" s="143">
        <f t="shared" si="7"/>
        <v>5000</v>
      </c>
      <c r="Y75" s="143">
        <f t="shared" si="8"/>
        <v>5000</v>
      </c>
      <c r="AA75" s="143">
        <f t="shared" si="9"/>
        <v>5000</v>
      </c>
    </row>
    <row r="76" spans="5:27" x14ac:dyDescent="0.25">
      <c r="E76" s="143">
        <f t="shared" si="10"/>
        <v>0</v>
      </c>
      <c r="G76" s="143">
        <f t="shared" si="11"/>
        <v>0</v>
      </c>
      <c r="I76" s="143">
        <f t="shared" si="0"/>
        <v>0</v>
      </c>
      <c r="K76" s="143">
        <f t="shared" si="1"/>
        <v>0</v>
      </c>
      <c r="M76" s="143">
        <f t="shared" si="2"/>
        <v>0</v>
      </c>
      <c r="O76" s="143">
        <f t="shared" si="3"/>
        <v>0</v>
      </c>
      <c r="Q76" s="143">
        <f t="shared" si="4"/>
        <v>0</v>
      </c>
      <c r="S76" s="143">
        <f t="shared" si="5"/>
        <v>0</v>
      </c>
      <c r="U76" s="143">
        <f t="shared" si="6"/>
        <v>0</v>
      </c>
      <c r="W76" s="143">
        <f t="shared" si="7"/>
        <v>0</v>
      </c>
      <c r="Y76" s="143">
        <f t="shared" si="8"/>
        <v>0</v>
      </c>
      <c r="AA76" s="143">
        <f t="shared" si="9"/>
        <v>0</v>
      </c>
    </row>
    <row r="77" spans="5:27" x14ac:dyDescent="0.25">
      <c r="E77" s="143">
        <f t="shared" si="10"/>
        <v>6000</v>
      </c>
      <c r="G77" s="143">
        <f t="shared" si="11"/>
        <v>6000</v>
      </c>
      <c r="I77" s="143">
        <f t="shared" si="0"/>
        <v>6000</v>
      </c>
      <c r="K77" s="143">
        <f t="shared" si="1"/>
        <v>6000</v>
      </c>
      <c r="M77" s="143">
        <f t="shared" si="2"/>
        <v>6000</v>
      </c>
      <c r="O77" s="143">
        <f t="shared" si="3"/>
        <v>6000</v>
      </c>
      <c r="Q77" s="143">
        <f t="shared" si="4"/>
        <v>6000</v>
      </c>
      <c r="S77" s="143">
        <f t="shared" si="5"/>
        <v>6000</v>
      </c>
      <c r="U77" s="143">
        <f t="shared" si="6"/>
        <v>6000</v>
      </c>
      <c r="W77" s="143">
        <f t="shared" si="7"/>
        <v>6000</v>
      </c>
      <c r="Y77" s="143">
        <f t="shared" si="8"/>
        <v>6000</v>
      </c>
      <c r="AA77" s="143">
        <f t="shared" si="9"/>
        <v>6000</v>
      </c>
    </row>
    <row r="78" spans="5:27" x14ac:dyDescent="0.25">
      <c r="E78" s="143">
        <f t="shared" si="10"/>
        <v>11000</v>
      </c>
      <c r="G78" s="143">
        <f t="shared" si="11"/>
        <v>11000</v>
      </c>
      <c r="I78" s="143">
        <f t="shared" si="0"/>
        <v>11000</v>
      </c>
      <c r="K78" s="143">
        <f t="shared" si="1"/>
        <v>11000</v>
      </c>
      <c r="M78" s="143">
        <f t="shared" si="2"/>
        <v>11000</v>
      </c>
      <c r="O78" s="143">
        <f t="shared" si="3"/>
        <v>11000</v>
      </c>
      <c r="Q78" s="143">
        <f t="shared" si="4"/>
        <v>11000</v>
      </c>
      <c r="S78" s="143">
        <f t="shared" si="5"/>
        <v>11000</v>
      </c>
      <c r="U78" s="143">
        <f t="shared" si="6"/>
        <v>11000</v>
      </c>
      <c r="W78" s="143">
        <f t="shared" si="7"/>
        <v>11000</v>
      </c>
      <c r="Y78" s="143">
        <f t="shared" si="8"/>
        <v>11000</v>
      </c>
      <c r="AA78" s="143">
        <f t="shared" si="9"/>
        <v>11000</v>
      </c>
    </row>
    <row r="79" spans="5:27" x14ac:dyDescent="0.25">
      <c r="E79" s="143">
        <f t="shared" si="10"/>
        <v>0</v>
      </c>
      <c r="G79" s="143">
        <f t="shared" si="11"/>
        <v>0</v>
      </c>
      <c r="I79" s="143">
        <f t="shared" si="0"/>
        <v>0</v>
      </c>
      <c r="K79" s="143">
        <f t="shared" si="1"/>
        <v>0</v>
      </c>
      <c r="M79" s="143">
        <f t="shared" si="2"/>
        <v>0</v>
      </c>
      <c r="O79" s="143">
        <f t="shared" si="3"/>
        <v>0</v>
      </c>
      <c r="Q79" s="143">
        <f t="shared" si="4"/>
        <v>0</v>
      </c>
      <c r="S79" s="143">
        <f t="shared" si="5"/>
        <v>0</v>
      </c>
      <c r="U79" s="143">
        <f t="shared" si="6"/>
        <v>0</v>
      </c>
      <c r="W79" s="143">
        <f t="shared" si="7"/>
        <v>0</v>
      </c>
      <c r="Y79" s="143">
        <f t="shared" si="8"/>
        <v>0</v>
      </c>
      <c r="AA79" s="143">
        <f t="shared" si="9"/>
        <v>0</v>
      </c>
    </row>
    <row r="80" spans="5:27" x14ac:dyDescent="0.25">
      <c r="E80" s="143">
        <f t="shared" si="10"/>
        <v>322523.31713820848</v>
      </c>
      <c r="G80" s="143">
        <f t="shared" si="11"/>
        <v>294623.31713820848</v>
      </c>
      <c r="I80" s="143">
        <f t="shared" si="0"/>
        <v>357941.13713820855</v>
      </c>
      <c r="K80" s="143">
        <f t="shared" si="1"/>
        <v>373935.94213820848</v>
      </c>
      <c r="M80" s="143">
        <f t="shared" si="2"/>
        <v>469945.94213820848</v>
      </c>
      <c r="O80" s="143">
        <f t="shared" si="3"/>
        <v>465925.94213820848</v>
      </c>
      <c r="Q80" s="143">
        <f t="shared" si="4"/>
        <v>461188.14813820849</v>
      </c>
      <c r="S80" s="143">
        <f t="shared" si="5"/>
        <v>211828.14813820849</v>
      </c>
      <c r="U80" s="143">
        <f t="shared" si="6"/>
        <v>290258.14813820849</v>
      </c>
      <c r="W80" s="143">
        <f t="shared" si="7"/>
        <v>754733.98213820858</v>
      </c>
      <c r="Y80" s="143">
        <f t="shared" si="8"/>
        <v>521623.98213820858</v>
      </c>
      <c r="AA80" s="143">
        <f t="shared" si="9"/>
        <v>214199.8121382086</v>
      </c>
    </row>
    <row r="81" spans="5:27" x14ac:dyDescent="0.25">
      <c r="E81" s="143">
        <f t="shared" si="10"/>
        <v>0</v>
      </c>
      <c r="G81" s="143">
        <f t="shared" si="11"/>
        <v>0</v>
      </c>
      <c r="I81" s="143">
        <f t="shared" si="0"/>
        <v>0</v>
      </c>
      <c r="K81" s="143">
        <f t="shared" si="1"/>
        <v>0</v>
      </c>
      <c r="M81" s="143">
        <f t="shared" si="2"/>
        <v>0</v>
      </c>
      <c r="O81" s="143">
        <f t="shared" si="3"/>
        <v>0</v>
      </c>
      <c r="Q81" s="143">
        <f t="shared" si="4"/>
        <v>0</v>
      </c>
      <c r="S81" s="143">
        <f t="shared" si="5"/>
        <v>0</v>
      </c>
      <c r="U81" s="143">
        <f t="shared" si="6"/>
        <v>0</v>
      </c>
      <c r="W81" s="143">
        <f t="shared" si="7"/>
        <v>0</v>
      </c>
      <c r="Y81" s="143">
        <f t="shared" si="8"/>
        <v>0</v>
      </c>
      <c r="AA81" s="143">
        <f t="shared" si="9"/>
        <v>0</v>
      </c>
    </row>
    <row r="82" spans="5:27" x14ac:dyDescent="0.25">
      <c r="E82" s="143">
        <f t="shared" si="10"/>
        <v>48378.49757073127</v>
      </c>
      <c r="G82" s="143">
        <f t="shared" si="11"/>
        <v>44193.49757073127</v>
      </c>
      <c r="I82" s="143">
        <f t="shared" si="0"/>
        <v>53691.170570731279</v>
      </c>
      <c r="K82" s="143">
        <f t="shared" si="1"/>
        <v>56090.391320731273</v>
      </c>
      <c r="M82" s="143">
        <f t="shared" si="2"/>
        <v>70491.891320731273</v>
      </c>
      <c r="O82" s="143">
        <f t="shared" si="3"/>
        <v>69888.891320731273</v>
      </c>
      <c r="Q82" s="143">
        <f t="shared" si="4"/>
        <v>69178.222220731273</v>
      </c>
      <c r="S82" s="143">
        <f t="shared" si="5"/>
        <v>31774.222220731273</v>
      </c>
      <c r="U82" s="143">
        <f t="shared" si="6"/>
        <v>43538.722220731273</v>
      </c>
      <c r="W82" s="143">
        <f t="shared" si="7"/>
        <v>113210.09732073128</v>
      </c>
      <c r="Y82" s="143">
        <f t="shared" si="8"/>
        <v>78243.597320731278</v>
      </c>
      <c r="AA82" s="143">
        <f t="shared" si="9"/>
        <v>32129.971820731287</v>
      </c>
    </row>
    <row r="83" spans="5:27" x14ac:dyDescent="0.25">
      <c r="E83" s="143">
        <f t="shared" si="10"/>
        <v>0</v>
      </c>
      <c r="G83" s="143">
        <f t="shared" si="11"/>
        <v>0</v>
      </c>
      <c r="I83" s="143">
        <f t="shared" si="0"/>
        <v>0</v>
      </c>
      <c r="K83" s="143">
        <f t="shared" si="1"/>
        <v>0</v>
      </c>
      <c r="M83" s="143">
        <f t="shared" si="2"/>
        <v>0</v>
      </c>
      <c r="O83" s="143">
        <f t="shared" si="3"/>
        <v>0</v>
      </c>
      <c r="Q83" s="143">
        <f t="shared" si="4"/>
        <v>0</v>
      </c>
      <c r="S83" s="143">
        <f t="shared" si="5"/>
        <v>0</v>
      </c>
      <c r="U83" s="143">
        <f t="shared" si="6"/>
        <v>0</v>
      </c>
      <c r="W83" s="143">
        <f t="shared" si="7"/>
        <v>0</v>
      </c>
      <c r="Y83" s="143">
        <f t="shared" si="8"/>
        <v>0</v>
      </c>
      <c r="AA83" s="143">
        <f t="shared" si="9"/>
        <v>0</v>
      </c>
    </row>
    <row r="84" spans="5:27" x14ac:dyDescent="0.25">
      <c r="E84" s="143">
        <f t="shared" si="10"/>
        <v>60311.860304844988</v>
      </c>
      <c r="G84" s="143">
        <f t="shared" si="11"/>
        <v>55094.560304844985</v>
      </c>
      <c r="I84" s="143">
        <f t="shared" si="0"/>
        <v>66934.992644844999</v>
      </c>
      <c r="K84" s="143">
        <f t="shared" si="1"/>
        <v>69926.021179844989</v>
      </c>
      <c r="M84" s="143">
        <f t="shared" si="2"/>
        <v>87879.891179844984</v>
      </c>
      <c r="O84" s="143">
        <f t="shared" si="3"/>
        <v>87128.151179844994</v>
      </c>
      <c r="Q84" s="143">
        <f t="shared" si="4"/>
        <v>86242.183701844988</v>
      </c>
      <c r="S84" s="143">
        <f t="shared" si="5"/>
        <v>39611.863701844988</v>
      </c>
      <c r="U84" s="143">
        <f t="shared" si="6"/>
        <v>54278.273701844992</v>
      </c>
      <c r="W84" s="143">
        <f t="shared" si="7"/>
        <v>141135.254659845</v>
      </c>
      <c r="Y84" s="143">
        <f t="shared" si="8"/>
        <v>97543.684659845007</v>
      </c>
      <c r="AA84" s="143">
        <f t="shared" si="9"/>
        <v>40055.364869845005</v>
      </c>
    </row>
    <row r="85" spans="5:27" x14ac:dyDescent="0.25">
      <c r="E85" s="143">
        <f t="shared" si="10"/>
        <v>0</v>
      </c>
      <c r="G85" s="143">
        <f t="shared" si="11"/>
        <v>0</v>
      </c>
      <c r="I85" s="143">
        <f t="shared" si="0"/>
        <v>0</v>
      </c>
      <c r="K85" s="143">
        <f t="shared" si="1"/>
        <v>0</v>
      </c>
      <c r="M85" s="143">
        <f t="shared" si="2"/>
        <v>0</v>
      </c>
      <c r="O85" s="143">
        <f t="shared" si="3"/>
        <v>0</v>
      </c>
      <c r="Q85" s="143">
        <f t="shared" si="4"/>
        <v>0</v>
      </c>
      <c r="S85" s="143">
        <f t="shared" si="5"/>
        <v>0</v>
      </c>
      <c r="U85" s="143">
        <f t="shared" si="6"/>
        <v>0</v>
      </c>
      <c r="W85" s="143">
        <f t="shared" si="7"/>
        <v>0</v>
      </c>
      <c r="Y85" s="143">
        <f t="shared" si="8"/>
        <v>0</v>
      </c>
      <c r="AA85" s="143">
        <f t="shared" si="9"/>
        <v>0</v>
      </c>
    </row>
    <row r="86" spans="5:27" x14ac:dyDescent="0.25">
      <c r="E86" s="143">
        <f t="shared" si="10"/>
        <v>213832.95926263224</v>
      </c>
      <c r="G86" s="143">
        <f t="shared" si="11"/>
        <v>195335.25926263223</v>
      </c>
      <c r="I86" s="143">
        <f t="shared" si="0"/>
        <v>237314.97392263229</v>
      </c>
      <c r="K86" s="143">
        <f t="shared" si="1"/>
        <v>247919.52963763225</v>
      </c>
      <c r="M86" s="143">
        <f t="shared" si="2"/>
        <v>311574.15963763226</v>
      </c>
      <c r="O86" s="143">
        <f t="shared" si="3"/>
        <v>308908.89963763225</v>
      </c>
      <c r="Q86" s="143">
        <f t="shared" si="4"/>
        <v>305767.74221563223</v>
      </c>
      <c r="S86" s="143">
        <f t="shared" si="5"/>
        <v>140442.06221563224</v>
      </c>
      <c r="U86" s="143">
        <f t="shared" si="6"/>
        <v>192441.15221563223</v>
      </c>
      <c r="W86" s="143">
        <f t="shared" si="7"/>
        <v>500388.63015763229</v>
      </c>
      <c r="Y86" s="143">
        <f t="shared" si="8"/>
        <v>345836.70015763229</v>
      </c>
      <c r="AA86" s="143">
        <f t="shared" si="9"/>
        <v>142014.47544763229</v>
      </c>
    </row>
    <row r="87" spans="5:27" x14ac:dyDescent="0.25">
      <c r="E87" s="143">
        <f t="shared" si="10"/>
        <v>0</v>
      </c>
      <c r="G87" s="143">
        <f t="shared" si="11"/>
        <v>0</v>
      </c>
      <c r="I87" s="143">
        <f t="shared" si="0"/>
        <v>0</v>
      </c>
      <c r="K87" s="143">
        <f t="shared" si="1"/>
        <v>0</v>
      </c>
      <c r="M87" s="143">
        <f t="shared" si="2"/>
        <v>0</v>
      </c>
      <c r="O87" s="143">
        <f t="shared" si="3"/>
        <v>0</v>
      </c>
      <c r="Q87" s="143">
        <f t="shared" si="4"/>
        <v>0</v>
      </c>
      <c r="S87" s="143">
        <f t="shared" si="5"/>
        <v>0</v>
      </c>
      <c r="U87" s="143">
        <f t="shared" si="6"/>
        <v>0</v>
      </c>
      <c r="W87" s="143">
        <f t="shared" si="7"/>
        <v>0</v>
      </c>
      <c r="Y87" s="143">
        <f t="shared" si="8"/>
        <v>0</v>
      </c>
      <c r="AA87" s="143">
        <f t="shared" si="9"/>
        <v>0</v>
      </c>
    </row>
    <row r="88" spans="5:27" x14ac:dyDescent="0.25">
      <c r="E88" s="143">
        <f t="shared" si="10"/>
        <v>50000</v>
      </c>
      <c r="G88" s="143">
        <f t="shared" si="11"/>
        <v>50000</v>
      </c>
      <c r="I88" s="143">
        <f t="shared" si="0"/>
        <v>50000</v>
      </c>
      <c r="K88" s="143">
        <f t="shared" si="1"/>
        <v>50000</v>
      </c>
      <c r="M88" s="143">
        <f t="shared" si="2"/>
        <v>50000</v>
      </c>
      <c r="O88" s="143">
        <f t="shared" si="3"/>
        <v>50000</v>
      </c>
      <c r="Q88" s="143">
        <f t="shared" si="4"/>
        <v>50000</v>
      </c>
      <c r="S88" s="143">
        <f t="shared" si="5"/>
        <v>50000</v>
      </c>
      <c r="U88" s="143">
        <f t="shared" si="6"/>
        <v>50000</v>
      </c>
      <c r="W88" s="143">
        <f t="shared" si="7"/>
        <v>50000</v>
      </c>
      <c r="Y88" s="143">
        <f t="shared" si="8"/>
        <v>55000</v>
      </c>
      <c r="AA88" s="143">
        <f t="shared" si="9"/>
        <v>55000</v>
      </c>
    </row>
    <row r="89" spans="5:27" x14ac:dyDescent="0.25">
      <c r="E89" s="143">
        <f t="shared" si="10"/>
        <v>0</v>
      </c>
      <c r="G89" s="143">
        <f t="shared" si="11"/>
        <v>0</v>
      </c>
      <c r="I89" s="143">
        <f t="shared" si="0"/>
        <v>0</v>
      </c>
      <c r="K89" s="143">
        <f t="shared" si="1"/>
        <v>0</v>
      </c>
      <c r="M89" s="143">
        <f t="shared" si="2"/>
        <v>0</v>
      </c>
      <c r="O89" s="143">
        <f t="shared" si="3"/>
        <v>0</v>
      </c>
      <c r="Q89" s="143">
        <f t="shared" si="4"/>
        <v>0</v>
      </c>
      <c r="S89" s="143">
        <f t="shared" si="5"/>
        <v>0</v>
      </c>
      <c r="U89" s="143">
        <f t="shared" si="6"/>
        <v>0</v>
      </c>
      <c r="W89" s="143">
        <f t="shared" si="7"/>
        <v>0</v>
      </c>
      <c r="Y89" s="143">
        <f t="shared" si="8"/>
        <v>0</v>
      </c>
      <c r="AA89" s="143">
        <f t="shared" si="9"/>
        <v>0</v>
      </c>
    </row>
    <row r="90" spans="5:27" x14ac:dyDescent="0.25">
      <c r="E90" s="143">
        <f t="shared" si="10"/>
        <v>263832.95926263224</v>
      </c>
      <c r="G90" s="143">
        <f t="shared" si="11"/>
        <v>245335.25926263223</v>
      </c>
      <c r="I90" s="143">
        <f t="shared" si="0"/>
        <v>287314.97392263229</v>
      </c>
      <c r="K90" s="143">
        <f t="shared" si="1"/>
        <v>297919.52963763225</v>
      </c>
      <c r="M90" s="143">
        <f t="shared" si="2"/>
        <v>361574.15963763226</v>
      </c>
      <c r="O90" s="143">
        <f t="shared" si="3"/>
        <v>358908.89963763225</v>
      </c>
      <c r="Q90" s="143">
        <f t="shared" si="4"/>
        <v>355767.74221563223</v>
      </c>
      <c r="S90" s="143">
        <f t="shared" si="5"/>
        <v>190442.06221563224</v>
      </c>
      <c r="U90" s="143">
        <f t="shared" si="6"/>
        <v>242441.15221563223</v>
      </c>
      <c r="W90" s="143">
        <f t="shared" si="7"/>
        <v>550388.63015763229</v>
      </c>
      <c r="Y90" s="143">
        <f t="shared" si="8"/>
        <v>400836.70015763229</v>
      </c>
      <c r="AA90" s="143">
        <f t="shared" si="9"/>
        <v>197014.47544763229</v>
      </c>
    </row>
    <row r="91" spans="5:27" x14ac:dyDescent="0.25">
      <c r="E91" s="143">
        <f t="shared" si="10"/>
        <v>0</v>
      </c>
      <c r="G91" s="143">
        <f t="shared" si="11"/>
        <v>0</v>
      </c>
      <c r="I91" s="143">
        <f t="shared" si="0"/>
        <v>0</v>
      </c>
      <c r="K91" s="143">
        <f t="shared" si="1"/>
        <v>0</v>
      </c>
      <c r="M91" s="143">
        <f t="shared" si="2"/>
        <v>0</v>
      </c>
      <c r="O91" s="143">
        <f t="shared" si="3"/>
        <v>0</v>
      </c>
      <c r="Q91" s="143">
        <f t="shared" si="4"/>
        <v>0</v>
      </c>
      <c r="S91" s="143">
        <f t="shared" si="5"/>
        <v>0</v>
      </c>
      <c r="U91" s="143">
        <f t="shared" si="6"/>
        <v>0</v>
      </c>
      <c r="W91" s="143">
        <f t="shared" si="7"/>
        <v>0</v>
      </c>
      <c r="Y91" s="143">
        <f t="shared" si="8"/>
        <v>0</v>
      </c>
      <c r="AA91" s="143">
        <f t="shared" si="9"/>
        <v>0</v>
      </c>
    </row>
    <row r="92" spans="5:27" x14ac:dyDescent="0.25">
      <c r="E92" s="143">
        <f t="shared" si="10"/>
        <v>329144.81956747721</v>
      </c>
      <c r="G92" s="143">
        <f t="shared" si="11"/>
        <v>305429.81956747721</v>
      </c>
      <c r="I92" s="143">
        <f t="shared" si="0"/>
        <v>359249.96656747727</v>
      </c>
      <c r="K92" s="143">
        <f t="shared" si="1"/>
        <v>372845.55081747723</v>
      </c>
      <c r="M92" s="143">
        <f t="shared" si="2"/>
        <v>454454.05081747723</v>
      </c>
      <c r="O92" s="143">
        <f t="shared" si="3"/>
        <v>451037.05081747723</v>
      </c>
      <c r="Q92" s="143">
        <f t="shared" si="4"/>
        <v>447009.92591747723</v>
      </c>
      <c r="S92" s="143">
        <f t="shared" si="5"/>
        <v>235053.92591747723</v>
      </c>
      <c r="U92" s="143">
        <f t="shared" si="6"/>
        <v>301719.42591747723</v>
      </c>
      <c r="W92" s="143">
        <f t="shared" si="7"/>
        <v>696523.88481747732</v>
      </c>
      <c r="Y92" s="143">
        <f t="shared" si="8"/>
        <v>503380.38481747732</v>
      </c>
      <c r="AA92" s="143">
        <f t="shared" si="9"/>
        <v>242069.8403174773</v>
      </c>
    </row>
  </sheetData>
  <mergeCells count="31">
    <mergeCell ref="B2:AE2"/>
    <mergeCell ref="G3:AD3"/>
    <mergeCell ref="D5:D6"/>
    <mergeCell ref="E5:E6"/>
    <mergeCell ref="F5:F6"/>
    <mergeCell ref="G5:G6"/>
    <mergeCell ref="H5:H6"/>
    <mergeCell ref="I5:I6"/>
    <mergeCell ref="J5:J6"/>
    <mergeCell ref="K5:K6"/>
    <mergeCell ref="W5:W6"/>
    <mergeCell ref="L5:L6"/>
    <mergeCell ref="M5:M6"/>
    <mergeCell ref="N5:N6"/>
    <mergeCell ref="O5:O6"/>
    <mergeCell ref="P5:P6"/>
    <mergeCell ref="Q5:Q6"/>
    <mergeCell ref="R5:R6"/>
    <mergeCell ref="S5:S6"/>
    <mergeCell ref="T5:T6"/>
    <mergeCell ref="U5:U6"/>
    <mergeCell ref="V5:V6"/>
    <mergeCell ref="AD5:AD6"/>
    <mergeCell ref="AG5:AG6"/>
    <mergeCell ref="AH5:AH6"/>
    <mergeCell ref="X5:X6"/>
    <mergeCell ref="Y5:Y6"/>
    <mergeCell ref="Z5:Z6"/>
    <mergeCell ref="AA5:AA6"/>
    <mergeCell ref="AB5:AB6"/>
    <mergeCell ref="AC5:AC6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40F9E-BE17-4267-A7CC-BF5146384F9C}">
  <dimension ref="B4:I38"/>
  <sheetViews>
    <sheetView topLeftCell="A10" workbookViewId="0">
      <selection activeCell="K14" sqref="K14"/>
    </sheetView>
  </sheetViews>
  <sheetFormatPr baseColWidth="10" defaultColWidth="9.140625" defaultRowHeight="15" x14ac:dyDescent="0.25"/>
  <cols>
    <col min="1" max="1" width="3" customWidth="1"/>
    <col min="2" max="2" width="29.28515625" style="35" bestFit="1" customWidth="1"/>
    <col min="3" max="3" width="1.7109375" customWidth="1"/>
    <col min="4" max="4" width="7.42578125" hidden="1" customWidth="1"/>
    <col min="5" max="5" width="2" customWidth="1"/>
    <col min="6" max="6" width="13.85546875" customWidth="1"/>
    <col min="7" max="7" width="2.42578125" customWidth="1"/>
    <col min="8" max="8" width="15.28515625" customWidth="1"/>
    <col min="9" max="9" width="2.42578125" customWidth="1"/>
    <col min="10" max="10" width="2.140625" customWidth="1"/>
  </cols>
  <sheetData>
    <row r="4" spans="2:9" ht="15.75" thickBot="1" x14ac:dyDescent="0.3"/>
    <row r="5" spans="2:9" ht="21" thickBot="1" x14ac:dyDescent="0.35">
      <c r="B5" s="398" t="s">
        <v>108</v>
      </c>
      <c r="C5" s="399"/>
      <c r="D5" s="399"/>
      <c r="E5" s="399"/>
      <c r="F5" s="399"/>
      <c r="G5" s="399"/>
      <c r="H5" s="399"/>
      <c r="I5" s="400"/>
    </row>
    <row r="6" spans="2:9" ht="15.75" x14ac:dyDescent="0.25">
      <c r="B6" s="429">
        <f>+'[1]Balance General'!B3:N3</f>
        <v>44531</v>
      </c>
      <c r="C6" s="429"/>
      <c r="D6" s="429"/>
      <c r="E6" s="429"/>
      <c r="F6" s="429"/>
      <c r="G6" s="429"/>
      <c r="H6" s="429"/>
      <c r="I6" s="429"/>
    </row>
    <row r="7" spans="2:9" ht="16.5" thickBot="1" x14ac:dyDescent="0.3">
      <c r="B7" s="239"/>
      <c r="C7" s="239"/>
      <c r="D7" s="239"/>
      <c r="E7" s="239"/>
      <c r="F7" s="239"/>
      <c r="G7" s="239"/>
      <c r="H7" s="239"/>
      <c r="I7" s="239"/>
    </row>
    <row r="8" spans="2:9" ht="15.75" x14ac:dyDescent="0.25">
      <c r="B8" s="239"/>
      <c r="C8" s="239"/>
      <c r="D8" s="430" t="s">
        <v>109</v>
      </c>
      <c r="E8" s="239"/>
      <c r="F8" s="432" t="s">
        <v>110</v>
      </c>
      <c r="G8" s="239"/>
      <c r="H8" s="432" t="s">
        <v>111</v>
      </c>
      <c r="I8" s="239"/>
    </row>
    <row r="9" spans="2:9" ht="16.5" thickBot="1" x14ac:dyDescent="0.3">
      <c r="B9" s="239"/>
      <c r="C9" s="239"/>
      <c r="D9" s="431"/>
      <c r="E9" s="239"/>
      <c r="F9" s="433"/>
      <c r="G9" s="239"/>
      <c r="H9" s="433"/>
      <c r="I9" s="239"/>
    </row>
    <row r="10" spans="2:9" ht="16.5" thickBot="1" x14ac:dyDescent="0.3">
      <c r="E10" s="239"/>
      <c r="G10" s="239"/>
      <c r="I10" s="239"/>
    </row>
    <row r="11" spans="2:9" ht="16.5" thickBot="1" x14ac:dyDescent="0.3">
      <c r="B11" s="240" t="s">
        <v>112</v>
      </c>
      <c r="E11" s="239"/>
      <c r="G11" s="239"/>
      <c r="I11" s="239"/>
    </row>
    <row r="12" spans="2:9" ht="15.75" x14ac:dyDescent="0.25">
      <c r="B12" s="240" t="s">
        <v>113</v>
      </c>
      <c r="D12" s="241">
        <f>+'[1]Comparativo PG Mes 000'!I23</f>
        <v>-1.1171301602990102</v>
      </c>
      <c r="E12" s="239"/>
      <c r="F12" s="241">
        <f>+'[1]Comparativo PG Acumulado 000'!F23</f>
        <v>0.18372382559805706</v>
      </c>
      <c r="G12" s="239"/>
      <c r="H12" s="241">
        <f>+'[1]Comparativo PG Acumulado 000'!J23</f>
        <v>0.18283029147158802</v>
      </c>
      <c r="I12" s="239"/>
    </row>
    <row r="13" spans="2:9" ht="15.75" x14ac:dyDescent="0.25">
      <c r="B13" s="25" t="s">
        <v>64</v>
      </c>
      <c r="D13" s="242">
        <f>+'[1]Comparativo PG Mes 000'!I31</f>
        <v>-1.594076682931767</v>
      </c>
      <c r="E13" s="239"/>
      <c r="F13" s="242">
        <f>+'[1]Comparativo PG Acumulado 000'!F31</f>
        <v>7.5787137702836016E-2</v>
      </c>
      <c r="G13" s="239"/>
      <c r="H13" s="242">
        <f>+'[1]Comparativo PG Acumulado 000'!J31</f>
        <v>8.0646422196283679E-2</v>
      </c>
      <c r="I13" s="239"/>
    </row>
    <row r="14" spans="2:9" ht="15.75" x14ac:dyDescent="0.25">
      <c r="B14" s="25" t="s">
        <v>114</v>
      </c>
      <c r="D14" s="242">
        <f>+'[1]Comparativo PG Mes 000'!I42</f>
        <v>-1.0130927872130924</v>
      </c>
      <c r="E14" s="239"/>
      <c r="F14" s="242">
        <f>+'[1]Comparativo PG Acumulado 000'!F42</f>
        <v>4.4453249238563794E-2</v>
      </c>
      <c r="G14" s="239"/>
      <c r="H14" s="242">
        <f>+'[1]Comparativo PG Acumulado 000'!J42</f>
        <v>4.2733150977945562E-2</v>
      </c>
      <c r="I14" s="239"/>
    </row>
    <row r="15" spans="2:9" ht="15.75" x14ac:dyDescent="0.25">
      <c r="B15" s="25" t="s">
        <v>115</v>
      </c>
      <c r="D15" s="242">
        <f>+'[1]Comparativo PG Mes 000'!H42/'[1]Balance General'!D40</f>
        <v>-0.16154152721718112</v>
      </c>
      <c r="E15" s="239"/>
      <c r="F15" s="242">
        <f>+'[1]Comparativo PG Acumulado 000'!E42/'[1]Balance General'!D40</f>
        <v>9.9346068800827983E-2</v>
      </c>
      <c r="G15" s="239"/>
      <c r="H15" s="242">
        <f>+'[1]Comparativo PG Acumulado 000'!I42/'[1]Balance General'!F40</f>
        <v>9.2335705311346564E-2</v>
      </c>
      <c r="I15" s="239"/>
    </row>
    <row r="16" spans="2:9" ht="16.5" thickBot="1" x14ac:dyDescent="0.3">
      <c r="B16" s="31" t="s">
        <v>72</v>
      </c>
      <c r="D16" s="243">
        <f>+'[1]Comparativo PG Mes 000'!I44</f>
        <v>-1.3271614151223894</v>
      </c>
      <c r="E16" s="239"/>
      <c r="F16" s="243">
        <f>+'[1]Comparativo PG Acumulado 000'!F44</f>
        <v>7.9501832778504158E-2</v>
      </c>
      <c r="G16" s="239"/>
      <c r="H16" s="243">
        <f>+'[1]Comparativo PG Acumulado 000'!J44</f>
        <v>8.6038397965763957E-2</v>
      </c>
      <c r="I16" s="239"/>
    </row>
    <row r="17" spans="2:9" ht="15.75" hidden="1" x14ac:dyDescent="0.25">
      <c r="B17" s="25" t="s">
        <v>116</v>
      </c>
      <c r="D17">
        <v>242</v>
      </c>
      <c r="E17" s="239"/>
      <c r="F17">
        <v>725</v>
      </c>
      <c r="G17" s="239"/>
      <c r="H17">
        <v>728</v>
      </c>
      <c r="I17" s="239"/>
    </row>
    <row r="18" spans="2:9" ht="15.75" hidden="1" x14ac:dyDescent="0.25">
      <c r="B18" s="25" t="s">
        <v>117</v>
      </c>
      <c r="D18">
        <v>73</v>
      </c>
      <c r="E18" s="239"/>
      <c r="F18">
        <v>217</v>
      </c>
      <c r="G18" s="239"/>
      <c r="H18">
        <v>268</v>
      </c>
      <c r="I18" s="239"/>
    </row>
    <row r="19" spans="2:9" ht="15.75" hidden="1" x14ac:dyDescent="0.25">
      <c r="B19" s="25"/>
      <c r="E19" s="239"/>
      <c r="G19" s="239"/>
      <c r="I19" s="239"/>
    </row>
    <row r="20" spans="2:9" ht="16.5" thickBot="1" x14ac:dyDescent="0.3">
      <c r="E20" s="239"/>
      <c r="G20" s="239"/>
      <c r="I20" s="239"/>
    </row>
    <row r="21" spans="2:9" ht="16.5" thickBot="1" x14ac:dyDescent="0.3">
      <c r="B21" s="38" t="s">
        <v>118</v>
      </c>
      <c r="E21" s="239"/>
      <c r="G21" s="239"/>
      <c r="I21" s="239"/>
    </row>
    <row r="22" spans="2:9" ht="15.75" x14ac:dyDescent="0.25">
      <c r="B22" s="25" t="s">
        <v>119</v>
      </c>
      <c r="D22" s="244">
        <f>+'[1]Balance General'!D14/'[1]Balance General'!D30</f>
        <v>1.4927447078353022</v>
      </c>
      <c r="E22" s="239"/>
      <c r="F22" s="244">
        <f>+D22</f>
        <v>1.4927447078353022</v>
      </c>
      <c r="G22" s="239"/>
      <c r="H22" s="244">
        <f>+'[1]Balance General'!F14/'[1]Balance General'!F30</f>
        <v>1.50019017943344</v>
      </c>
      <c r="I22" s="239"/>
    </row>
    <row r="23" spans="2:9" ht="16.5" thickBot="1" x14ac:dyDescent="0.3">
      <c r="B23" s="31" t="s">
        <v>120</v>
      </c>
      <c r="D23" s="245">
        <f>+('[1]Balance General'!D14-'[1]Balance General'!D9)/'[1]Balance General'!D30</f>
        <v>1.0633695133456242</v>
      </c>
      <c r="E23" s="239"/>
      <c r="F23" s="245">
        <f>D23</f>
        <v>1.0633695133456242</v>
      </c>
      <c r="G23" s="239"/>
      <c r="H23" s="245">
        <f>+('[1]Balance General'!F14-'[1]Balance General'!F9)/'[1]Balance General'!F30</f>
        <v>0.71379658778590416</v>
      </c>
      <c r="I23" s="239"/>
    </row>
    <row r="24" spans="2:9" ht="16.5" thickBot="1" x14ac:dyDescent="0.3">
      <c r="E24" s="239"/>
      <c r="G24" s="239"/>
      <c r="I24" s="239"/>
    </row>
    <row r="25" spans="2:9" ht="16.5" thickBot="1" x14ac:dyDescent="0.3">
      <c r="B25" s="240" t="s">
        <v>121</v>
      </c>
      <c r="E25" s="239"/>
      <c r="G25" s="239"/>
      <c r="I25" s="239"/>
    </row>
    <row r="26" spans="2:9" ht="15.75" x14ac:dyDescent="0.25">
      <c r="B26" s="240" t="s">
        <v>122</v>
      </c>
      <c r="E26" s="239"/>
      <c r="F26" s="246">
        <f>+[1]Cartera!I17</f>
        <v>46</v>
      </c>
      <c r="G26" s="239"/>
      <c r="H26" s="246">
        <f>+[1]Cartera!C17</f>
        <v>60.703102095264867</v>
      </c>
      <c r="I26" s="239"/>
    </row>
    <row r="27" spans="2:9" ht="15.75" x14ac:dyDescent="0.25">
      <c r="B27" s="25" t="s">
        <v>123</v>
      </c>
      <c r="E27" s="239"/>
      <c r="F27" s="247">
        <f>+'[1]Inventario '!G34</f>
        <v>136</v>
      </c>
      <c r="G27" s="239"/>
      <c r="H27" s="247">
        <f>+'[1]Inventario '!C34</f>
        <v>131</v>
      </c>
      <c r="I27" s="239"/>
    </row>
    <row r="28" spans="2:9" ht="15.75" x14ac:dyDescent="0.25">
      <c r="B28" s="25" t="s">
        <v>124</v>
      </c>
      <c r="E28" s="239"/>
      <c r="F28" s="247">
        <f>+'[1]Balance General'!D23/((+'[1]Comparativo PG Acumulado 000'!E20+'[1]Comparativo PG Acumulado 000'!E21)/[1]Cabecera!E8)</f>
        <v>170.6325585342604</v>
      </c>
      <c r="G28" s="239"/>
      <c r="H28" s="247">
        <f>+'[1]Balance General'!F23/(('[1]Comparativo PG Acumulado 000'!I20+'[1]Comparativo PG Acumulado 000'!I21)/[1]Cabecera!E8)</f>
        <v>145.51311141190558</v>
      </c>
      <c r="I28" s="239"/>
    </row>
    <row r="29" spans="2:9" ht="15.75" x14ac:dyDescent="0.25">
      <c r="B29" s="25" t="s">
        <v>125</v>
      </c>
      <c r="E29" s="239"/>
      <c r="F29" s="248">
        <f>+F26+F27-F28</f>
        <v>11.367441465739603</v>
      </c>
      <c r="G29" s="239"/>
      <c r="H29" s="248">
        <f>+H26+H27-H28</f>
        <v>46.189990683359269</v>
      </c>
      <c r="I29" s="239"/>
    </row>
    <row r="30" spans="2:9" ht="15.75" x14ac:dyDescent="0.25">
      <c r="B30" s="25" t="s">
        <v>126</v>
      </c>
      <c r="E30" s="239"/>
      <c r="F30" s="249">
        <f>+'[1]Capital de Trabajo'!AF36</f>
        <v>0.28640907762166751</v>
      </c>
      <c r="G30" s="239"/>
      <c r="H30" s="249">
        <f>+'[1]Capital de Trabajo'!T36</f>
        <v>0.29190252004488354</v>
      </c>
      <c r="I30" s="239"/>
    </row>
    <row r="31" spans="2:9" ht="16.5" thickBot="1" x14ac:dyDescent="0.3">
      <c r="B31" s="31" t="s">
        <v>127</v>
      </c>
      <c r="E31" s="239"/>
      <c r="F31" s="250">
        <f>+'[1]Balance General'!D14-'[1]Balance General'!D30</f>
        <v>6529.4989099999984</v>
      </c>
      <c r="G31" s="239"/>
      <c r="H31" s="250">
        <f>+'[1]Balance General'!F14-'[1]Balance General'!F30</f>
        <v>4111.6949300000051</v>
      </c>
      <c r="I31" s="239"/>
    </row>
    <row r="32" spans="2:9" ht="16.5" thickBot="1" x14ac:dyDescent="0.3">
      <c r="E32" s="239"/>
      <c r="G32" s="239"/>
      <c r="I32" s="239"/>
    </row>
    <row r="33" spans="2:9" ht="16.5" thickBot="1" x14ac:dyDescent="0.3">
      <c r="B33" s="240" t="s">
        <v>128</v>
      </c>
      <c r="E33" s="239"/>
      <c r="G33" s="239"/>
      <c r="I33" s="239"/>
    </row>
    <row r="34" spans="2:9" ht="15.75" x14ac:dyDescent="0.25">
      <c r="B34" s="240" t="s">
        <v>129</v>
      </c>
      <c r="E34" s="239"/>
      <c r="F34" s="251">
        <f>+'[1]Balance General'!D38/'[1]Balance General'!D40</f>
        <v>1.0386271090031001</v>
      </c>
      <c r="G34" s="239"/>
      <c r="H34" s="251">
        <f>+'[1]Balance General'!F38/'[1]Balance General'!F40</f>
        <v>0.88958073163159057</v>
      </c>
      <c r="I34" s="239"/>
    </row>
    <row r="35" spans="2:9" ht="15.75" hidden="1" x14ac:dyDescent="0.25">
      <c r="B35" s="25" t="s">
        <v>130</v>
      </c>
      <c r="E35" s="239"/>
      <c r="F35" s="252">
        <f>+'[2]Balance General'!H35/'[2]Balance General'!H37</f>
        <v>1.286369944729858</v>
      </c>
      <c r="G35" s="239"/>
      <c r="H35" s="252">
        <f>40586/37768</f>
        <v>1.0746134293581868</v>
      </c>
      <c r="I35" s="239"/>
    </row>
    <row r="36" spans="2:9" ht="15.75" hidden="1" x14ac:dyDescent="0.25">
      <c r="B36" s="25"/>
      <c r="E36" s="239"/>
      <c r="F36" s="253"/>
      <c r="G36" s="239"/>
      <c r="H36" s="253"/>
      <c r="I36" s="239"/>
    </row>
    <row r="37" spans="2:9" ht="16.5" thickBot="1" x14ac:dyDescent="0.3">
      <c r="B37" s="31" t="s">
        <v>131</v>
      </c>
      <c r="E37" s="239"/>
      <c r="F37" s="254">
        <f>+'[1]Balance General'!D38/'[1]Balance General'!D19</f>
        <v>0.50947380441290935</v>
      </c>
      <c r="G37" s="239"/>
      <c r="H37" s="254">
        <f>+'[1]Balance General'!F38/'[1]Balance General'!F19</f>
        <v>0.47078207177920695</v>
      </c>
    </row>
    <row r="38" spans="2:9" x14ac:dyDescent="0.25">
      <c r="D38" s="37"/>
    </row>
  </sheetData>
  <mergeCells count="5">
    <mergeCell ref="B5:I5"/>
    <mergeCell ref="B6:I6"/>
    <mergeCell ref="D8:D9"/>
    <mergeCell ref="F8:F9"/>
    <mergeCell ref="H8:H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Hoja1</vt:lpstr>
      <vt:lpstr>Hoja2</vt:lpstr>
      <vt:lpstr>Hoja3</vt:lpstr>
      <vt:lpstr>Hoja4</vt:lpstr>
      <vt:lpstr>Hoja5</vt:lpstr>
      <vt:lpstr>Hoja6</vt:lpstr>
      <vt:lpstr>Hoja7</vt:lpstr>
      <vt:lpstr>Hoja8</vt:lpstr>
      <vt:lpstr>Hoja9</vt:lpstr>
      <vt:lpstr>Hoja10</vt:lpstr>
      <vt:lpstr>Hoja11</vt:lpstr>
      <vt:lpstr>Hoja12</vt:lpstr>
      <vt:lpstr>Hoja13</vt:lpstr>
      <vt:lpstr>Hoja14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Ing. Luis Morales Garzon</dc:creator>
  <cp:lastModifiedBy>Carlos Almeida</cp:lastModifiedBy>
  <dcterms:created xsi:type="dcterms:W3CDTF">2022-03-14T15:45:39Z</dcterms:created>
  <dcterms:modified xsi:type="dcterms:W3CDTF">2022-03-31T15:07:15Z</dcterms:modified>
</cp:coreProperties>
</file>