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Fase II Ejecucion\8000 Pruebas de Estado de Resultado\"/>
    </mc:Choice>
  </mc:AlternateContent>
  <xr:revisionPtr revIDLastSave="0" documentId="13_ncr:1_{587EF437-FCA7-4D12-82EC-34458EA60FD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edula resumen" sheetId="1" r:id="rId1"/>
    <sheet name="Prueba de ventas" sheetId="3" r:id="rId2"/>
    <sheet name="Detalle de ventas" sheetId="2" r:id="rId3"/>
    <sheet name="Detalle de pagos 2019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G27" i="5" l="1"/>
  <c r="H27" i="5" s="1"/>
  <c r="G28" i="5"/>
  <c r="H28" i="5" s="1"/>
  <c r="G29" i="5"/>
  <c r="H29" i="5" s="1"/>
  <c r="G30" i="5"/>
  <c r="H30" i="5" s="1"/>
  <c r="G31" i="5"/>
  <c r="H31" i="5" s="1"/>
  <c r="G23" i="5"/>
  <c r="H23" i="5" s="1"/>
  <c r="G14" i="5"/>
  <c r="H14" i="5" s="1"/>
  <c r="G4" i="5"/>
  <c r="H4" i="5" s="1"/>
  <c r="G6" i="5"/>
  <c r="G7" i="5" s="1"/>
  <c r="H7" i="5" s="1"/>
  <c r="G8" i="5"/>
  <c r="H8" i="5" s="1"/>
  <c r="G10" i="5"/>
  <c r="H10" i="5" s="1"/>
  <c r="G2" i="5"/>
  <c r="G3" i="5" s="1"/>
  <c r="G4" i="2"/>
  <c r="L4" i="2" s="1"/>
  <c r="G19" i="3"/>
  <c r="C18" i="3"/>
  <c r="E18" i="3" s="1"/>
  <c r="C16" i="3"/>
  <c r="E16" i="3" s="1"/>
  <c r="C15" i="3"/>
  <c r="E15" i="3" s="1"/>
  <c r="C11" i="3"/>
  <c r="E11" i="3" s="1"/>
  <c r="C10" i="3"/>
  <c r="E10" i="3" s="1"/>
  <c r="E12" i="3"/>
  <c r="E13" i="3"/>
  <c r="E14" i="3"/>
  <c r="E17" i="3"/>
  <c r="D19" i="3"/>
  <c r="C9" i="3"/>
  <c r="E9" i="3" s="1"/>
  <c r="C8" i="3"/>
  <c r="E8" i="3" s="1"/>
  <c r="C7" i="3"/>
  <c r="E7" i="3" s="1"/>
  <c r="H2" i="5" l="1"/>
  <c r="G11" i="5"/>
  <c r="G9" i="5"/>
  <c r="H9" i="5" s="1"/>
  <c r="H3" i="5"/>
  <c r="H6" i="5"/>
  <c r="G5" i="5"/>
  <c r="H5" i="5" s="1"/>
  <c r="E19" i="3"/>
  <c r="C19" i="3"/>
  <c r="D14" i="1"/>
  <c r="F17" i="2"/>
  <c r="C13" i="1" s="1"/>
  <c r="G12" i="5" l="1"/>
  <c r="H12" i="5" s="1"/>
  <c r="H11" i="5"/>
  <c r="F14" i="2"/>
  <c r="F16" i="2" s="1"/>
  <c r="C12" i="1" s="1"/>
  <c r="C14" i="1" s="1"/>
  <c r="J13" i="2"/>
  <c r="K13" i="2" s="1"/>
  <c r="G13" i="2"/>
  <c r="H13" i="2" s="1"/>
  <c r="J12" i="2"/>
  <c r="K12" i="2" s="1"/>
  <c r="G12" i="2"/>
  <c r="L12" i="2" s="1"/>
  <c r="J11" i="2"/>
  <c r="K11" i="2" s="1"/>
  <c r="G11" i="2"/>
  <c r="L11" i="2" s="1"/>
  <c r="J10" i="2"/>
  <c r="K10" i="2" s="1"/>
  <c r="G10" i="2"/>
  <c r="H10" i="2" s="1"/>
  <c r="J9" i="2"/>
  <c r="K9" i="2" s="1"/>
  <c r="G9" i="2"/>
  <c r="L9" i="2" s="1"/>
  <c r="J8" i="2"/>
  <c r="K8" i="2" s="1"/>
  <c r="G8" i="2"/>
  <c r="L8" i="2" s="1"/>
  <c r="J7" i="2"/>
  <c r="K7" i="2" s="1"/>
  <c r="G7" i="2"/>
  <c r="J6" i="2"/>
  <c r="K6" i="2" s="1"/>
  <c r="G6" i="2"/>
  <c r="J5" i="2"/>
  <c r="K5" i="2" s="1"/>
  <c r="G5" i="2"/>
  <c r="L5" i="2" s="1"/>
  <c r="J4" i="2"/>
  <c r="K4" i="2" s="1"/>
  <c r="J3" i="2"/>
  <c r="K3" i="2" s="1"/>
  <c r="G3" i="2"/>
  <c r="H3" i="2" s="1"/>
  <c r="J2" i="2"/>
  <c r="K2" i="2" s="1"/>
  <c r="G2" i="2"/>
  <c r="H2" i="2" s="1"/>
  <c r="L10" i="2" l="1"/>
  <c r="M10" i="2"/>
  <c r="H7" i="2"/>
  <c r="L7" i="2"/>
  <c r="L3" i="2"/>
  <c r="M3" i="2" s="1"/>
  <c r="H6" i="2"/>
  <c r="L6" i="2"/>
  <c r="M6" i="2" s="1"/>
  <c r="L2" i="2"/>
  <c r="H11" i="2"/>
  <c r="M11" i="2" s="1"/>
  <c r="G13" i="5"/>
  <c r="F15" i="5" s="1"/>
  <c r="G15" i="5" s="1"/>
  <c r="L13" i="2"/>
  <c r="M13" i="2" s="1"/>
  <c r="M2" i="2"/>
  <c r="H4" i="2"/>
  <c r="M4" i="2" s="1"/>
  <c r="H8" i="2"/>
  <c r="M8" i="2"/>
  <c r="H9" i="2"/>
  <c r="M9" i="2" s="1"/>
  <c r="N9" i="2" s="1"/>
  <c r="N14" i="2" s="1"/>
  <c r="H5" i="2"/>
  <c r="M5" i="2" s="1"/>
  <c r="H12" i="2"/>
  <c r="M12" i="2" s="1"/>
  <c r="D9" i="1"/>
  <c r="C9" i="1"/>
  <c r="E7" i="1"/>
  <c r="M7" i="2" l="1"/>
  <c r="G16" i="5"/>
  <c r="H15" i="5"/>
  <c r="H13" i="5"/>
  <c r="E9" i="1"/>
  <c r="F9" i="1" s="1"/>
  <c r="G17" i="5" l="1"/>
  <c r="H16" i="5"/>
  <c r="G18" i="5" l="1"/>
  <c r="H17" i="5"/>
  <c r="G19" i="5" l="1"/>
  <c r="H18" i="5"/>
  <c r="G20" i="5" l="1"/>
  <c r="H19" i="5"/>
  <c r="H20" i="5" l="1"/>
  <c r="G21" i="5"/>
  <c r="H21" i="5" l="1"/>
  <c r="G22" i="5"/>
  <c r="H22" i="5" l="1"/>
  <c r="F24" i="5"/>
  <c r="G24" i="5" s="1"/>
  <c r="H24" i="5" l="1"/>
  <c r="G25" i="5"/>
  <c r="H25" i="5" l="1"/>
  <c r="G26" i="5"/>
  <c r="H26" i="5" s="1"/>
</calcChain>
</file>

<file path=xl/sharedStrings.xml><?xml version="1.0" encoding="utf-8"?>
<sst xmlns="http://schemas.openxmlformats.org/spreadsheetml/2006/main" count="169" uniqueCount="101">
  <si>
    <t>Al 31 de diciembre del 2019</t>
  </si>
  <si>
    <t>Codigo</t>
  </si>
  <si>
    <t>Cuenta contable</t>
  </si>
  <si>
    <t>Variacion</t>
  </si>
  <si>
    <t>%</t>
  </si>
  <si>
    <t>Comentarios</t>
  </si>
  <si>
    <t>4-1-1-01-01-001</t>
  </si>
  <si>
    <t>TOTAL</t>
  </si>
  <si>
    <t>SERVICIOS TELCODATA S.A.</t>
  </si>
  <si>
    <t xml:space="preserve">      VENTAS EQUIPOS</t>
  </si>
  <si>
    <t xml:space="preserve">FECHA </t>
  </si>
  <si>
    <t>#</t>
  </si>
  <si>
    <t xml:space="preserve">CLIENTE </t>
  </si>
  <si>
    <t>DETALLE</t>
  </si>
  <si>
    <t>RUC</t>
  </si>
  <si>
    <t>SUBTOTAL</t>
  </si>
  <si>
    <t xml:space="preserve">IVA </t>
  </si>
  <si>
    <t>n.º de Retención</t>
  </si>
  <si>
    <t>Ret. Iva</t>
  </si>
  <si>
    <t>Total a pagar</t>
  </si>
  <si>
    <t>Saldo pendiente al 31/12/2019</t>
  </si>
  <si>
    <t>TELCONET</t>
  </si>
  <si>
    <t xml:space="preserve">MANTENIMIENTO DE BATERIAS </t>
  </si>
  <si>
    <t>PAGADO</t>
  </si>
  <si>
    <t>DRY BATTERY 230 DEEP CYCLE MAX RANGE</t>
  </si>
  <si>
    <t>MANTENIMIENTO DE BATERIAS</t>
  </si>
  <si>
    <t>1200 DRY BATTERY 12V/120A MOD DM-12120 SOLICITADOS POR ING JORGE TOURIZ DPTO ELE</t>
  </si>
  <si>
    <t>BATERIAS EVEREXCEED</t>
  </si>
  <si>
    <t>1200 DRY BATTERY 12V/120A MOD DM-12120</t>
  </si>
  <si>
    <t>COMPRA DE 1200 DRY BATTERY 12V/120A MOD DM-12120</t>
  </si>
  <si>
    <t>Total ventas</t>
  </si>
  <si>
    <t>Cuentas por cobrar</t>
  </si>
  <si>
    <t>CEDULA RESUMEN DE INGRESOS</t>
  </si>
  <si>
    <t>NOTAS A LOS ESTADOS FINANCIEROS:</t>
  </si>
  <si>
    <t>Ventas de equipos</t>
  </si>
  <si>
    <t>Mantenimiento</t>
  </si>
  <si>
    <t>Ret. Fuente US$</t>
  </si>
  <si>
    <t>Servicios de mantenimiento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</si>
  <si>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</si>
  <si>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</si>
  <si>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</si>
  <si>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</si>
  <si>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</si>
  <si>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</si>
  <si>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</si>
  <si>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</si>
  <si>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</si>
  <si>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</si>
  <si>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</si>
  <si>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</si>
  <si>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</si>
  <si>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Mayor general</t>
  </si>
  <si>
    <t>Declaraciones de IVA</t>
  </si>
  <si>
    <t>Ventas segun</t>
  </si>
  <si>
    <t>Diferencia</t>
  </si>
  <si>
    <t>Deposito</t>
  </si>
  <si>
    <t>en bancos</t>
  </si>
  <si>
    <t>se emitio 2 facturas</t>
  </si>
  <si>
    <t>se emitio 3 facturas</t>
  </si>
  <si>
    <t>Se cancelo una factura anterior por $ 14986,00 y se abono $ 55410,00 a una factura realizada en este mes</t>
  </si>
  <si>
    <t>Se emitio 1 factura</t>
  </si>
  <si>
    <t>Un deposito de $ 40000,00 y una nota de credito por $ 5000,00</t>
  </si>
  <si>
    <t>1 deposito por $ 14986,00</t>
  </si>
  <si>
    <t>no hay datos bancarios de este mes</t>
  </si>
  <si>
    <t>no se realizaron depositos en este mes</t>
  </si>
  <si>
    <t>Se cancelaron cancelarion 2 facturas por un monto de $ 78470,14 y se abono a la tercera factura un monto de $ 14504,90</t>
  </si>
  <si>
    <t>Factura</t>
  </si>
  <si>
    <t>Fecha</t>
  </si>
  <si>
    <t>Monto</t>
  </si>
  <si>
    <t>nota de credito por no retencion del 1%</t>
  </si>
  <si>
    <t>algun abono de otra factura del 2018</t>
  </si>
  <si>
    <t>Otros pagos</t>
  </si>
  <si>
    <t>Concepto</t>
  </si>
  <si>
    <t>Nota de credito</t>
  </si>
  <si>
    <t>Deposito en camara Banco Machala</t>
  </si>
  <si>
    <t>Saldo</t>
  </si>
  <si>
    <t>Credito</t>
  </si>
  <si>
    <t>Debito</t>
  </si>
  <si>
    <t>TRASPASO DE SALDO</t>
  </si>
  <si>
    <t>Deposito en camara Banco Machala - 10/01/2019</t>
  </si>
  <si>
    <t>Deposito en camara Banco Machala - 15/01/2019</t>
  </si>
  <si>
    <t>Deposito en camara Banco Machala - 7/02/2019</t>
  </si>
  <si>
    <t>Deposito en camara Banco Machala - 17/05/2019</t>
  </si>
  <si>
    <t>Deposito en camara Banco Machala - 15/02/2019</t>
  </si>
  <si>
    <t>Deposito en camara Banco Machala - 29/04/2019</t>
  </si>
  <si>
    <t>Deposito en camara Banco Machala  - 10/06/2019</t>
  </si>
  <si>
    <t>Deposito en camara Banco Machala  - 12/07/2019</t>
  </si>
  <si>
    <t>Deposito en camara Banco Machala  - 19/07/2019</t>
  </si>
  <si>
    <t>Deposito en camara Banco Machala  - 16/08/2019</t>
  </si>
  <si>
    <t>Deposito en camara Banco Machala  - 29/08/2019</t>
  </si>
  <si>
    <t>Deposito en camara Banco Machala  - 18/10/2019</t>
  </si>
  <si>
    <t>Deposito en camara Banco Machala  - 14/11/2019</t>
  </si>
  <si>
    <t>Deposito en camara Banco Machala  - 25/11/2019</t>
  </si>
  <si>
    <t>Deposito en camara Banco Machala  - 29/11/2019</t>
  </si>
  <si>
    <t>Observaciones</t>
  </si>
  <si>
    <t>1.- Faltan los estados de cuenta de septiembre</t>
  </si>
  <si>
    <t>2.- Faltan las retenciones</t>
  </si>
  <si>
    <t>3.- Según el detalle de ventas, al parecer telconet realiza una retencion del iva del 70%, pero esta registrado como retencion del 30%</t>
  </si>
  <si>
    <t>4.-se puede revisar con mejor atencion en "detalles de pagos 2019"</t>
  </si>
  <si>
    <t>Detalle</t>
  </si>
  <si>
    <t>5.- para que todo este cuadrado según el detalle de ventas - en septiembre deben de haber pagos por un monto de $ 56700 aproximadamente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</si>
</sst>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dd\-mm\-yy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164" fontId="0" fillId="2" borderId="2" xfId="1" applyNumberFormat="1" applyFont="1" applyFill="1" applyBorder="1"/>
    <xf numFmtId="164" fontId="0" fillId="2" borderId="1" xfId="1" applyNumberFormat="1" applyFont="1" applyFill="1" applyBorder="1"/>
    <xf numFmtId="16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1" applyNumberFormat="1" applyFont="1" applyFill="1" applyBorder="1"/>
    <xf numFmtId="14" fontId="2" fillId="2" borderId="1" xfId="0" applyNumberFormat="1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164" fontId="2" fillId="2" borderId="1" xfId="1" applyNumberFormat="1" applyFont="1" applyFill="1" applyBorder="1"/>
    <xf numFmtId="164" fontId="2" fillId="3" borderId="1" xfId="1" applyNumberFormat="1" applyFont="1" applyFill="1" applyBorder="1"/>
    <xf numFmtId="0" fontId="0" fillId="2" borderId="6" xfId="0" applyFill="1" applyBorder="1"/>
    <xf numFmtId="43" fontId="0" fillId="2" borderId="2" xfId="0" applyNumberFormat="1" applyFill="1" applyBorder="1"/>
    <xf numFmtId="0" fontId="0" fillId="2" borderId="1" xfId="0" applyFill="1" applyBorder="1"/>
    <xf numFmtId="164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9" fontId="0" fillId="0" borderId="1" xfId="2" applyFont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43" fontId="0" fillId="0" borderId="0" xfId="1" applyFont="1"/>
    <xf numFmtId="43" fontId="0" fillId="0" borderId="6" xfId="1" applyFont="1" applyBorder="1"/>
    <xf numFmtId="43" fontId="0" fillId="0" borderId="2" xfId="1" applyFont="1" applyBorder="1" applyAlignment="1">
      <alignment horizontal="center" wrapText="1"/>
    </xf>
    <xf numFmtId="43" fontId="0" fillId="0" borderId="2" xfId="1" applyFont="1" applyBorder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3" borderId="0" xfId="1" applyFont="1" applyFill="1"/>
    <xf numFmtId="14" fontId="0" fillId="0" borderId="0" xfId="0" applyNumberFormat="1" applyFill="1"/>
    <xf numFmtId="0" fontId="0" fillId="0" borderId="0" xfId="0" applyFill="1"/>
    <xf numFmtId="43" fontId="0" fillId="0" borderId="0" xfId="1" applyFont="1" applyFill="1"/>
    <xf numFmtId="43" fontId="8" fillId="0" borderId="0" xfId="1" applyFont="1"/>
    <xf numFmtId="43" fontId="8" fillId="0" borderId="0" xfId="1" applyFont="1" applyFill="1"/>
    <xf numFmtId="164" fontId="0" fillId="4" borderId="1" xfId="1" applyNumberFormat="1" applyFont="1" applyFill="1" applyBorder="1"/>
    <xf numFmtId="164" fontId="2" fillId="4" borderId="1" xfId="1" applyNumberFormat="1" applyFont="1" applyFill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6" xfId="1" applyNumberFormat="1" applyFont="1" applyBorder="1" applyAlignment="1">
      <alignment horizontal="center" vertical="center"/>
    </xf>
    <xf numFmtId="164" fontId="0" fillId="0" borderId="2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/>
    <xf numFmtId="164" fontId="0" fillId="0" borderId="9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66" fontId="0" fillId="2" borderId="2" xfId="2" applyNumberFormat="1" applyFont="1" applyFill="1" applyBorder="1"/>
    <xf numFmtId="166" fontId="0" fillId="2" borderId="1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F14" sqref="F14"/>
    </sheetView>
  </sheetViews>
  <sheetFormatPr defaultColWidth="9.140625" defaultRowHeight="15" x14ac:dyDescent="0.25"/>
  <cols>
    <col min="1" max="1" width="15.7109375" style="2" customWidth="1"/>
    <col min="2" max="2" width="42.140625" style="2" bestFit="1" customWidth="1"/>
    <col min="3" max="3" width="10.7109375" style="2" bestFit="1" customWidth="1"/>
    <col min="4" max="4" width="11" style="2" bestFit="1" customWidth="1"/>
    <col min="5" max="5" width="9.28515625" style="2" bestFit="1" customWidth="1"/>
    <col min="6" max="6" width="7.1406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8</v>
      </c>
    </row>
    <row r="2" spans="1:8" x14ac:dyDescent="0.25">
      <c r="A2" s="3" t="s">
        <v>32</v>
      </c>
    </row>
    <row r="3" spans="1:8" x14ac:dyDescent="0.25">
      <c r="A3" s="3" t="s">
        <v>0</v>
      </c>
    </row>
    <row r="5" spans="1:8" x14ac:dyDescent="0.25">
      <c r="A5" s="4" t="s">
        <v>1</v>
      </c>
      <c r="B5" s="4" t="s">
        <v>2</v>
      </c>
      <c r="C5" s="5">
        <v>43830</v>
      </c>
      <c r="D5" s="5">
        <v>43465</v>
      </c>
      <c r="E5" s="4" t="s">
        <v>3</v>
      </c>
      <c r="F5" s="4" t="s">
        <v>4</v>
      </c>
      <c r="G5" s="4" t="s">
        <v>5</v>
      </c>
    </row>
    <row r="6" spans="1:8" s="3" customFormat="1" x14ac:dyDescent="0.25">
      <c r="A6" s="8"/>
      <c r="B6" s="9"/>
      <c r="C6" s="6"/>
      <c r="D6" s="6"/>
      <c r="E6" s="6"/>
      <c r="F6" s="7"/>
      <c r="G6" s="8"/>
      <c r="H6" s="2"/>
    </row>
    <row r="7" spans="1:8" s="3" customFormat="1" x14ac:dyDescent="0.25">
      <c r="A7" s="8" t="s">
        <v>6</v>
      </c>
      <c r="B7" s="9" t="s">
        <v>9</v>
      </c>
      <c r="C7" s="12">
        <v>565360</v>
      </c>
      <c r="D7" s="12">
        <v>786493</v>
      </c>
      <c r="E7" s="12">
        <f>+C7-D7</f>
        <v>-221133</v>
      </c>
      <c r="F7" s="76">
        <f>+E7/D7</f>
        <v>-0.28116334156820211</v>
      </c>
      <c r="G7" s="8"/>
      <c r="H7" s="2"/>
    </row>
    <row r="8" spans="1:8" x14ac:dyDescent="0.25">
      <c r="A8" s="8"/>
      <c r="B8" s="9"/>
      <c r="C8" s="12"/>
      <c r="D8" s="12"/>
      <c r="E8" s="12"/>
      <c r="F8" s="8"/>
      <c r="G8" s="8"/>
    </row>
    <row r="9" spans="1:8" x14ac:dyDescent="0.25">
      <c r="A9" s="10"/>
      <c r="B9" s="11" t="s">
        <v>7</v>
      </c>
      <c r="C9" s="13">
        <f>SUM(C6:C8)</f>
        <v>565360</v>
      </c>
      <c r="D9" s="13">
        <f>SUM(D6:D8)</f>
        <v>786493</v>
      </c>
      <c r="E9" s="13">
        <f>SUM(E6:E8)</f>
        <v>-221133</v>
      </c>
      <c r="F9" s="77">
        <f t="shared" ref="F9" si="0">+E9/D9</f>
        <v>-0.28116334156820211</v>
      </c>
      <c r="G9" s="10"/>
    </row>
    <row r="11" spans="1:8" x14ac:dyDescent="0.25">
      <c r="B11" s="33" t="s">
        <v>33</v>
      </c>
      <c r="C11" s="33"/>
      <c r="D11" s="33"/>
    </row>
    <row r="12" spans="1:8" x14ac:dyDescent="0.25">
      <c r="B12" s="8" t="s">
        <v>34</v>
      </c>
      <c r="C12" s="40">
        <f>+'Detalle de ventas'!F16</f>
        <v>521110</v>
      </c>
      <c r="D12" s="34">
        <v>773977</v>
      </c>
    </row>
    <row r="13" spans="1:8" x14ac:dyDescent="0.25">
      <c r="B13" s="8" t="s">
        <v>37</v>
      </c>
      <c r="C13" s="40">
        <f>+'Detalle de ventas'!F17</f>
        <v>44250</v>
      </c>
      <c r="D13" s="34">
        <v>12516</v>
      </c>
    </row>
    <row r="14" spans="1:8" x14ac:dyDescent="0.25">
      <c r="B14" s="35" t="s">
        <v>38</v>
      </c>
      <c r="C14" s="41">
        <f>+C12+C13</f>
        <v>565360</v>
      </c>
      <c r="D14" s="41">
        <f>+D12+D13</f>
        <v>786493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28"/>
  <sheetViews>
    <sheetView topLeftCell="A4" workbookViewId="0">
      <selection activeCell="E21" sqref="E21"/>
    </sheetView>
  </sheetViews>
  <sheetFormatPr defaultColWidth="9.140625" defaultRowHeight="15" x14ac:dyDescent="0.25"/>
  <cols>
    <col min="1" max="1" width="4" customWidth="1"/>
    <col min="2" max="2" width="11.42578125" bestFit="1" customWidth="1"/>
    <col min="3" max="3" width="11" style="46" customWidth="1"/>
    <col min="4" max="4" width="14.7109375" style="46" customWidth="1"/>
    <col min="5" max="5" width="11" style="46" bestFit="1" customWidth="1"/>
    <col min="6" max="6" width="2" customWidth="1"/>
    <col min="7" max="7" width="10.7109375" style="51" bestFit="1" customWidth="1"/>
    <col min="8" max="8" width="25.28515625" customWidth="1"/>
    <col min="9" max="9" width="107.42578125" bestFit="1" customWidth="1"/>
  </cols>
  <sheetData>
    <row r="1" spans="1:9" x14ac:dyDescent="0.25">
      <c r="A1" s="1" t="s">
        <v>8</v>
      </c>
    </row>
    <row r="2" spans="1:9" x14ac:dyDescent="0.25">
      <c r="A2" s="3" t="s">
        <v>32</v>
      </c>
    </row>
    <row r="3" spans="1:9" x14ac:dyDescent="0.25">
      <c r="A3" s="3" t="s">
        <v>0</v>
      </c>
    </row>
    <row r="5" spans="1:9" x14ac:dyDescent="0.25">
      <c r="C5" s="74" t="s">
        <v>53</v>
      </c>
      <c r="D5" s="74"/>
      <c r="E5" s="47"/>
      <c r="G5" s="52" t="s">
        <v>55</v>
      </c>
      <c r="H5" s="42"/>
    </row>
    <row r="6" spans="1:9" ht="30" x14ac:dyDescent="0.25">
      <c r="C6" s="48" t="s">
        <v>51</v>
      </c>
      <c r="D6" s="48" t="s">
        <v>52</v>
      </c>
      <c r="E6" s="49" t="s">
        <v>54</v>
      </c>
      <c r="G6" s="53" t="s">
        <v>56</v>
      </c>
      <c r="H6" s="45" t="s">
        <v>5</v>
      </c>
    </row>
    <row r="7" spans="1:9" x14ac:dyDescent="0.25">
      <c r="B7" s="42" t="s">
        <v>39</v>
      </c>
      <c r="C7" s="65">
        <f>SUM('Detalle de ventas'!F2:F4)</f>
        <v>88610</v>
      </c>
      <c r="D7" s="66"/>
      <c r="E7" s="65">
        <f>C7-D7</f>
        <v>88610</v>
      </c>
      <c r="F7" s="36"/>
      <c r="G7" s="67">
        <v>92975.039999999994</v>
      </c>
      <c r="H7" s="42" t="s">
        <v>58</v>
      </c>
      <c r="I7" t="s">
        <v>65</v>
      </c>
    </row>
    <row r="8" spans="1:9" x14ac:dyDescent="0.25">
      <c r="B8" s="43" t="s">
        <v>40</v>
      </c>
      <c r="C8" s="68">
        <f>SUM('Detalle de ventas'!F5:F6)</f>
        <v>79750</v>
      </c>
      <c r="D8" s="69"/>
      <c r="E8" s="68">
        <f t="shared" ref="E8:E18" si="0">C8-D8</f>
        <v>79750</v>
      </c>
      <c r="F8" s="36"/>
      <c r="G8" s="70">
        <v>70396</v>
      </c>
      <c r="H8" s="43" t="s">
        <v>57</v>
      </c>
      <c r="I8" t="s">
        <v>59</v>
      </c>
    </row>
    <row r="9" spans="1:9" x14ac:dyDescent="0.25">
      <c r="B9" s="43" t="s">
        <v>41</v>
      </c>
      <c r="C9" s="68">
        <f>SUM('Detalle de ventas'!F7)</f>
        <v>109000</v>
      </c>
      <c r="D9" s="69"/>
      <c r="E9" s="68">
        <f t="shared" si="0"/>
        <v>109000</v>
      </c>
      <c r="F9" s="36"/>
      <c r="G9" s="70">
        <v>0</v>
      </c>
      <c r="H9" s="43" t="s">
        <v>60</v>
      </c>
      <c r="I9" t="s">
        <v>64</v>
      </c>
    </row>
    <row r="10" spans="1:9" x14ac:dyDescent="0.25">
      <c r="B10" s="43" t="s">
        <v>42</v>
      </c>
      <c r="C10" s="68">
        <f>SUM('Detalle de ventas'!F8:F9)</f>
        <v>120000</v>
      </c>
      <c r="D10" s="69"/>
      <c r="E10" s="68">
        <f t="shared" si="0"/>
        <v>120000</v>
      </c>
      <c r="F10" s="36"/>
      <c r="G10" s="70">
        <v>45000</v>
      </c>
      <c r="H10" s="43" t="s">
        <v>57</v>
      </c>
      <c r="I10" t="s">
        <v>61</v>
      </c>
    </row>
    <row r="11" spans="1:9" x14ac:dyDescent="0.25">
      <c r="B11" s="43" t="s">
        <v>43</v>
      </c>
      <c r="C11" s="68">
        <f>SUM('Detalle de ventas'!F10)</f>
        <v>24000</v>
      </c>
      <c r="D11" s="69"/>
      <c r="E11" s="68">
        <f t="shared" si="0"/>
        <v>24000</v>
      </c>
      <c r="F11" s="36"/>
      <c r="G11" s="70">
        <v>14986</v>
      </c>
      <c r="H11" s="43" t="s">
        <v>60</v>
      </c>
      <c r="I11" t="s">
        <v>62</v>
      </c>
    </row>
    <row r="12" spans="1:9" x14ac:dyDescent="0.25">
      <c r="B12" s="43" t="s">
        <v>44</v>
      </c>
      <c r="C12" s="68">
        <v>0</v>
      </c>
      <c r="D12" s="69"/>
      <c r="E12" s="68">
        <f t="shared" si="0"/>
        <v>0</v>
      </c>
      <c r="F12" s="36"/>
      <c r="G12" s="70">
        <v>30000</v>
      </c>
      <c r="H12" s="43"/>
    </row>
    <row r="13" spans="1:9" x14ac:dyDescent="0.25">
      <c r="B13" s="43" t="s">
        <v>45</v>
      </c>
      <c r="C13" s="68">
        <v>0</v>
      </c>
      <c r="D13" s="69"/>
      <c r="E13" s="68">
        <f t="shared" si="0"/>
        <v>0</v>
      </c>
      <c r="F13" s="36"/>
      <c r="G13" s="70">
        <v>20328</v>
      </c>
      <c r="H13" s="43"/>
    </row>
    <row r="14" spans="1:9" x14ac:dyDescent="0.25">
      <c r="B14" s="43" t="s">
        <v>46</v>
      </c>
      <c r="C14" s="68">
        <v>0</v>
      </c>
      <c r="D14" s="69"/>
      <c r="E14" s="68">
        <f t="shared" si="0"/>
        <v>0</v>
      </c>
      <c r="F14" s="36"/>
      <c r="G14" s="70">
        <v>15000</v>
      </c>
      <c r="H14" s="43"/>
    </row>
    <row r="15" spans="1:9" x14ac:dyDescent="0.25">
      <c r="B15" s="43" t="s">
        <v>47</v>
      </c>
      <c r="C15" s="68">
        <f>SUM('Detalle de ventas'!F11)</f>
        <v>48000</v>
      </c>
      <c r="D15" s="69"/>
      <c r="E15" s="68">
        <f t="shared" si="0"/>
        <v>48000</v>
      </c>
      <c r="F15" s="36"/>
      <c r="G15" s="70">
        <v>0</v>
      </c>
      <c r="H15" s="43" t="s">
        <v>60</v>
      </c>
      <c r="I15" t="s">
        <v>63</v>
      </c>
    </row>
    <row r="16" spans="1:9" x14ac:dyDescent="0.25">
      <c r="B16" s="43" t="s">
        <v>48</v>
      </c>
      <c r="C16" s="68">
        <f>SUM('Detalle de ventas'!F12)</f>
        <v>48000</v>
      </c>
      <c r="D16" s="69"/>
      <c r="E16" s="68">
        <f t="shared" si="0"/>
        <v>48000</v>
      </c>
      <c r="F16" s="36"/>
      <c r="G16" s="70">
        <v>15000</v>
      </c>
      <c r="H16" s="43" t="s">
        <v>60</v>
      </c>
    </row>
    <row r="17" spans="2:9" x14ac:dyDescent="0.25">
      <c r="B17" s="43" t="s">
        <v>49</v>
      </c>
      <c r="C17" s="68">
        <v>0</v>
      </c>
      <c r="D17" s="69"/>
      <c r="E17" s="68">
        <f t="shared" si="0"/>
        <v>0</v>
      </c>
      <c r="F17" s="36"/>
      <c r="G17" s="70">
        <v>62000</v>
      </c>
      <c r="H17" s="43"/>
    </row>
    <row r="18" spans="2:9" x14ac:dyDescent="0.25">
      <c r="B18" s="43" t="s">
        <v>50</v>
      </c>
      <c r="C18" s="71">
        <f>SUM('Detalle de ventas'!F13)</f>
        <v>48000</v>
      </c>
      <c r="D18" s="72"/>
      <c r="E18" s="71">
        <f t="shared" si="0"/>
        <v>48000</v>
      </c>
      <c r="F18" s="36"/>
      <c r="G18" s="70">
        <v>0</v>
      </c>
      <c r="H18" s="43" t="s">
        <v>60</v>
      </c>
      <c r="I18" t="s">
        <v>64</v>
      </c>
    </row>
    <row r="19" spans="2:9" x14ac:dyDescent="0.25">
      <c r="B19" s="21" t="s">
        <v>38</v>
      </c>
      <c r="C19" s="71">
        <f>SUM(C7:C18)</f>
        <v>565360</v>
      </c>
      <c r="D19" s="71">
        <f t="shared" ref="D19:E19" si="1">SUM(D7:D18)</f>
        <v>0</v>
      </c>
      <c r="E19" s="71">
        <f t="shared" si="1"/>
        <v>565360</v>
      </c>
      <c r="F19" s="36"/>
      <c r="G19" s="73">
        <f>SUM(G7:G18)</f>
        <v>365685.04</v>
      </c>
      <c r="H19" s="44"/>
    </row>
    <row r="23" spans="2:9" x14ac:dyDescent="0.25">
      <c r="B23" t="s">
        <v>94</v>
      </c>
    </row>
    <row r="24" spans="2:9" x14ac:dyDescent="0.25">
      <c r="B24" t="s">
        <v>95</v>
      </c>
    </row>
    <row r="25" spans="2:9" x14ac:dyDescent="0.25">
      <c r="B25" t="s">
        <v>96</v>
      </c>
    </row>
    <row r="26" spans="2:9" x14ac:dyDescent="0.25">
      <c r="B26" t="s">
        <v>97</v>
      </c>
    </row>
    <row r="27" spans="2:9" x14ac:dyDescent="0.25">
      <c r="B27" t="s">
        <v>98</v>
      </c>
    </row>
    <row r="28" spans="2:9" x14ac:dyDescent="0.25">
      <c r="B28" t="s">
        <v>100</v>
      </c>
    </row>
  </sheetData>
  <mergeCells count="1">
    <mergeCell ref="C5:D5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workbookViewId="0">
      <selection activeCell="F17" sqref="F17"/>
    </sheetView>
  </sheetViews>
  <sheetFormatPr defaultColWidth="11.42578125" defaultRowHeight="15" x14ac:dyDescent="0.25"/>
  <cols>
    <col min="2" max="2" width="5" bestFit="1" customWidth="1"/>
    <col min="4" max="4" width="95.42578125" customWidth="1"/>
    <col min="5" max="5" width="19" customWidth="1"/>
    <col min="6" max="14" width="13" customWidth="1"/>
    <col min="17" max="17" width="13.28515625" bestFit="1" customWidth="1"/>
    <col min="18" max="18" width="11.42578125" style="46"/>
  </cols>
  <sheetData>
    <row r="1" spans="1:16" ht="39" x14ac:dyDescent="0.25">
      <c r="A1" s="14" t="s">
        <v>10</v>
      </c>
      <c r="B1" s="15" t="s">
        <v>11</v>
      </c>
      <c r="C1" s="16" t="s">
        <v>12</v>
      </c>
      <c r="D1" s="16" t="s">
        <v>13</v>
      </c>
      <c r="E1" s="17" t="s">
        <v>14</v>
      </c>
      <c r="F1" s="17" t="s">
        <v>15</v>
      </c>
      <c r="G1" s="17" t="s">
        <v>16</v>
      </c>
      <c r="H1" s="17" t="s">
        <v>7</v>
      </c>
      <c r="I1" s="16" t="s">
        <v>17</v>
      </c>
      <c r="J1" s="37" t="s">
        <v>36</v>
      </c>
      <c r="K1" s="38" t="s">
        <v>4</v>
      </c>
      <c r="L1" s="18" t="s">
        <v>18</v>
      </c>
      <c r="M1" s="19" t="s">
        <v>19</v>
      </c>
      <c r="N1" s="19" t="s">
        <v>20</v>
      </c>
    </row>
    <row r="2" spans="1:16" x14ac:dyDescent="0.25">
      <c r="A2" s="20">
        <v>43469</v>
      </c>
      <c r="B2" s="21">
        <v>4303</v>
      </c>
      <c r="C2" s="21" t="s">
        <v>21</v>
      </c>
      <c r="D2" s="21" t="s">
        <v>22</v>
      </c>
      <c r="E2" s="22">
        <v>991327371001</v>
      </c>
      <c r="F2" s="23">
        <v>14750</v>
      </c>
      <c r="G2" s="23">
        <f t="shared" ref="G2:G13" si="0">+F2*12%</f>
        <v>1770</v>
      </c>
      <c r="H2" s="23">
        <f t="shared" ref="H2:H13" si="1">+F2+G2</f>
        <v>16520</v>
      </c>
      <c r="I2" s="24">
        <v>117232</v>
      </c>
      <c r="J2" s="23">
        <f>+F2*2%</f>
        <v>295</v>
      </c>
      <c r="K2" s="39">
        <f t="shared" ref="K2:K13" si="2">+J2/F2</f>
        <v>0.02</v>
      </c>
      <c r="L2" s="63">
        <f>+G2*70%</f>
        <v>1239</v>
      </c>
      <c r="M2" s="23">
        <f t="shared" ref="M2:M8" si="3">+H2-J2-L2</f>
        <v>14986</v>
      </c>
      <c r="N2" s="25" t="s">
        <v>23</v>
      </c>
    </row>
    <row r="3" spans="1:16" x14ac:dyDescent="0.25">
      <c r="A3" s="20">
        <v>43476</v>
      </c>
      <c r="B3" s="21">
        <v>4304</v>
      </c>
      <c r="C3" s="21" t="s">
        <v>21</v>
      </c>
      <c r="D3" s="21" t="s">
        <v>24</v>
      </c>
      <c r="E3" s="22">
        <v>991327371001</v>
      </c>
      <c r="F3" s="23">
        <v>59110</v>
      </c>
      <c r="G3" s="23">
        <f t="shared" si="0"/>
        <v>7093.2</v>
      </c>
      <c r="H3" s="23">
        <f t="shared" si="1"/>
        <v>66203.199999999997</v>
      </c>
      <c r="I3" s="23">
        <v>117520</v>
      </c>
      <c r="J3" s="23">
        <f t="shared" ref="J3:J8" si="4">+F3*1%</f>
        <v>591.1</v>
      </c>
      <c r="K3" s="39">
        <f t="shared" si="2"/>
        <v>0.01</v>
      </c>
      <c r="L3" s="63">
        <f t="shared" ref="L3" si="5">+G3*30%</f>
        <v>2127.96</v>
      </c>
      <c r="M3" s="23">
        <f t="shared" si="3"/>
        <v>63484.139999999992</v>
      </c>
      <c r="N3" s="25" t="s">
        <v>23</v>
      </c>
    </row>
    <row r="4" spans="1:16" x14ac:dyDescent="0.25">
      <c r="A4" s="20">
        <v>43496</v>
      </c>
      <c r="B4" s="21">
        <v>4305</v>
      </c>
      <c r="C4" s="21" t="s">
        <v>21</v>
      </c>
      <c r="D4" s="21" t="s">
        <v>25</v>
      </c>
      <c r="E4" s="22">
        <v>991327371001</v>
      </c>
      <c r="F4" s="23">
        <v>14750</v>
      </c>
      <c r="G4" s="23">
        <f>+F4*12%</f>
        <v>1770</v>
      </c>
      <c r="H4" s="23">
        <f t="shared" si="1"/>
        <v>16520</v>
      </c>
      <c r="I4" s="24">
        <v>106383</v>
      </c>
      <c r="J4" s="23">
        <f t="shared" ref="J4:J5" si="6">+F4*2%</f>
        <v>295</v>
      </c>
      <c r="K4" s="39">
        <f t="shared" si="2"/>
        <v>0.02</v>
      </c>
      <c r="L4" s="63">
        <f>+G4*70%</f>
        <v>1239</v>
      </c>
      <c r="M4" s="23">
        <f t="shared" si="3"/>
        <v>14986</v>
      </c>
      <c r="N4" s="25" t="s">
        <v>23</v>
      </c>
    </row>
    <row r="5" spans="1:16" x14ac:dyDescent="0.25">
      <c r="A5" s="20">
        <v>43501</v>
      </c>
      <c r="B5" s="21">
        <v>4306</v>
      </c>
      <c r="C5" s="21" t="s">
        <v>21</v>
      </c>
      <c r="D5" s="21" t="s">
        <v>25</v>
      </c>
      <c r="E5" s="22">
        <v>991327371001</v>
      </c>
      <c r="F5" s="23">
        <v>14750</v>
      </c>
      <c r="G5" s="23">
        <f t="shared" si="0"/>
        <v>1770</v>
      </c>
      <c r="H5" s="23">
        <f t="shared" si="1"/>
        <v>16520</v>
      </c>
      <c r="I5" s="24">
        <v>119453</v>
      </c>
      <c r="J5" s="23">
        <f t="shared" si="6"/>
        <v>295</v>
      </c>
      <c r="K5" s="39">
        <f t="shared" si="2"/>
        <v>0.02</v>
      </c>
      <c r="L5" s="63">
        <f>+G5*70%</f>
        <v>1239</v>
      </c>
      <c r="M5" s="23">
        <f t="shared" si="3"/>
        <v>14986</v>
      </c>
      <c r="N5" s="25" t="s">
        <v>23</v>
      </c>
    </row>
    <row r="6" spans="1:16" x14ac:dyDescent="0.25">
      <c r="A6" s="20">
        <v>43508</v>
      </c>
      <c r="B6" s="21">
        <v>4308</v>
      </c>
      <c r="C6" s="21" t="s">
        <v>21</v>
      </c>
      <c r="D6" s="26" t="s">
        <v>26</v>
      </c>
      <c r="E6" s="22">
        <v>991327371001</v>
      </c>
      <c r="F6" s="27">
        <v>65000</v>
      </c>
      <c r="G6" s="27">
        <f t="shared" si="0"/>
        <v>7800</v>
      </c>
      <c r="H6" s="27">
        <f t="shared" si="1"/>
        <v>72800</v>
      </c>
      <c r="I6" s="23">
        <v>120034</v>
      </c>
      <c r="J6" s="23">
        <f t="shared" si="4"/>
        <v>650</v>
      </c>
      <c r="K6" s="39">
        <f t="shared" si="2"/>
        <v>0.01</v>
      </c>
      <c r="L6" s="63">
        <f>+G6*70%</f>
        <v>5460</v>
      </c>
      <c r="M6" s="23">
        <f t="shared" si="3"/>
        <v>66690</v>
      </c>
      <c r="N6" s="25" t="s">
        <v>23</v>
      </c>
    </row>
    <row r="7" spans="1:16" x14ac:dyDescent="0.25">
      <c r="A7" s="20">
        <v>43530</v>
      </c>
      <c r="B7" s="21">
        <v>4309</v>
      </c>
      <c r="C7" s="21" t="s">
        <v>21</v>
      </c>
      <c r="D7" s="21" t="s">
        <v>27</v>
      </c>
      <c r="E7" s="22">
        <v>991327371001</v>
      </c>
      <c r="F7" s="27">
        <v>109000</v>
      </c>
      <c r="G7" s="27">
        <f t="shared" si="0"/>
        <v>13080</v>
      </c>
      <c r="H7" s="27">
        <f t="shared" si="1"/>
        <v>122080</v>
      </c>
      <c r="I7" s="23">
        <v>106432</v>
      </c>
      <c r="J7" s="23">
        <f t="shared" si="4"/>
        <v>1090</v>
      </c>
      <c r="K7" s="39">
        <f t="shared" si="2"/>
        <v>0.01</v>
      </c>
      <c r="L7" s="63">
        <f>+G7*70%</f>
        <v>9156</v>
      </c>
      <c r="M7" s="23">
        <f t="shared" si="3"/>
        <v>111834</v>
      </c>
      <c r="N7" s="25" t="s">
        <v>23</v>
      </c>
    </row>
    <row r="8" spans="1:16" x14ac:dyDescent="0.25">
      <c r="A8" s="20">
        <v>43565</v>
      </c>
      <c r="B8" s="21">
        <v>4310</v>
      </c>
      <c r="C8" s="21" t="s">
        <v>21</v>
      </c>
      <c r="D8" s="21" t="s">
        <v>28</v>
      </c>
      <c r="E8" s="22">
        <v>991327371001</v>
      </c>
      <c r="F8" s="27">
        <v>72000</v>
      </c>
      <c r="G8" s="27">
        <f t="shared" si="0"/>
        <v>8640</v>
      </c>
      <c r="H8" s="27">
        <f t="shared" si="1"/>
        <v>80640</v>
      </c>
      <c r="I8" s="23">
        <v>124653</v>
      </c>
      <c r="J8" s="23">
        <f t="shared" si="4"/>
        <v>720</v>
      </c>
      <c r="K8" s="39">
        <f t="shared" si="2"/>
        <v>0.01</v>
      </c>
      <c r="L8" s="63">
        <f>+G8*70%</f>
        <v>6048</v>
      </c>
      <c r="M8" s="23">
        <f t="shared" si="3"/>
        <v>73872</v>
      </c>
      <c r="N8" s="25" t="s">
        <v>23</v>
      </c>
    </row>
    <row r="9" spans="1:16" x14ac:dyDescent="0.25">
      <c r="A9" s="28">
        <v>43580</v>
      </c>
      <c r="B9" s="29">
        <v>4311</v>
      </c>
      <c r="C9" s="29" t="s">
        <v>21</v>
      </c>
      <c r="D9" s="29" t="s">
        <v>28</v>
      </c>
      <c r="E9" s="30">
        <v>991327371001</v>
      </c>
      <c r="F9" s="31">
        <v>48000</v>
      </c>
      <c r="G9" s="31">
        <f t="shared" si="0"/>
        <v>5760</v>
      </c>
      <c r="H9" s="31">
        <f t="shared" si="1"/>
        <v>53760</v>
      </c>
      <c r="I9" s="31">
        <v>125374</v>
      </c>
      <c r="J9" s="31">
        <f>+F9*1%</f>
        <v>480</v>
      </c>
      <c r="K9" s="39">
        <f t="shared" si="2"/>
        <v>0.01</v>
      </c>
      <c r="L9" s="64">
        <f>+G9*30%</f>
        <v>1728</v>
      </c>
      <c r="M9" s="31">
        <f>+H9-J9-L9</f>
        <v>51552</v>
      </c>
      <c r="N9" s="32">
        <f>+M9-35000-7000</f>
        <v>9552</v>
      </c>
      <c r="P9" s="36"/>
    </row>
    <row r="10" spans="1:16" x14ac:dyDescent="0.25">
      <c r="A10" s="28">
        <v>43591</v>
      </c>
      <c r="B10" s="29">
        <v>4312</v>
      </c>
      <c r="C10" s="29" t="s">
        <v>21</v>
      </c>
      <c r="D10" s="29" t="s">
        <v>28</v>
      </c>
      <c r="E10" s="30">
        <v>991327371001</v>
      </c>
      <c r="F10" s="31">
        <v>24000</v>
      </c>
      <c r="G10" s="31">
        <f t="shared" si="0"/>
        <v>2880</v>
      </c>
      <c r="H10" s="31">
        <f t="shared" si="1"/>
        <v>26880</v>
      </c>
      <c r="I10" s="31">
        <v>126570</v>
      </c>
      <c r="J10" s="31">
        <f>+F10*1%</f>
        <v>240</v>
      </c>
      <c r="K10" s="39">
        <f t="shared" si="2"/>
        <v>0.01</v>
      </c>
      <c r="L10" s="64">
        <f>+G10*30%</f>
        <v>864</v>
      </c>
      <c r="M10" s="31">
        <f>+H10-J10-L10</f>
        <v>25776</v>
      </c>
      <c r="N10" s="32">
        <v>25776</v>
      </c>
    </row>
    <row r="11" spans="1:16" x14ac:dyDescent="0.25">
      <c r="A11" s="28">
        <v>43713</v>
      </c>
      <c r="B11" s="29">
        <v>4313</v>
      </c>
      <c r="C11" s="29" t="s">
        <v>21</v>
      </c>
      <c r="D11" s="29" t="s">
        <v>28</v>
      </c>
      <c r="E11" s="30">
        <v>991327371001</v>
      </c>
      <c r="F11" s="31">
        <v>48000</v>
      </c>
      <c r="G11" s="31">
        <f t="shared" si="0"/>
        <v>5760</v>
      </c>
      <c r="H11" s="31">
        <f t="shared" si="1"/>
        <v>53760</v>
      </c>
      <c r="I11" s="31">
        <v>135322</v>
      </c>
      <c r="J11" s="31">
        <f>+F11*1%</f>
        <v>480</v>
      </c>
      <c r="K11" s="39">
        <f t="shared" si="2"/>
        <v>0.01</v>
      </c>
      <c r="L11" s="64">
        <f>+G11*30%</f>
        <v>1728</v>
      </c>
      <c r="M11" s="31">
        <f>+H11-J11-L11</f>
        <v>51552</v>
      </c>
      <c r="N11" s="32">
        <v>51552</v>
      </c>
      <c r="P11" s="36"/>
    </row>
    <row r="12" spans="1:16" x14ac:dyDescent="0.25">
      <c r="A12" s="28">
        <v>43739</v>
      </c>
      <c r="B12" s="29">
        <v>4314</v>
      </c>
      <c r="C12" s="29" t="s">
        <v>21</v>
      </c>
      <c r="D12" s="29" t="s">
        <v>29</v>
      </c>
      <c r="E12" s="30">
        <v>991327371001</v>
      </c>
      <c r="F12" s="31">
        <v>48000</v>
      </c>
      <c r="G12" s="31">
        <f t="shared" si="0"/>
        <v>5760</v>
      </c>
      <c r="H12" s="31">
        <f t="shared" si="1"/>
        <v>53760</v>
      </c>
      <c r="I12" s="31">
        <v>139624</v>
      </c>
      <c r="J12" s="31">
        <f>+F12*1%</f>
        <v>480</v>
      </c>
      <c r="K12" s="39">
        <f t="shared" si="2"/>
        <v>0.01</v>
      </c>
      <c r="L12" s="64">
        <f>+G12*30%</f>
        <v>1728</v>
      </c>
      <c r="M12" s="31">
        <f>+H12-J12-L12</f>
        <v>51552</v>
      </c>
      <c r="N12" s="32">
        <v>51552</v>
      </c>
    </row>
    <row r="13" spans="1:16" x14ac:dyDescent="0.25">
      <c r="A13" s="28">
        <v>43801</v>
      </c>
      <c r="B13" s="29">
        <v>4315</v>
      </c>
      <c r="C13" s="29" t="s">
        <v>21</v>
      </c>
      <c r="D13" s="29" t="s">
        <v>29</v>
      </c>
      <c r="E13" s="30">
        <v>991327371001</v>
      </c>
      <c r="F13" s="31">
        <v>48000</v>
      </c>
      <c r="G13" s="31">
        <f t="shared" si="0"/>
        <v>5760</v>
      </c>
      <c r="H13" s="31">
        <f t="shared" si="1"/>
        <v>53760</v>
      </c>
      <c r="I13" s="31">
        <v>142282</v>
      </c>
      <c r="J13" s="31">
        <f>+F13*1%</f>
        <v>480</v>
      </c>
      <c r="K13" s="39">
        <f t="shared" si="2"/>
        <v>0.01</v>
      </c>
      <c r="L13" s="64">
        <f>+G13*30%</f>
        <v>1728</v>
      </c>
      <c r="M13" s="31">
        <f>+H13-J13-L13</f>
        <v>51552</v>
      </c>
      <c r="N13" s="32">
        <v>51552</v>
      </c>
    </row>
    <row r="14" spans="1:16" x14ac:dyDescent="0.25">
      <c r="E14" t="s">
        <v>30</v>
      </c>
      <c r="F14" s="23">
        <f>SUM(F2:F13)</f>
        <v>565360</v>
      </c>
      <c r="L14" t="s">
        <v>31</v>
      </c>
      <c r="N14" s="32">
        <f>SUM(N9:N13)</f>
        <v>189984</v>
      </c>
    </row>
    <row r="16" spans="1:16" x14ac:dyDescent="0.25">
      <c r="E16" t="s">
        <v>34</v>
      </c>
      <c r="F16" s="36">
        <f>+F14-F17</f>
        <v>521110</v>
      </c>
    </row>
    <row r="17" spans="5:6" x14ac:dyDescent="0.25">
      <c r="E17" t="s">
        <v>35</v>
      </c>
      <c r="F17" s="36">
        <f>+F2+F4+F5</f>
        <v>44250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I41"/>
  <sheetViews>
    <sheetView tabSelected="1" workbookViewId="0">
      <selection activeCell="C1" sqref="C1"/>
    </sheetView>
  </sheetViews>
  <sheetFormatPr defaultColWidth="11.42578125" defaultRowHeight="15" x14ac:dyDescent="0.25"/>
  <cols>
    <col min="1" max="1" width="11.7109375" style="55" customWidth="1"/>
    <col min="2" max="2" width="7.42578125" bestFit="1" customWidth="1"/>
    <col min="3" max="3" width="17.28515625" customWidth="1"/>
    <col min="4" max="4" width="52" customWidth="1"/>
    <col min="5" max="7" width="14.7109375" style="46" customWidth="1"/>
    <col min="8" max="8" width="28.140625" style="46" bestFit="1" customWidth="1"/>
  </cols>
  <sheetData>
    <row r="1" spans="1:8" x14ac:dyDescent="0.25">
      <c r="A1" s="55" t="s">
        <v>10</v>
      </c>
      <c r="B1" t="s">
        <v>66</v>
      </c>
      <c r="C1" t="s">
        <v>12</v>
      </c>
      <c r="D1" t="s">
        <v>13</v>
      </c>
      <c r="E1" s="56" t="s">
        <v>76</v>
      </c>
      <c r="F1" s="56" t="s">
        <v>77</v>
      </c>
      <c r="G1" s="56" t="s">
        <v>75</v>
      </c>
      <c r="H1" s="56" t="s">
        <v>20</v>
      </c>
    </row>
    <row r="2" spans="1:8" x14ac:dyDescent="0.25">
      <c r="A2" s="55">
        <v>43469</v>
      </c>
      <c r="B2">
        <v>4303</v>
      </c>
      <c r="C2" t="s">
        <v>21</v>
      </c>
      <c r="D2" t="s">
        <v>22</v>
      </c>
      <c r="E2" s="46">
        <v>14986</v>
      </c>
      <c r="F2" s="46">
        <v>0</v>
      </c>
      <c r="G2" s="46">
        <f>E2-F2</f>
        <v>14986</v>
      </c>
      <c r="H2" s="46" t="str">
        <f>IF(G2&lt;=0,"PAGADO","")</f>
        <v/>
      </c>
    </row>
    <row r="3" spans="1:8" x14ac:dyDescent="0.25">
      <c r="D3" t="s">
        <v>79</v>
      </c>
      <c r="F3" s="61">
        <v>14986</v>
      </c>
      <c r="G3" s="46">
        <f>G2-F3</f>
        <v>0</v>
      </c>
      <c r="H3" s="46" t="str">
        <f>IF(G3&lt;=0,"PAGADO","")</f>
        <v>PAGADO</v>
      </c>
    </row>
    <row r="4" spans="1:8" x14ac:dyDescent="0.25">
      <c r="A4" s="55">
        <v>43476</v>
      </c>
      <c r="B4">
        <v>4304</v>
      </c>
      <c r="C4" t="s">
        <v>21</v>
      </c>
      <c r="D4" t="s">
        <v>24</v>
      </c>
      <c r="E4" s="46">
        <v>63484.139999999992</v>
      </c>
      <c r="F4" s="46">
        <v>0</v>
      </c>
      <c r="G4" s="46">
        <f t="shared" ref="G4:G10" si="0">E4-F4</f>
        <v>63484.139999999992</v>
      </c>
      <c r="H4" s="46" t="str">
        <f t="shared" ref="H4:H31" si="1">IF(G4&lt;=0,"PAGADO","")</f>
        <v/>
      </c>
    </row>
    <row r="5" spans="1:8" x14ac:dyDescent="0.25">
      <c r="D5" t="s">
        <v>80</v>
      </c>
      <c r="F5" s="61">
        <v>63484.14</v>
      </c>
      <c r="G5" s="46">
        <f>G4-F5</f>
        <v>0</v>
      </c>
      <c r="H5" s="46" t="str">
        <f t="shared" si="1"/>
        <v>PAGADO</v>
      </c>
    </row>
    <row r="6" spans="1:8" x14ac:dyDescent="0.25">
      <c r="A6" s="55">
        <v>43496</v>
      </c>
      <c r="B6">
        <v>4305</v>
      </c>
      <c r="C6" t="s">
        <v>21</v>
      </c>
      <c r="D6" t="s">
        <v>25</v>
      </c>
      <c r="E6" s="46">
        <v>14986</v>
      </c>
      <c r="G6" s="46">
        <f t="shared" si="0"/>
        <v>14986</v>
      </c>
      <c r="H6" s="46" t="str">
        <f t="shared" si="1"/>
        <v/>
      </c>
    </row>
    <row r="7" spans="1:8" x14ac:dyDescent="0.25">
      <c r="A7" s="54"/>
      <c r="D7" t="s">
        <v>81</v>
      </c>
      <c r="F7" s="61">
        <v>14986</v>
      </c>
      <c r="G7" s="46">
        <f>G6-F7</f>
        <v>0</v>
      </c>
      <c r="H7" s="46" t="str">
        <f t="shared" si="1"/>
        <v>PAGADO</v>
      </c>
    </row>
    <row r="8" spans="1:8" x14ac:dyDescent="0.25">
      <c r="A8" s="55">
        <v>43501</v>
      </c>
      <c r="B8">
        <v>4306</v>
      </c>
      <c r="C8" t="s">
        <v>21</v>
      </c>
      <c r="D8" t="s">
        <v>25</v>
      </c>
      <c r="E8" s="46">
        <v>14986</v>
      </c>
      <c r="G8" s="46">
        <f t="shared" si="0"/>
        <v>14986</v>
      </c>
      <c r="H8" s="46" t="str">
        <f t="shared" si="1"/>
        <v/>
      </c>
    </row>
    <row r="9" spans="1:8" x14ac:dyDescent="0.25">
      <c r="A9" s="54"/>
      <c r="D9" t="s">
        <v>82</v>
      </c>
      <c r="F9" s="61">
        <v>14986</v>
      </c>
      <c r="G9" s="46">
        <f>G8-F9</f>
        <v>0</v>
      </c>
      <c r="H9" s="46" t="str">
        <f t="shared" si="1"/>
        <v>PAGADO</v>
      </c>
    </row>
    <row r="10" spans="1:8" x14ac:dyDescent="0.25">
      <c r="A10" s="55">
        <v>43508</v>
      </c>
      <c r="B10">
        <v>4308</v>
      </c>
      <c r="C10" t="s">
        <v>21</v>
      </c>
      <c r="D10" t="s">
        <v>26</v>
      </c>
      <c r="E10" s="46">
        <v>66690</v>
      </c>
      <c r="G10" s="46">
        <f t="shared" si="0"/>
        <v>66690</v>
      </c>
      <c r="H10" s="46" t="str">
        <f t="shared" si="1"/>
        <v/>
      </c>
    </row>
    <row r="11" spans="1:8" x14ac:dyDescent="0.25">
      <c r="D11" t="s">
        <v>83</v>
      </c>
      <c r="F11" s="61">
        <v>27500</v>
      </c>
      <c r="G11" s="46">
        <f>G10-F11</f>
        <v>39190</v>
      </c>
      <c r="H11" s="46" t="str">
        <f t="shared" si="1"/>
        <v/>
      </c>
    </row>
    <row r="12" spans="1:8" x14ac:dyDescent="0.25">
      <c r="D12" t="s">
        <v>83</v>
      </c>
      <c r="F12" s="61">
        <v>27910</v>
      </c>
      <c r="G12" s="46">
        <f>G11-F12</f>
        <v>11280</v>
      </c>
      <c r="H12" s="46" t="str">
        <f t="shared" si="1"/>
        <v/>
      </c>
    </row>
    <row r="13" spans="1:8" x14ac:dyDescent="0.25">
      <c r="D13" t="s">
        <v>84</v>
      </c>
      <c r="F13" s="61">
        <v>40000</v>
      </c>
      <c r="G13" s="57">
        <f>G12-F13</f>
        <v>-28720</v>
      </c>
      <c r="H13" s="46" t="str">
        <f t="shared" si="1"/>
        <v>PAGADO</v>
      </c>
    </row>
    <row r="14" spans="1:8" x14ac:dyDescent="0.25">
      <c r="A14" s="55">
        <v>43530</v>
      </c>
      <c r="B14">
        <v>4309</v>
      </c>
      <c r="C14" t="s">
        <v>21</v>
      </c>
      <c r="D14" t="s">
        <v>27</v>
      </c>
      <c r="E14" s="46">
        <v>111834</v>
      </c>
      <c r="G14" s="46">
        <f>E14</f>
        <v>111834</v>
      </c>
      <c r="H14" s="46" t="str">
        <f t="shared" si="1"/>
        <v/>
      </c>
    </row>
    <row r="15" spans="1:8" s="59" customFormat="1" x14ac:dyDescent="0.25">
      <c r="A15" s="58"/>
      <c r="D15" s="59" t="s">
        <v>78</v>
      </c>
      <c r="E15" s="60"/>
      <c r="F15" s="57">
        <f>G13*-1</f>
        <v>28720</v>
      </c>
      <c r="G15" s="60">
        <f>G14-F15</f>
        <v>83114</v>
      </c>
      <c r="H15" s="46" t="str">
        <f t="shared" si="1"/>
        <v/>
      </c>
    </row>
    <row r="16" spans="1:8" s="59" customFormat="1" x14ac:dyDescent="0.25">
      <c r="A16" s="58"/>
      <c r="D16" t="s">
        <v>85</v>
      </c>
      <c r="E16" s="60"/>
      <c r="F16" s="62">
        <v>30000</v>
      </c>
      <c r="G16" s="60">
        <f>G15-F16</f>
        <v>53114</v>
      </c>
      <c r="H16" s="46" t="str">
        <f t="shared" si="1"/>
        <v/>
      </c>
    </row>
    <row r="17" spans="1:8" s="59" customFormat="1" x14ac:dyDescent="0.25">
      <c r="A17" s="58"/>
      <c r="D17" t="s">
        <v>86</v>
      </c>
      <c r="E17" s="60"/>
      <c r="F17" s="62">
        <v>5328</v>
      </c>
      <c r="G17" s="60">
        <f t="shared" ref="G17:G20" si="2">G16-F17</f>
        <v>47786</v>
      </c>
      <c r="H17" s="46" t="str">
        <f t="shared" si="1"/>
        <v/>
      </c>
    </row>
    <row r="18" spans="1:8" s="59" customFormat="1" x14ac:dyDescent="0.25">
      <c r="A18" s="58"/>
      <c r="D18" t="s">
        <v>87</v>
      </c>
      <c r="E18" s="60"/>
      <c r="F18" s="62">
        <v>15000</v>
      </c>
      <c r="G18" s="60">
        <f t="shared" si="2"/>
        <v>32786</v>
      </c>
      <c r="H18" s="46" t="str">
        <f t="shared" si="1"/>
        <v/>
      </c>
    </row>
    <row r="19" spans="1:8" s="59" customFormat="1" x14ac:dyDescent="0.25">
      <c r="A19" s="58"/>
      <c r="D19" t="s">
        <v>88</v>
      </c>
      <c r="E19" s="60"/>
      <c r="F19" s="62">
        <v>5000</v>
      </c>
      <c r="G19" s="60">
        <f t="shared" si="2"/>
        <v>27786</v>
      </c>
      <c r="H19" s="46" t="str">
        <f t="shared" si="1"/>
        <v/>
      </c>
    </row>
    <row r="20" spans="1:8" s="59" customFormat="1" x14ac:dyDescent="0.25">
      <c r="A20" s="58"/>
      <c r="D20" t="s">
        <v>89</v>
      </c>
      <c r="E20" s="60"/>
      <c r="F20" s="62">
        <v>10000</v>
      </c>
      <c r="G20" s="60">
        <f t="shared" si="2"/>
        <v>17786</v>
      </c>
      <c r="H20" s="46" t="str">
        <f t="shared" si="1"/>
        <v/>
      </c>
    </row>
    <row r="21" spans="1:8" s="59" customFormat="1" x14ac:dyDescent="0.25">
      <c r="A21" s="58"/>
      <c r="D21" t="s">
        <v>90</v>
      </c>
      <c r="E21" s="60"/>
      <c r="F21" s="62">
        <v>15000</v>
      </c>
      <c r="G21" s="60">
        <f>G20-F21</f>
        <v>2786</v>
      </c>
      <c r="H21" s="46" t="str">
        <f t="shared" si="1"/>
        <v/>
      </c>
    </row>
    <row r="22" spans="1:8" s="59" customFormat="1" x14ac:dyDescent="0.25">
      <c r="A22" s="58"/>
      <c r="D22" t="s">
        <v>91</v>
      </c>
      <c r="E22" s="60"/>
      <c r="F22" s="62">
        <v>10000</v>
      </c>
      <c r="G22" s="60">
        <f>G21-F22</f>
        <v>-7214</v>
      </c>
      <c r="H22" s="46" t="str">
        <f t="shared" si="1"/>
        <v>PAGADO</v>
      </c>
    </row>
    <row r="23" spans="1:8" x14ac:dyDescent="0.25">
      <c r="A23" s="55">
        <v>43565</v>
      </c>
      <c r="B23">
        <v>4310</v>
      </c>
      <c r="C23" t="s">
        <v>21</v>
      </c>
      <c r="D23" t="s">
        <v>28</v>
      </c>
      <c r="E23" s="46">
        <v>73872</v>
      </c>
      <c r="G23" s="57">
        <f>E23</f>
        <v>73872</v>
      </c>
      <c r="H23" s="46" t="str">
        <f t="shared" si="1"/>
        <v/>
      </c>
    </row>
    <row r="24" spans="1:8" x14ac:dyDescent="0.25">
      <c r="D24" s="59" t="s">
        <v>78</v>
      </c>
      <c r="F24" s="57">
        <f>G22*-1</f>
        <v>7214</v>
      </c>
      <c r="G24" s="46">
        <f>G23-F24</f>
        <v>66658</v>
      </c>
      <c r="H24" s="46" t="str">
        <f t="shared" si="1"/>
        <v/>
      </c>
    </row>
    <row r="25" spans="1:8" s="59" customFormat="1" x14ac:dyDescent="0.25">
      <c r="A25" s="58"/>
      <c r="D25" t="s">
        <v>92</v>
      </c>
      <c r="E25" s="60"/>
      <c r="F25" s="62">
        <v>17000</v>
      </c>
      <c r="G25" s="46">
        <f t="shared" ref="G25:G26" si="3">G24-F25</f>
        <v>49658</v>
      </c>
      <c r="H25" s="46" t="str">
        <f t="shared" si="1"/>
        <v/>
      </c>
    </row>
    <row r="26" spans="1:8" s="59" customFormat="1" x14ac:dyDescent="0.25">
      <c r="A26" s="58"/>
      <c r="D26" t="s">
        <v>93</v>
      </c>
      <c r="E26" s="60"/>
      <c r="F26" s="62">
        <v>35000</v>
      </c>
      <c r="G26" s="46">
        <f t="shared" si="3"/>
        <v>14658</v>
      </c>
      <c r="H26" s="46" t="str">
        <f t="shared" si="1"/>
        <v/>
      </c>
    </row>
    <row r="27" spans="1:8" x14ac:dyDescent="0.25">
      <c r="A27" s="55">
        <v>43580</v>
      </c>
      <c r="B27">
        <v>4311</v>
      </c>
      <c r="C27" t="s">
        <v>21</v>
      </c>
      <c r="D27" t="s">
        <v>28</v>
      </c>
      <c r="E27" s="46">
        <v>51552</v>
      </c>
      <c r="G27" s="46">
        <f t="shared" ref="G27:G31" si="4">E27</f>
        <v>51552</v>
      </c>
      <c r="H27" s="46" t="str">
        <f t="shared" si="1"/>
        <v/>
      </c>
    </row>
    <row r="28" spans="1:8" x14ac:dyDescent="0.25">
      <c r="A28" s="55">
        <v>43591</v>
      </c>
      <c r="B28">
        <v>4312</v>
      </c>
      <c r="C28" t="s">
        <v>21</v>
      </c>
      <c r="D28" t="s">
        <v>28</v>
      </c>
      <c r="E28" s="46">
        <v>25776</v>
      </c>
      <c r="G28" s="46">
        <f t="shared" si="4"/>
        <v>25776</v>
      </c>
      <c r="H28" s="46" t="str">
        <f t="shared" si="1"/>
        <v/>
      </c>
    </row>
    <row r="29" spans="1:8" x14ac:dyDescent="0.25">
      <c r="A29" s="55">
        <v>43713</v>
      </c>
      <c r="B29">
        <v>4313</v>
      </c>
      <c r="C29" t="s">
        <v>21</v>
      </c>
      <c r="D29" t="s">
        <v>28</v>
      </c>
      <c r="E29" s="46">
        <v>51552</v>
      </c>
      <c r="G29" s="46">
        <f t="shared" si="4"/>
        <v>51552</v>
      </c>
      <c r="H29" s="46" t="str">
        <f t="shared" si="1"/>
        <v/>
      </c>
    </row>
    <row r="30" spans="1:8" x14ac:dyDescent="0.25">
      <c r="A30" s="55">
        <v>43739</v>
      </c>
      <c r="B30">
        <v>4314</v>
      </c>
      <c r="C30" t="s">
        <v>21</v>
      </c>
      <c r="D30" t="s">
        <v>29</v>
      </c>
      <c r="E30" s="46">
        <v>51552</v>
      </c>
      <c r="G30" s="46">
        <f t="shared" si="4"/>
        <v>51552</v>
      </c>
      <c r="H30" s="46" t="str">
        <f t="shared" si="1"/>
        <v/>
      </c>
    </row>
    <row r="31" spans="1:8" x14ac:dyDescent="0.25">
      <c r="A31" s="55">
        <v>43801</v>
      </c>
      <c r="B31">
        <v>4315</v>
      </c>
      <c r="C31" t="s">
        <v>21</v>
      </c>
      <c r="D31" t="s">
        <v>29</v>
      </c>
      <c r="E31" s="46">
        <v>51552</v>
      </c>
      <c r="G31" s="46">
        <f t="shared" si="4"/>
        <v>51552</v>
      </c>
      <c r="H31" s="46" t="str">
        <f t="shared" si="1"/>
        <v/>
      </c>
    </row>
    <row r="37" spans="3:9" x14ac:dyDescent="0.25">
      <c r="C37" s="75" t="s">
        <v>71</v>
      </c>
      <c r="D37" s="75"/>
      <c r="E37" s="75"/>
      <c r="F37" s="75"/>
      <c r="G37" s="75"/>
      <c r="H37" s="75"/>
      <c r="I37" s="75"/>
    </row>
    <row r="38" spans="3:9" x14ac:dyDescent="0.25">
      <c r="C38" s="50" t="s">
        <v>67</v>
      </c>
      <c r="D38" s="50" t="s">
        <v>99</v>
      </c>
      <c r="E38" s="51" t="s">
        <v>68</v>
      </c>
      <c r="F38" s="50"/>
      <c r="G38" s="50" t="s">
        <v>72</v>
      </c>
      <c r="H38" s="50"/>
    </row>
    <row r="39" spans="3:9" x14ac:dyDescent="0.25">
      <c r="C39" s="55">
        <v>43479</v>
      </c>
      <c r="D39" t="s">
        <v>74</v>
      </c>
      <c r="E39" s="61">
        <v>14400</v>
      </c>
      <c r="F39"/>
      <c r="G39" t="s">
        <v>70</v>
      </c>
      <c r="H39"/>
    </row>
    <row r="40" spans="3:9" x14ac:dyDescent="0.25">
      <c r="C40" s="55">
        <v>43496</v>
      </c>
      <c r="D40" t="s">
        <v>74</v>
      </c>
      <c r="E40" s="61">
        <v>104.9</v>
      </c>
      <c r="F40"/>
      <c r="G40" t="s">
        <v>69</v>
      </c>
      <c r="H40"/>
    </row>
    <row r="41" spans="3:9" x14ac:dyDescent="0.25">
      <c r="C41" s="55">
        <v>43579</v>
      </c>
      <c r="D41" t="s">
        <v>74</v>
      </c>
      <c r="E41" s="61">
        <v>5000</v>
      </c>
      <c r="F41"/>
      <c r="G41" t="s">
        <v>73</v>
      </c>
      <c r="H41"/>
    </row>
  </sheetData>
  <mergeCells count="1">
    <mergeCell ref="C37:I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Cedula resumen</vt:lpstr>
      <vt:lpstr>Prueba de ventas</vt:lpstr>
      <vt:lpstr>Detalle de ventas</vt:lpstr>
      <vt:lpstr>Detalle de pagos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2020-03-21T16:13:41Z</dcterms:created>
  <dcterms:modified xsi:type="dcterms:W3CDTF">2020-05-24T15:50:04Z</dcterms:modified>
</cp:coreProperties>
</file>