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Carlos Almeida\Documents\CPAlmeida\CLIENTES\zzANIOS ANTERIORESzz\2018\Telconet\Telconet y Megadatos COMBINADO 2018\"/>
    </mc:Choice>
  </mc:AlternateContent>
  <xr:revisionPtr revIDLastSave="0" documentId="13_ncr:1_{079B48E4-E943-4CDA-B0EA-84CC9E84A012}" xr6:coauthVersionLast="45" xr6:coauthVersionMax="45" xr10:uidLastSave="{00000000-0000-0000-0000-000000000000}"/>
  <bookViews>
    <workbookView xWindow="-120" yWindow="-120" windowWidth="20730" windowHeight="11160" tabRatio="698" activeTab="5" xr2:uid="{00000000-000D-0000-FFFF-FFFF00000000}"/>
  </bookViews>
  <sheets>
    <sheet name="Indice" sheetId="10" r:id="rId1"/>
    <sheet name="BG " sheetId="1" r:id="rId2"/>
    <sheet name="ER" sheetId="3" r:id="rId3"/>
    <sheet name="EFE" sheetId="6" r:id="rId4"/>
    <sheet name="PAT" sheetId="4" r:id="rId5"/>
    <sheet name="AD" sheetId="5" r:id="rId6"/>
    <sheet name="Impuesto diferido" sheetId="11" r:id="rId7"/>
    <sheet name="Ratios" sheetId="7" r:id="rId8"/>
    <sheet name="PP&amp;E" sheetId="8" state="hidden" r:id="rId9"/>
    <sheet name="Impto diferido" sheetId="9" state="hidden" r:id="rId10"/>
  </sheets>
  <definedNames>
    <definedName name="_xlnm.Print_Area" localSheetId="5">AD!$A$1:$Q$65</definedName>
    <definedName name="_xlnm.Print_Area" localSheetId="1">'BG '!$A$6:$N$72</definedName>
    <definedName name="_xlnm.Print_Area" localSheetId="3">EFE!$B$1:$P$71</definedName>
    <definedName name="_xlnm.Print_Area" localSheetId="2">ER!$A$1:$S$39</definedName>
    <definedName name="_xlnm.Print_Area" localSheetId="4">PAT!$A$1:$J$140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 i="5" l="1"/>
  <c r="G58" i="1"/>
  <c r="D58" i="1" l="1"/>
  <c r="G28" i="5" l="1"/>
  <c r="F23" i="6" l="1"/>
  <c r="F36" i="6"/>
  <c r="F27" i="6"/>
  <c r="F8" i="7" l="1"/>
  <c r="K56" i="5"/>
  <c r="L57" i="5" s="1"/>
  <c r="M58" i="1"/>
  <c r="J58" i="1"/>
  <c r="D25" i="3" l="1"/>
  <c r="F146" i="4" l="1"/>
  <c r="H153" i="4"/>
  <c r="J153" i="4" s="1"/>
  <c r="H152" i="4"/>
  <c r="J152" i="4" s="1"/>
  <c r="H151" i="4"/>
  <c r="J151" i="4" s="1"/>
  <c r="F112" i="4"/>
  <c r="K113" i="4"/>
  <c r="H150" i="4"/>
  <c r="J150" i="4" s="1"/>
  <c r="H85" i="4"/>
  <c r="H83" i="4"/>
  <c r="H119" i="4"/>
  <c r="H120" i="4"/>
  <c r="H118" i="4"/>
  <c r="G111" i="4"/>
  <c r="H104" i="4" l="1"/>
  <c r="J104" i="4" s="1"/>
  <c r="H117" i="4" l="1"/>
  <c r="J117" i="4" s="1"/>
  <c r="J118" i="4"/>
  <c r="J120" i="4"/>
  <c r="F54" i="1" l="1"/>
  <c r="H54" i="1" s="1"/>
  <c r="E25" i="3"/>
  <c r="H45" i="4"/>
  <c r="J45" i="4" s="1"/>
  <c r="H21" i="4"/>
  <c r="J21" i="4" s="1"/>
  <c r="H116" i="4"/>
  <c r="J116" i="4" s="1"/>
  <c r="F25" i="3"/>
  <c r="L40" i="1" l="1"/>
  <c r="N40" i="1" s="1"/>
  <c r="F40" i="1"/>
  <c r="H40" i="1" s="1"/>
  <c r="G35" i="5" l="1"/>
  <c r="H41" i="5"/>
  <c r="H15" i="5"/>
  <c r="H9" i="5"/>
  <c r="I4" i="11" l="1"/>
  <c r="F22" i="11" s="1"/>
  <c r="G28" i="3"/>
  <c r="N53" i="6"/>
  <c r="N12" i="6"/>
  <c r="H12" i="6"/>
  <c r="M7" i="3"/>
  <c r="I50" i="4"/>
  <c r="I59" i="4" s="1"/>
  <c r="G68" i="1" s="1"/>
  <c r="I35" i="4"/>
  <c r="G35" i="4"/>
  <c r="E67" i="1" s="1"/>
  <c r="I23" i="4"/>
  <c r="K67" i="1"/>
  <c r="G62" i="1"/>
  <c r="G49" i="1"/>
  <c r="G47" i="1"/>
  <c r="G43" i="1"/>
  <c r="M49" i="1"/>
  <c r="M47" i="1"/>
  <c r="M43" i="1"/>
  <c r="G13" i="1"/>
  <c r="M13" i="1"/>
  <c r="K61" i="5"/>
  <c r="L62" i="5" s="1"/>
  <c r="I40" i="5"/>
  <c r="L36" i="5"/>
  <c r="K35" i="5"/>
  <c r="L23" i="5"/>
  <c r="K21" i="5" s="1"/>
  <c r="J23" i="5"/>
  <c r="I15" i="5"/>
  <c r="M28" i="3" s="1"/>
  <c r="L9" i="5"/>
  <c r="J9" i="5"/>
  <c r="H43" i="5"/>
  <c r="G43" i="5"/>
  <c r="H38" i="5"/>
  <c r="G38" i="5"/>
  <c r="H19" i="5"/>
  <c r="G19" i="5"/>
  <c r="H11" i="5"/>
  <c r="G11" i="5"/>
  <c r="J85" i="4"/>
  <c r="F16" i="4"/>
  <c r="M8" i="3" l="1"/>
  <c r="I47" i="5"/>
  <c r="J59" i="1"/>
  <c r="J57" i="1"/>
  <c r="J45" i="1"/>
  <c r="J43" i="1"/>
  <c r="J42" i="1"/>
  <c r="K28" i="3"/>
  <c r="K25" i="3"/>
  <c r="J25" i="3"/>
  <c r="M70" i="6"/>
  <c r="M64" i="6"/>
  <c r="M63" i="6"/>
  <c r="M62" i="6"/>
  <c r="M56" i="6"/>
  <c r="M54" i="6"/>
  <c r="M53" i="6"/>
  <c r="M52" i="6"/>
  <c r="M51" i="6"/>
  <c r="M50" i="6"/>
  <c r="M49" i="6"/>
  <c r="M45" i="6"/>
  <c r="M44" i="6"/>
  <c r="M43" i="6"/>
  <c r="M41" i="6"/>
  <c r="M40" i="6"/>
  <c r="M39" i="6"/>
  <c r="M38" i="6"/>
  <c r="M37" i="6"/>
  <c r="M36" i="6"/>
  <c r="M35" i="6"/>
  <c r="M34" i="6"/>
  <c r="M33" i="6"/>
  <c r="M32" i="6"/>
  <c r="M31" i="6"/>
  <c r="M30" i="6"/>
  <c r="M29" i="6"/>
  <c r="M28" i="6"/>
  <c r="M27" i="6"/>
  <c r="M26" i="6"/>
  <c r="M25" i="6"/>
  <c r="G10" i="6"/>
  <c r="G11" i="6"/>
  <c r="G12" i="6"/>
  <c r="G13" i="6"/>
  <c r="G14" i="6"/>
  <c r="G15" i="6"/>
  <c r="G16" i="6"/>
  <c r="G17" i="6"/>
  <c r="G18" i="6"/>
  <c r="G19" i="6"/>
  <c r="G20" i="6"/>
  <c r="G21" i="6"/>
  <c r="G22" i="6"/>
  <c r="K20" i="6"/>
  <c r="K8" i="6"/>
  <c r="H30" i="7"/>
  <c r="H22" i="7"/>
  <c r="H24" i="7" s="1"/>
  <c r="H9" i="7"/>
  <c r="H13" i="7" s="1"/>
  <c r="K23" i="6" l="1"/>
  <c r="K42" i="6" s="1"/>
  <c r="K14" i="11"/>
  <c r="J14" i="11"/>
  <c r="K13" i="11"/>
  <c r="J13" i="11"/>
  <c r="J11" i="11"/>
  <c r="J4" i="11"/>
  <c r="F21" i="11" s="1"/>
  <c r="K3" i="11"/>
  <c r="E20" i="11" s="1"/>
  <c r="J3" i="11"/>
  <c r="E21" i="11" s="1"/>
  <c r="G21" i="11" l="1"/>
  <c r="K15" i="11"/>
  <c r="N50" i="5" l="1"/>
  <c r="F27" i="3" l="1"/>
  <c r="H27" i="3" s="1"/>
  <c r="L27" i="3"/>
  <c r="N27" i="3" s="1"/>
  <c r="H141" i="4"/>
  <c r="J141" i="4" s="1"/>
  <c r="I43" i="4"/>
  <c r="H114" i="4"/>
  <c r="J114" i="4" s="1"/>
  <c r="H113" i="4"/>
  <c r="H112" i="4"/>
  <c r="J112" i="4" s="1"/>
  <c r="H111" i="4"/>
  <c r="J111" i="4" s="1"/>
  <c r="H110" i="4"/>
  <c r="J110" i="4" s="1"/>
  <c r="H146" i="4"/>
  <c r="J146" i="4" s="1"/>
  <c r="H147" i="4"/>
  <c r="J147" i="4" s="1"/>
  <c r="H148" i="4"/>
  <c r="J43" i="5"/>
  <c r="I43" i="5"/>
  <c r="J38" i="5"/>
  <c r="I38" i="5"/>
  <c r="I26" i="5"/>
  <c r="J26" i="5"/>
  <c r="J19" i="5"/>
  <c r="I11" i="5"/>
  <c r="J11" i="5"/>
  <c r="I19" i="5" l="1"/>
  <c r="J83" i="4"/>
  <c r="H47" i="4"/>
  <c r="J47" i="4" s="1"/>
  <c r="H33" i="4"/>
  <c r="J33" i="4" s="1"/>
  <c r="H18" i="4"/>
  <c r="J18" i="4" s="1"/>
  <c r="H17" i="4"/>
  <c r="J17" i="4" s="1"/>
  <c r="G70" i="6"/>
  <c r="G65" i="6"/>
  <c r="G64" i="6"/>
  <c r="G63" i="6"/>
  <c r="G62" i="6"/>
  <c r="G61" i="6"/>
  <c r="G60" i="6"/>
  <c r="G59" i="6"/>
  <c r="G56" i="6"/>
  <c r="G54" i="6"/>
  <c r="G53" i="6"/>
  <c r="G52" i="6"/>
  <c r="G51" i="6"/>
  <c r="G50" i="6"/>
  <c r="G49" i="6"/>
  <c r="G45" i="6"/>
  <c r="G44" i="6"/>
  <c r="G43" i="6"/>
  <c r="G41" i="6"/>
  <c r="G40" i="6"/>
  <c r="G39" i="6"/>
  <c r="G38" i="6"/>
  <c r="G37" i="6"/>
  <c r="G36" i="6"/>
  <c r="G35" i="6"/>
  <c r="G34" i="6"/>
  <c r="G33" i="6"/>
  <c r="G32" i="6"/>
  <c r="G31" i="6"/>
  <c r="G30" i="6"/>
  <c r="G29" i="6"/>
  <c r="G28" i="6"/>
  <c r="G27" i="6"/>
  <c r="G26" i="6"/>
  <c r="G25" i="6"/>
  <c r="F28" i="3"/>
  <c r="F8" i="3"/>
  <c r="F7" i="3"/>
  <c r="F31" i="3"/>
  <c r="F34" i="3"/>
  <c r="F38" i="3"/>
  <c r="H44" i="1"/>
  <c r="F18" i="1"/>
  <c r="H18" i="1" s="1"/>
  <c r="F17" i="1"/>
  <c r="H17" i="1" s="1"/>
  <c r="F16" i="1"/>
  <c r="H16" i="1" s="1"/>
  <c r="F15" i="1"/>
  <c r="H15" i="1" s="1"/>
  <c r="F14" i="1"/>
  <c r="H14" i="1" s="1"/>
  <c r="F13" i="1"/>
  <c r="H13" i="1" s="1"/>
  <c r="F12" i="1"/>
  <c r="H12" i="1" s="1"/>
  <c r="F10" i="1"/>
  <c r="H10" i="1" s="1"/>
  <c r="F9" i="1"/>
  <c r="H9" i="1" s="1"/>
  <c r="F8" i="1"/>
  <c r="H8" i="1" s="1"/>
  <c r="F28" i="1"/>
  <c r="H28" i="1" s="1"/>
  <c r="F27" i="1"/>
  <c r="H27" i="1" s="1"/>
  <c r="F26" i="1"/>
  <c r="F25" i="1"/>
  <c r="H25" i="1" s="1"/>
  <c r="F24" i="1"/>
  <c r="H24" i="1" s="1"/>
  <c r="F33" i="1"/>
  <c r="H33" i="1" s="1"/>
  <c r="F32" i="1"/>
  <c r="F31" i="1"/>
  <c r="H31" i="1" s="1"/>
  <c r="F30" i="1"/>
  <c r="H30" i="1" s="1"/>
  <c r="F39" i="1"/>
  <c r="H39" i="1" s="1"/>
  <c r="F20" i="7" s="1"/>
  <c r="F49" i="1"/>
  <c r="H49" i="1" s="1"/>
  <c r="F48" i="1"/>
  <c r="H48" i="1" s="1"/>
  <c r="F47" i="1"/>
  <c r="H47" i="1" s="1"/>
  <c r="F46" i="1"/>
  <c r="H46" i="1" s="1"/>
  <c r="F61" i="1"/>
  <c r="H61" i="1" s="1"/>
  <c r="F60" i="1"/>
  <c r="H60" i="1" s="1"/>
  <c r="F56" i="1"/>
  <c r="H56" i="1" s="1"/>
  <c r="F53" i="1"/>
  <c r="H53" i="1" l="1"/>
  <c r="F57" i="1"/>
  <c r="H57" i="1" s="1"/>
  <c r="F58" i="1"/>
  <c r="H58" i="1" s="1"/>
  <c r="F59" i="1"/>
  <c r="H59" i="1" s="1"/>
  <c r="F45" i="1"/>
  <c r="H45" i="1" s="1"/>
  <c r="F43" i="1"/>
  <c r="H43" i="1" s="1"/>
  <c r="F42" i="1"/>
  <c r="H42" i="1" s="1"/>
  <c r="F62" i="1" l="1"/>
  <c r="H62" i="1"/>
  <c r="F28" i="7"/>
  <c r="H71" i="6" l="1"/>
  <c r="I70" i="6"/>
  <c r="H66" i="6"/>
  <c r="F66" i="6"/>
  <c r="E66" i="6"/>
  <c r="I65" i="6"/>
  <c r="I64" i="6"/>
  <c r="I63" i="6"/>
  <c r="I62" i="6"/>
  <c r="I61" i="6"/>
  <c r="F57" i="6"/>
  <c r="E57" i="6"/>
  <c r="I56" i="6"/>
  <c r="I55" i="6"/>
  <c r="I54" i="6"/>
  <c r="I52" i="6"/>
  <c r="I50" i="6"/>
  <c r="I49" i="6"/>
  <c r="I45" i="6"/>
  <c r="I44" i="6"/>
  <c r="I43" i="6"/>
  <c r="I41" i="6"/>
  <c r="I40" i="6"/>
  <c r="I39" i="6"/>
  <c r="I38" i="6"/>
  <c r="I37" i="6"/>
  <c r="I36" i="6"/>
  <c r="I35" i="6"/>
  <c r="I34" i="6"/>
  <c r="I33" i="6"/>
  <c r="I32" i="6"/>
  <c r="I31" i="6"/>
  <c r="I30" i="6"/>
  <c r="I29" i="6"/>
  <c r="I28" i="6"/>
  <c r="I27" i="6"/>
  <c r="I26" i="6"/>
  <c r="I25" i="6"/>
  <c r="F42" i="6"/>
  <c r="F46" i="6" s="1"/>
  <c r="I21" i="6"/>
  <c r="I20" i="6"/>
  <c r="I19" i="6"/>
  <c r="I18" i="6"/>
  <c r="I17" i="6"/>
  <c r="I16" i="6"/>
  <c r="I15" i="6"/>
  <c r="I14" i="6"/>
  <c r="I13" i="6"/>
  <c r="I12" i="6"/>
  <c r="I11" i="6"/>
  <c r="I10" i="6"/>
  <c r="G66" i="6" l="1"/>
  <c r="I60" i="6"/>
  <c r="I66" i="6" s="1"/>
  <c r="F67" i="6"/>
  <c r="G57" i="6"/>
  <c r="H38" i="3"/>
  <c r="H31" i="3"/>
  <c r="H28" i="3"/>
  <c r="H26" i="3"/>
  <c r="H25" i="3"/>
  <c r="H24" i="3"/>
  <c r="H23" i="3"/>
  <c r="H22" i="3"/>
  <c r="H21" i="3"/>
  <c r="H20" i="3"/>
  <c r="H19" i="3"/>
  <c r="H18" i="3"/>
  <c r="H17" i="3"/>
  <c r="H16" i="3"/>
  <c r="H15" i="3"/>
  <c r="H14" i="3"/>
  <c r="H13" i="3"/>
  <c r="H12" i="3"/>
  <c r="H11" i="3"/>
  <c r="E9" i="3"/>
  <c r="E29" i="3" s="1"/>
  <c r="E32" i="3" s="1"/>
  <c r="E35" i="3" s="1"/>
  <c r="D9" i="3"/>
  <c r="D29" i="3" s="1"/>
  <c r="F9" i="3"/>
  <c r="H19" i="1"/>
  <c r="G19" i="1"/>
  <c r="F19" i="1"/>
  <c r="E19" i="1"/>
  <c r="D19" i="1"/>
  <c r="F34" i="1"/>
  <c r="E34" i="1"/>
  <c r="D34" i="1"/>
  <c r="H50" i="1"/>
  <c r="G50" i="1"/>
  <c r="F50" i="1"/>
  <c r="E50" i="1"/>
  <c r="D50" i="1"/>
  <c r="E62" i="1"/>
  <c r="D62" i="1"/>
  <c r="F69" i="6" l="1"/>
  <c r="F71" i="6" s="1"/>
  <c r="E39" i="3"/>
  <c r="G121" i="4"/>
  <c r="G154" i="4" s="1"/>
  <c r="F11" i="7"/>
  <c r="D32" i="3"/>
  <c r="F29" i="3"/>
  <c r="F32" i="3" s="1"/>
  <c r="F35" i="3" s="1"/>
  <c r="F39" i="3" s="1"/>
  <c r="G63" i="1"/>
  <c r="H63" i="1"/>
  <c r="F35" i="1"/>
  <c r="F63" i="1"/>
  <c r="E63" i="1"/>
  <c r="E35" i="1"/>
  <c r="D63" i="1"/>
  <c r="D35" i="1"/>
  <c r="H143" i="4"/>
  <c r="J143" i="4" s="1"/>
  <c r="D35" i="3" l="1"/>
  <c r="E8" i="6"/>
  <c r="F84" i="4"/>
  <c r="G144" i="4"/>
  <c r="H144" i="4" s="1"/>
  <c r="G139" i="4"/>
  <c r="F139" i="4"/>
  <c r="G131" i="4"/>
  <c r="I131" i="4"/>
  <c r="F131" i="4"/>
  <c r="E5" i="9"/>
  <c r="E4" i="9"/>
  <c r="E3" i="9"/>
  <c r="F86" i="4" l="1"/>
  <c r="E23" i="6"/>
  <c r="E42" i="6" s="1"/>
  <c r="E46" i="6" s="1"/>
  <c r="E67" i="6" s="1"/>
  <c r="E69" i="6" s="1"/>
  <c r="G8" i="6"/>
  <c r="D39" i="3"/>
  <c r="F121" i="4"/>
  <c r="F154" i="4" s="1"/>
  <c r="L32" i="1"/>
  <c r="M34" i="5"/>
  <c r="K33" i="5" s="1"/>
  <c r="Q34" i="5"/>
  <c r="G18" i="8"/>
  <c r="G23" i="6" l="1"/>
  <c r="G42" i="6" s="1"/>
  <c r="G46" i="6" s="1"/>
  <c r="G67" i="6" s="1"/>
  <c r="G68" i="6" s="1"/>
  <c r="G69" i="6"/>
  <c r="E71" i="6"/>
  <c r="H121" i="4"/>
  <c r="H154" i="4" s="1"/>
  <c r="K5" i="11"/>
  <c r="G71" i="6" l="1"/>
  <c r="I69" i="6"/>
  <c r="I71" i="6" s="1"/>
  <c r="H20" i="11"/>
  <c r="G7" i="8"/>
  <c r="G8" i="8"/>
  <c r="G9" i="8"/>
  <c r="G10" i="8"/>
  <c r="G11" i="8"/>
  <c r="G12" i="8"/>
  <c r="G13" i="8"/>
  <c r="G14" i="8"/>
  <c r="G15" i="8"/>
  <c r="G16" i="8"/>
  <c r="G17" i="8"/>
  <c r="E21" i="8"/>
  <c r="F21" i="8"/>
  <c r="G21" i="8"/>
  <c r="H21" i="8"/>
  <c r="I21" i="8"/>
  <c r="J21" i="8"/>
  <c r="K21" i="8"/>
  <c r="L21" i="8"/>
  <c r="M21" i="8"/>
  <c r="N21" i="8"/>
  <c r="D21" i="8"/>
  <c r="I18" i="8"/>
  <c r="H18" i="8"/>
  <c r="J18" i="8" s="1"/>
  <c r="K40" i="5" s="1"/>
  <c r="I46" i="5" l="1"/>
  <c r="L41" i="5"/>
  <c r="K4" i="11" s="1"/>
  <c r="O21" i="8"/>
  <c r="G6" i="8" s="1"/>
  <c r="L58" i="1"/>
  <c r="N58" i="1" s="1"/>
  <c r="L56" i="1"/>
  <c r="N56" i="1" s="1"/>
  <c r="K34" i="1"/>
  <c r="F20" i="11" l="1"/>
  <c r="F23" i="11" s="1"/>
  <c r="K7" i="11"/>
  <c r="M57" i="1"/>
  <c r="O39" i="3"/>
  <c r="N26" i="3"/>
  <c r="L11" i="3"/>
  <c r="N11" i="3" s="1"/>
  <c r="L8" i="3"/>
  <c r="L7" i="3"/>
  <c r="K43" i="5"/>
  <c r="L43" i="5"/>
  <c r="H108" i="4"/>
  <c r="H107" i="4"/>
  <c r="J107" i="4" s="1"/>
  <c r="H106" i="4"/>
  <c r="H102" i="4"/>
  <c r="H138" i="4"/>
  <c r="H100" i="4"/>
  <c r="J100" i="4" s="1"/>
  <c r="H99" i="4"/>
  <c r="J99" i="4" s="1"/>
  <c r="H96" i="4"/>
  <c r="H131" i="4" s="1"/>
  <c r="H93" i="4"/>
  <c r="H98" i="4"/>
  <c r="J98" i="4" s="1"/>
  <c r="H92" i="4"/>
  <c r="J92" i="4" s="1"/>
  <c r="H95" i="4"/>
  <c r="G91" i="4"/>
  <c r="G94" i="4" s="1"/>
  <c r="G20" i="11" l="1"/>
  <c r="I20" i="11" s="1"/>
  <c r="J138" i="4"/>
  <c r="J96" i="4"/>
  <c r="J131" i="4" s="1"/>
  <c r="J95" i="4"/>
  <c r="G97" i="4"/>
  <c r="M50" i="1"/>
  <c r="L9" i="3"/>
  <c r="N21" i="1"/>
  <c r="N18" i="1"/>
  <c r="M17" i="6"/>
  <c r="O17" i="6" s="1"/>
  <c r="M11" i="6"/>
  <c r="O11" i="6" s="1"/>
  <c r="M12" i="6"/>
  <c r="O12" i="6" s="1"/>
  <c r="M13" i="6"/>
  <c r="O13" i="6" s="1"/>
  <c r="J81" i="4"/>
  <c r="H44" i="4"/>
  <c r="J44" i="4" s="1"/>
  <c r="I46" i="4"/>
  <c r="H15" i="4"/>
  <c r="J15" i="4" s="1"/>
  <c r="I16" i="4"/>
  <c r="B101" i="4"/>
  <c r="L38" i="5"/>
  <c r="L19" i="5"/>
  <c r="K11" i="5"/>
  <c r="L49" i="1"/>
  <c r="N49" i="1" s="1"/>
  <c r="L48" i="1"/>
  <c r="N48" i="1" s="1"/>
  <c r="L47" i="1"/>
  <c r="N47" i="1" s="1"/>
  <c r="L46" i="1"/>
  <c r="N46" i="1" s="1"/>
  <c r="L45" i="1"/>
  <c r="N45" i="1" s="1"/>
  <c r="L44" i="1"/>
  <c r="N44" i="1" s="1"/>
  <c r="L43" i="1"/>
  <c r="N43" i="1" s="1"/>
  <c r="L42" i="1"/>
  <c r="N42" i="1" s="1"/>
  <c r="L39" i="1"/>
  <c r="N39" i="1" s="1"/>
  <c r="G20" i="7" s="1"/>
  <c r="L11" i="5" l="1"/>
  <c r="G28" i="7"/>
  <c r="F22" i="7"/>
  <c r="N50" i="1"/>
  <c r="M14" i="5"/>
  <c r="K16" i="5" s="1"/>
  <c r="K14" i="5" s="1"/>
  <c r="K57" i="6"/>
  <c r="J62" i="1"/>
  <c r="J50" i="1"/>
  <c r="J34" i="1"/>
  <c r="L33" i="1"/>
  <c r="N33" i="1" s="1"/>
  <c r="L25" i="1"/>
  <c r="N25" i="1" s="1"/>
  <c r="L26" i="1"/>
  <c r="L27" i="1"/>
  <c r="N27" i="1" s="1"/>
  <c r="L28" i="1"/>
  <c r="N28" i="1" s="1"/>
  <c r="L29" i="1"/>
  <c r="N29" i="1" s="1"/>
  <c r="L30" i="1"/>
  <c r="N30" i="1" s="1"/>
  <c r="L31" i="1"/>
  <c r="N31" i="1" s="1"/>
  <c r="L24" i="1"/>
  <c r="L9" i="1"/>
  <c r="N9" i="1" s="1"/>
  <c r="L10" i="1"/>
  <c r="N10" i="1" s="1"/>
  <c r="L11" i="1"/>
  <c r="L12" i="1"/>
  <c r="N12" i="1" s="1"/>
  <c r="L13" i="1"/>
  <c r="N13" i="1" s="1"/>
  <c r="L14" i="1"/>
  <c r="N14" i="1" s="1"/>
  <c r="L15" i="1"/>
  <c r="N15" i="1" s="1"/>
  <c r="L16" i="1"/>
  <c r="L17" i="1"/>
  <c r="N17" i="1" s="1"/>
  <c r="L8" i="1"/>
  <c r="N8" i="1" s="1"/>
  <c r="J19" i="1"/>
  <c r="K50" i="1"/>
  <c r="G103" i="4"/>
  <c r="H78" i="4"/>
  <c r="J78" i="4" s="1"/>
  <c r="H77" i="4"/>
  <c r="G80" i="4"/>
  <c r="M8" i="5"/>
  <c r="L71" i="6"/>
  <c r="L23" i="6"/>
  <c r="J9" i="3"/>
  <c r="K9" i="3"/>
  <c r="L12" i="3"/>
  <c r="N12" i="3" s="1"/>
  <c r="L13" i="3"/>
  <c r="N13" i="3" s="1"/>
  <c r="L14" i="3"/>
  <c r="N14" i="3" s="1"/>
  <c r="L15" i="3"/>
  <c r="N15" i="3" s="1"/>
  <c r="L16" i="3"/>
  <c r="N16" i="3" s="1"/>
  <c r="L17" i="3"/>
  <c r="N17" i="3" s="1"/>
  <c r="L18" i="3"/>
  <c r="N18" i="3" s="1"/>
  <c r="L19" i="3"/>
  <c r="N19" i="3" s="1"/>
  <c r="L20" i="3"/>
  <c r="N20" i="3" s="1"/>
  <c r="L21" i="3"/>
  <c r="N21" i="3" s="1"/>
  <c r="L22" i="3"/>
  <c r="N22" i="3" s="1"/>
  <c r="L23" i="3"/>
  <c r="N23" i="3" s="1"/>
  <c r="M25" i="3"/>
  <c r="L28" i="3"/>
  <c r="L31" i="3"/>
  <c r="L34" i="3"/>
  <c r="L38" i="3"/>
  <c r="K19" i="1"/>
  <c r="K35" i="1" s="1"/>
  <c r="G105" i="4" l="1"/>
  <c r="J29" i="3"/>
  <c r="J32" i="3" s="1"/>
  <c r="J63" i="1"/>
  <c r="K29" i="3"/>
  <c r="K32" i="3" s="1"/>
  <c r="G82" i="4"/>
  <c r="L19" i="1"/>
  <c r="L34" i="1"/>
  <c r="N24" i="1"/>
  <c r="L50" i="1"/>
  <c r="J35" i="1"/>
  <c r="L35" i="1" s="1"/>
  <c r="L24" i="3"/>
  <c r="N24" i="3" s="1"/>
  <c r="G84" i="4" l="1"/>
  <c r="H82" i="4"/>
  <c r="G109" i="4"/>
  <c r="K68" i="5"/>
  <c r="K19" i="5"/>
  <c r="J35" i="3"/>
  <c r="J39" i="3" s="1"/>
  <c r="L25" i="3"/>
  <c r="K35" i="3"/>
  <c r="K39" i="3" s="1"/>
  <c r="G86" i="4" l="1"/>
  <c r="H86" i="4" s="1"/>
  <c r="H84" i="4"/>
  <c r="G115" i="4"/>
  <c r="G122" i="4" s="1"/>
  <c r="N25" i="3"/>
  <c r="L29" i="3"/>
  <c r="Q54" i="5"/>
  <c r="P54" i="5"/>
  <c r="N52" i="5"/>
  <c r="L52" i="5" s="1"/>
  <c r="Q23" i="5"/>
  <c r="N23" i="5"/>
  <c r="Q8" i="5"/>
  <c r="J52" i="5" l="1"/>
  <c r="K45" i="5"/>
  <c r="M68" i="5"/>
  <c r="K38" i="5"/>
  <c r="M16" i="1"/>
  <c r="L32" i="3"/>
  <c r="L35" i="3" s="1"/>
  <c r="L39" i="3" s="1"/>
  <c r="N71" i="6"/>
  <c r="O70" i="6"/>
  <c r="N66" i="6"/>
  <c r="M65" i="6"/>
  <c r="O65" i="6" s="1"/>
  <c r="O63" i="6"/>
  <c r="O62" i="6"/>
  <c r="M61" i="6"/>
  <c r="O61" i="6" s="1"/>
  <c r="M60" i="6"/>
  <c r="O60" i="6" s="1"/>
  <c r="N57" i="6"/>
  <c r="O56" i="6"/>
  <c r="O55" i="6"/>
  <c r="O54" i="6"/>
  <c r="O53" i="6"/>
  <c r="O52" i="6"/>
  <c r="O50" i="6"/>
  <c r="O49" i="6"/>
  <c r="O45" i="6"/>
  <c r="O44" i="6"/>
  <c r="O43" i="6"/>
  <c r="O41" i="6"/>
  <c r="O40" i="6"/>
  <c r="O39" i="6"/>
  <c r="O38" i="6"/>
  <c r="O37" i="6"/>
  <c r="O36" i="6"/>
  <c r="O35" i="6"/>
  <c r="O34" i="6"/>
  <c r="O33" i="6"/>
  <c r="O32" i="6"/>
  <c r="O31" i="6"/>
  <c r="O30" i="6"/>
  <c r="O29" i="6"/>
  <c r="O28" i="6"/>
  <c r="O27" i="6"/>
  <c r="O26" i="6"/>
  <c r="O25" i="6"/>
  <c r="M21" i="6"/>
  <c r="O21" i="6" s="1"/>
  <c r="M20" i="6"/>
  <c r="O20" i="6" s="1"/>
  <c r="M19" i="6"/>
  <c r="O19" i="6" s="1"/>
  <c r="M18" i="6"/>
  <c r="O18" i="6" s="1"/>
  <c r="M16" i="6"/>
  <c r="O16" i="6" s="1"/>
  <c r="G8" i="7" s="1"/>
  <c r="M15" i="6"/>
  <c r="O15" i="6" s="1"/>
  <c r="M14" i="6"/>
  <c r="O14" i="6" s="1"/>
  <c r="M10" i="6"/>
  <c r="O10" i="6" s="1"/>
  <c r="M8" i="6"/>
  <c r="M62" i="1"/>
  <c r="M63" i="1" s="1"/>
  <c r="N38" i="3"/>
  <c r="N31" i="3"/>
  <c r="N28" i="3"/>
  <c r="L61" i="1"/>
  <c r="N61" i="1" s="1"/>
  <c r="L60" i="1"/>
  <c r="N60" i="1" s="1"/>
  <c r="L59" i="1"/>
  <c r="N59" i="1" s="1"/>
  <c r="L57" i="1"/>
  <c r="N57" i="1" s="1"/>
  <c r="L53" i="1"/>
  <c r="N53" i="1" s="1"/>
  <c r="I45" i="5" l="1"/>
  <c r="G45" i="5" s="1"/>
  <c r="M26" i="1"/>
  <c r="K67" i="5"/>
  <c r="E19" i="11"/>
  <c r="O64" i="6"/>
  <c r="O66" i="6" s="1"/>
  <c r="G22" i="7"/>
  <c r="N62" i="1"/>
  <c r="N63" i="1" s="1"/>
  <c r="M19" i="1"/>
  <c r="N16" i="1"/>
  <c r="N19" i="1" s="1"/>
  <c r="L26" i="5"/>
  <c r="G11" i="7"/>
  <c r="L54" i="5"/>
  <c r="M23" i="6"/>
  <c r="M42" i="6" s="1"/>
  <c r="M46" i="6" s="1"/>
  <c r="M66" i="6"/>
  <c r="J22" i="7"/>
  <c r="O57" i="6"/>
  <c r="M57" i="6"/>
  <c r="H10" i="4"/>
  <c r="J10" i="4" s="1"/>
  <c r="H11" i="4"/>
  <c r="J11" i="4" s="1"/>
  <c r="H12" i="4"/>
  <c r="J12" i="4" s="1"/>
  <c r="H13" i="4"/>
  <c r="J13" i="4" s="1"/>
  <c r="H26" i="4"/>
  <c r="J26" i="4" s="1"/>
  <c r="H27" i="4"/>
  <c r="J27" i="4" s="1"/>
  <c r="H29" i="4"/>
  <c r="J29" i="4" s="1"/>
  <c r="H30" i="4"/>
  <c r="J30" i="4" s="1"/>
  <c r="H38" i="4"/>
  <c r="J38" i="4" s="1"/>
  <c r="H39" i="4"/>
  <c r="J39" i="4" s="1"/>
  <c r="H41" i="4"/>
  <c r="J41" i="4" s="1"/>
  <c r="H52" i="4"/>
  <c r="H53" i="4"/>
  <c r="J53" i="4" s="1"/>
  <c r="H60" i="4"/>
  <c r="H61" i="4"/>
  <c r="H62" i="4"/>
  <c r="J62" i="4" s="1"/>
  <c r="H68" i="4"/>
  <c r="H69" i="4"/>
  <c r="J69" i="4" s="1"/>
  <c r="H74" i="4"/>
  <c r="H75" i="4"/>
  <c r="H79" i="4"/>
  <c r="H88" i="4"/>
  <c r="H89" i="4"/>
  <c r="H90" i="4"/>
  <c r="J106" i="4"/>
  <c r="H134" i="4"/>
  <c r="J134" i="4" s="1"/>
  <c r="H135" i="4"/>
  <c r="J135" i="4" s="1"/>
  <c r="H136" i="4"/>
  <c r="J136" i="4" s="1"/>
  <c r="H137" i="4"/>
  <c r="J137" i="4" s="1"/>
  <c r="H8" i="4"/>
  <c r="J8" i="4" s="1"/>
  <c r="G127" i="4"/>
  <c r="G130" i="4" s="1"/>
  <c r="G132" i="4" s="1"/>
  <c r="G140" i="4" s="1"/>
  <c r="H80" i="4"/>
  <c r="G70" i="4"/>
  <c r="G63" i="4"/>
  <c r="G54" i="4"/>
  <c r="G55" i="4" s="1"/>
  <c r="G56" i="4" s="1"/>
  <c r="G57" i="4" s="1"/>
  <c r="G40" i="4"/>
  <c r="G42" i="4" s="1"/>
  <c r="G9" i="4"/>
  <c r="G14" i="4" s="1"/>
  <c r="F133" i="4"/>
  <c r="B133" i="4"/>
  <c r="F129" i="4"/>
  <c r="F127" i="4"/>
  <c r="F101" i="4"/>
  <c r="H101" i="4" s="1"/>
  <c r="J101" i="4" s="1"/>
  <c r="F91" i="4"/>
  <c r="F94" i="4" s="1"/>
  <c r="F70" i="4"/>
  <c r="F63" i="4"/>
  <c r="F54" i="4"/>
  <c r="F55" i="4" s="1"/>
  <c r="F56" i="4" s="1"/>
  <c r="F57" i="4" s="1"/>
  <c r="F40" i="4"/>
  <c r="F42" i="4" s="1"/>
  <c r="F28" i="4"/>
  <c r="F31" i="4" s="1"/>
  <c r="L66" i="6"/>
  <c r="L57" i="6"/>
  <c r="L42" i="6"/>
  <c r="L46" i="6" s="1"/>
  <c r="K66" i="6"/>
  <c r="K46" i="6"/>
  <c r="I61" i="5" l="1"/>
  <c r="G47" i="5" s="1"/>
  <c r="N26" i="1"/>
  <c r="H57" i="4"/>
  <c r="G16" i="4"/>
  <c r="G19" i="4" s="1"/>
  <c r="G19" i="11"/>
  <c r="J54" i="5"/>
  <c r="G43" i="4"/>
  <c r="G46" i="4" s="1"/>
  <c r="G48" i="4" s="1"/>
  <c r="F46" i="4"/>
  <c r="F48" i="4" s="1"/>
  <c r="F43" i="4"/>
  <c r="G142" i="4"/>
  <c r="G145" i="4" s="1"/>
  <c r="G149" i="4" s="1"/>
  <c r="G155" i="4" s="1"/>
  <c r="H56" i="4"/>
  <c r="J56" i="4" s="1"/>
  <c r="K67" i="6"/>
  <c r="K69" i="6" s="1"/>
  <c r="L65" i="5"/>
  <c r="J79" i="4"/>
  <c r="H139" i="4"/>
  <c r="H31" i="4"/>
  <c r="J31" i="4" s="1"/>
  <c r="F32" i="4"/>
  <c r="H129" i="4"/>
  <c r="F71" i="4"/>
  <c r="F72" i="4" s="1"/>
  <c r="F73" i="4" s="1"/>
  <c r="G71" i="4"/>
  <c r="F64" i="4"/>
  <c r="F65" i="4" s="1"/>
  <c r="F97" i="4"/>
  <c r="G64" i="4"/>
  <c r="G65" i="4" s="1"/>
  <c r="K26" i="5"/>
  <c r="K69" i="5"/>
  <c r="I91" i="4"/>
  <c r="J90" i="4"/>
  <c r="H91" i="4"/>
  <c r="H94" i="4" s="1"/>
  <c r="F105" i="4"/>
  <c r="F109" i="4" s="1"/>
  <c r="H109" i="4" s="1"/>
  <c r="K54" i="5"/>
  <c r="J80" i="4"/>
  <c r="M67" i="6"/>
  <c r="L67" i="6"/>
  <c r="H127" i="4"/>
  <c r="J127" i="4" s="1"/>
  <c r="H55" i="4"/>
  <c r="J55" i="4" s="1"/>
  <c r="H42" i="4"/>
  <c r="H43" i="4" s="1"/>
  <c r="H46" i="4" s="1"/>
  <c r="H133" i="4"/>
  <c r="J133" i="4" s="1"/>
  <c r="H70" i="4"/>
  <c r="H63" i="4"/>
  <c r="H54" i="4"/>
  <c r="J54" i="4" s="1"/>
  <c r="H40" i="4"/>
  <c r="J40" i="4" s="1"/>
  <c r="H28" i="4"/>
  <c r="J28" i="4" s="1"/>
  <c r="K62" i="1"/>
  <c r="K63" i="1" s="1"/>
  <c r="Q38" i="5"/>
  <c r="P38" i="5"/>
  <c r="N38" i="5"/>
  <c r="M38" i="5"/>
  <c r="Q26" i="5"/>
  <c r="P26" i="5"/>
  <c r="N26" i="5"/>
  <c r="M26" i="5"/>
  <c r="Q19" i="5"/>
  <c r="M19" i="5"/>
  <c r="N19" i="5"/>
  <c r="P14" i="5"/>
  <c r="P67" i="5" s="1"/>
  <c r="P11" i="5"/>
  <c r="N11" i="5"/>
  <c r="M11" i="5"/>
  <c r="J57" i="4" l="1"/>
  <c r="H52" i="5"/>
  <c r="G54" i="5"/>
  <c r="F66" i="4"/>
  <c r="J68" i="1"/>
  <c r="F50" i="4"/>
  <c r="F59" i="4" s="1"/>
  <c r="D68" i="1" s="1"/>
  <c r="K66" i="1"/>
  <c r="G23" i="4"/>
  <c r="E66" i="1" s="1"/>
  <c r="J62" i="5"/>
  <c r="M34" i="3" s="1"/>
  <c r="N34" i="3" s="1"/>
  <c r="M32" i="1"/>
  <c r="G50" i="4"/>
  <c r="G59" i="4" s="1"/>
  <c r="E68" i="1" s="1"/>
  <c r="K68" i="1"/>
  <c r="G66" i="4"/>
  <c r="M69" i="6"/>
  <c r="K71" i="6"/>
  <c r="I19" i="11"/>
  <c r="I103" i="4"/>
  <c r="I54" i="5"/>
  <c r="I65" i="5" s="1"/>
  <c r="H71" i="4"/>
  <c r="J71" i="4" s="1"/>
  <c r="J82" i="4"/>
  <c r="J86" i="4"/>
  <c r="G72" i="4"/>
  <c r="K69" i="1" s="1"/>
  <c r="H65" i="4"/>
  <c r="J65" i="4" s="1"/>
  <c r="H64" i="4"/>
  <c r="J64" i="4" s="1"/>
  <c r="H32" i="4"/>
  <c r="J32" i="4" s="1"/>
  <c r="F34" i="4"/>
  <c r="K65" i="5"/>
  <c r="J129" i="4"/>
  <c r="J70" i="4"/>
  <c r="J63" i="4"/>
  <c r="M9" i="3"/>
  <c r="M29" i="3" s="1"/>
  <c r="M32" i="3" s="1"/>
  <c r="N8" i="6" s="1"/>
  <c r="N7" i="3"/>
  <c r="J89" i="4"/>
  <c r="J91" i="4" s="1"/>
  <c r="F115" i="4"/>
  <c r="F122" i="4" s="1"/>
  <c r="J42" i="4"/>
  <c r="H48" i="4"/>
  <c r="H50" i="4" s="1"/>
  <c r="H59" i="4" s="1"/>
  <c r="P19" i="5"/>
  <c r="P65" i="5" s="1"/>
  <c r="Q11" i="5"/>
  <c r="Q65" i="5" s="1"/>
  <c r="F9" i="4"/>
  <c r="F124" i="4" l="1"/>
  <c r="D69" i="1" s="1"/>
  <c r="F68" i="1"/>
  <c r="H68" i="1" s="1"/>
  <c r="H122" i="4"/>
  <c r="H66" i="4"/>
  <c r="J66" i="4" s="1"/>
  <c r="K70" i="1"/>
  <c r="K71" i="1" s="1"/>
  <c r="K72" i="1" s="1"/>
  <c r="L68" i="1"/>
  <c r="N68" i="1" s="1"/>
  <c r="H54" i="5"/>
  <c r="J69" i="1"/>
  <c r="L69" i="1" s="1"/>
  <c r="J67" i="1"/>
  <c r="L67" i="1" s="1"/>
  <c r="N67" i="1" s="1"/>
  <c r="F35" i="4"/>
  <c r="D67" i="1" s="1"/>
  <c r="F67" i="1" s="1"/>
  <c r="H67" i="1" s="1"/>
  <c r="N32" i="1"/>
  <c r="N34" i="1" s="1"/>
  <c r="N35" i="1" s="1"/>
  <c r="M34" i="1"/>
  <c r="M35" i="1" s="1"/>
  <c r="G73" i="4"/>
  <c r="G124" i="4" s="1"/>
  <c r="E69" i="1" s="1"/>
  <c r="F69" i="1" s="1"/>
  <c r="O69" i="6"/>
  <c r="O71" i="6" s="1"/>
  <c r="M71" i="6"/>
  <c r="J5" i="11"/>
  <c r="J65" i="5"/>
  <c r="I140" i="4"/>
  <c r="I105" i="4"/>
  <c r="I109" i="4" s="1"/>
  <c r="G156" i="4"/>
  <c r="J43" i="4"/>
  <c r="J46" i="4" s="1"/>
  <c r="J48" i="4" s="1"/>
  <c r="J50" i="4" s="1"/>
  <c r="J59" i="4" s="1"/>
  <c r="H72" i="4"/>
  <c r="H115" i="4"/>
  <c r="J84" i="4"/>
  <c r="H34" i="4"/>
  <c r="F19" i="4"/>
  <c r="F130" i="4"/>
  <c r="F132" i="4" s="1"/>
  <c r="F140" i="4" s="1"/>
  <c r="M35" i="3"/>
  <c r="M39" i="3" s="1"/>
  <c r="I113" i="4" s="1"/>
  <c r="N49" i="5"/>
  <c r="M45" i="5" s="1"/>
  <c r="P69" i="5"/>
  <c r="N8" i="3"/>
  <c r="N9" i="3" s="1"/>
  <c r="N29" i="3" s="1"/>
  <c r="H9" i="4"/>
  <c r="J9" i="4" s="1"/>
  <c r="J34" i="4" l="1"/>
  <c r="J35" i="4" s="1"/>
  <c r="H35" i="4"/>
  <c r="H140" i="4"/>
  <c r="H142" i="4" s="1"/>
  <c r="H145" i="4" s="1"/>
  <c r="F142" i="4"/>
  <c r="F145" i="4" s="1"/>
  <c r="F149" i="4" s="1"/>
  <c r="J66" i="1"/>
  <c r="L66" i="1" s="1"/>
  <c r="N66" i="1" s="1"/>
  <c r="F23" i="4"/>
  <c r="D66" i="1" s="1"/>
  <c r="H73" i="4"/>
  <c r="J73" i="4" s="1"/>
  <c r="H21" i="11"/>
  <c r="J7" i="11"/>
  <c r="J72" i="4"/>
  <c r="H14" i="4"/>
  <c r="N54" i="5"/>
  <c r="N65" i="5" s="1"/>
  <c r="J108" i="4"/>
  <c r="I144" i="4"/>
  <c r="J144" i="4" s="1"/>
  <c r="H130" i="4"/>
  <c r="H132" i="4" s="1"/>
  <c r="N23" i="6"/>
  <c r="N42" i="6" s="1"/>
  <c r="N46" i="6" s="1"/>
  <c r="N67" i="6" s="1"/>
  <c r="O8" i="6"/>
  <c r="O23" i="6" s="1"/>
  <c r="O42" i="6" s="1"/>
  <c r="O46" i="6" s="1"/>
  <c r="O67" i="6" s="1"/>
  <c r="M54" i="5"/>
  <c r="M65" i="5" s="1"/>
  <c r="N32" i="3"/>
  <c r="N35" i="3" s="1"/>
  <c r="N39" i="3" s="1"/>
  <c r="H97" i="4"/>
  <c r="H103" i="4" s="1"/>
  <c r="H105" i="4" s="1"/>
  <c r="F155" i="4" l="1"/>
  <c r="K149" i="4"/>
  <c r="J140" i="4"/>
  <c r="H124" i="4"/>
  <c r="H125" i="4" s="1"/>
  <c r="E70" i="1"/>
  <c r="E71" i="1" s="1"/>
  <c r="E72" i="1" s="1"/>
  <c r="D70" i="1"/>
  <c r="D71" i="1" s="1"/>
  <c r="D72" i="1" s="1"/>
  <c r="F66" i="1"/>
  <c r="F70" i="1" s="1"/>
  <c r="F71" i="1" s="1"/>
  <c r="F72" i="1" s="1"/>
  <c r="I21" i="11"/>
  <c r="J113" i="4"/>
  <c r="I148" i="4"/>
  <c r="J148" i="4" s="1"/>
  <c r="J14" i="4"/>
  <c r="J16" i="4" s="1"/>
  <c r="J19" i="4" s="1"/>
  <c r="J23" i="4" s="1"/>
  <c r="H16" i="4"/>
  <c r="H19" i="4" s="1"/>
  <c r="H23" i="4" s="1"/>
  <c r="J70" i="1"/>
  <c r="L70" i="1" s="1"/>
  <c r="H66" i="1" l="1"/>
  <c r="J17" i="7"/>
  <c r="J24" i="7" s="1"/>
  <c r="G17" i="7"/>
  <c r="G24" i="7" s="1"/>
  <c r="L63" i="1"/>
  <c r="L62" i="1"/>
  <c r="F156" i="4" l="1"/>
  <c r="H149" i="4"/>
  <c r="H155" i="4" s="1"/>
  <c r="J9" i="7"/>
  <c r="J30" i="7" s="1"/>
  <c r="G6" i="7"/>
  <c r="G9" i="7" s="1"/>
  <c r="J71" i="1"/>
  <c r="J72" i="1" s="1"/>
  <c r="G13" i="7" l="1"/>
  <c r="G29" i="7"/>
  <c r="G30" i="7" s="1"/>
  <c r="H156" i="4"/>
  <c r="J13" i="7"/>
  <c r="M67" i="5"/>
  <c r="L71" i="1"/>
  <c r="L72" i="1" s="1"/>
  <c r="J93" i="4"/>
  <c r="I102" i="4" l="1"/>
  <c r="I139" i="4" s="1"/>
  <c r="I94" i="4"/>
  <c r="M69" i="5"/>
  <c r="J102" i="4" l="1"/>
  <c r="J139" i="4" s="1"/>
  <c r="I130" i="4"/>
  <c r="J94" i="4"/>
  <c r="I97" i="4"/>
  <c r="I115" i="4" l="1"/>
  <c r="M69" i="1" s="1"/>
  <c r="N69" i="1" s="1"/>
  <c r="N70" i="1" s="1"/>
  <c r="N71" i="1" s="1"/>
  <c r="N72" i="1" s="1"/>
  <c r="I132" i="4"/>
  <c r="J130" i="4"/>
  <c r="J132" i="4" s="1"/>
  <c r="J97" i="4"/>
  <c r="J103" i="4" s="1"/>
  <c r="J105" i="4" s="1"/>
  <c r="J109" i="4" s="1"/>
  <c r="I142" i="4" l="1"/>
  <c r="M70" i="1"/>
  <c r="M71" i="1" s="1"/>
  <c r="M72" i="1" s="1"/>
  <c r="J115" i="4"/>
  <c r="I145" i="4" l="1"/>
  <c r="I149" i="4" s="1"/>
  <c r="J142" i="4"/>
  <c r="J145" i="4" l="1"/>
  <c r="I156" i="4"/>
  <c r="J149" i="4"/>
  <c r="J156" i="4" l="1"/>
  <c r="G26" i="5"/>
  <c r="G7" i="3"/>
  <c r="H7" i="3" s="1"/>
  <c r="G26" i="1"/>
  <c r="H26" i="1" s="1"/>
  <c r="I3" i="11"/>
  <c r="E22" i="11" s="1"/>
  <c r="G61" i="5"/>
  <c r="H62" i="5"/>
  <c r="G8" i="3"/>
  <c r="H53" i="6"/>
  <c r="I53" i="6" s="1"/>
  <c r="I57" i="6" s="1"/>
  <c r="G9" i="3" l="1"/>
  <c r="G29" i="3" s="1"/>
  <c r="H8" i="3"/>
  <c r="H9" i="3" s="1"/>
  <c r="G22" i="11"/>
  <c r="E23" i="11"/>
  <c r="G65" i="5"/>
  <c r="H26" i="5"/>
  <c r="H65" i="5" s="1"/>
  <c r="H57" i="6"/>
  <c r="F24" i="11" l="1"/>
  <c r="E27" i="11"/>
  <c r="G32" i="3"/>
  <c r="H29" i="3"/>
  <c r="G23" i="11"/>
  <c r="H8" i="6" l="1"/>
  <c r="G56" i="5"/>
  <c r="H32" i="3"/>
  <c r="F17" i="7"/>
  <c r="F24" i="7" s="1"/>
  <c r="F25" i="11"/>
  <c r="G24" i="11"/>
  <c r="H57" i="5" l="1"/>
  <c r="G34" i="3" s="1"/>
  <c r="G32" i="1"/>
  <c r="I8" i="6"/>
  <c r="G25" i="11"/>
  <c r="F26" i="11"/>
  <c r="G26" i="11" s="1"/>
  <c r="F27" i="11"/>
  <c r="I24" i="11"/>
  <c r="H24" i="11"/>
  <c r="F6" i="7"/>
  <c r="F9" i="7" s="1"/>
  <c r="F29" i="7" l="1"/>
  <c r="F30" i="7" s="1"/>
  <c r="F13" i="7"/>
  <c r="H26" i="11"/>
  <c r="I26" i="11" s="1"/>
  <c r="G34" i="1"/>
  <c r="G35" i="1" s="1"/>
  <c r="H32" i="1"/>
  <c r="H34" i="1" s="1"/>
  <c r="H35" i="1" s="1"/>
  <c r="H25" i="11"/>
  <c r="I25" i="11" s="1"/>
  <c r="G27" i="11"/>
  <c r="H34" i="3"/>
  <c r="H35" i="3" s="1"/>
  <c r="H39" i="3" s="1"/>
  <c r="I5" i="11"/>
  <c r="H22" i="6"/>
  <c r="G35" i="3"/>
  <c r="I22" i="6" l="1"/>
  <c r="I23" i="6" s="1"/>
  <c r="I42" i="6" s="1"/>
  <c r="I46" i="6" s="1"/>
  <c r="I67" i="6" s="1"/>
  <c r="H23" i="6"/>
  <c r="H42" i="6" s="1"/>
  <c r="H46" i="6" s="1"/>
  <c r="H67" i="6" s="1"/>
  <c r="H22" i="11"/>
  <c r="I7" i="11"/>
  <c r="G39" i="3"/>
  <c r="I121" i="4"/>
  <c r="I122" i="4" l="1"/>
  <c r="I154" i="4"/>
  <c r="I155" i="4" s="1"/>
  <c r="J121" i="4"/>
  <c r="J154" i="4" s="1"/>
  <c r="J155" i="4" s="1"/>
  <c r="H23" i="11"/>
  <c r="H27" i="11" s="1"/>
  <c r="I22" i="11"/>
  <c r="I23" i="11" s="1"/>
  <c r="I27" i="11" s="1"/>
  <c r="J122" i="4" l="1"/>
  <c r="J124" i="4" s="1"/>
  <c r="I124" i="4"/>
  <c r="G69" i="1" l="1"/>
  <c r="K124" i="4" s="1"/>
  <c r="G70" i="1" l="1"/>
  <c r="G71" i="1" s="1"/>
  <c r="G72" i="1" s="1"/>
  <c r="H69" i="1"/>
  <c r="H70" i="1" s="1"/>
  <c r="H71" i="1" s="1"/>
  <c r="H72" i="1" s="1"/>
</calcChain>
</file>

<file path=xl/sharedStrings.xml><?xml version="1.0" encoding="utf-8"?>
<sst xmlns="http://schemas.openxmlformats.org/spreadsheetml/2006/main" count="550" uniqueCount="347">
  <si>
    <t>TELCONET Y COMPAÑÍA RELACIONADA</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</si>
  <si>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</si>
  <si>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</si>
  <si>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</si>
  <si>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</si>
  <si>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</si>
  <si>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</si>
  <si>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</si>
  <si>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</si>
  <si>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</si>
  <si>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</si>
  <si>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</si>
  <si>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</si>
  <si>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Trabajos en proceso</t>
  </si>
  <si>
    <t>Total Activos Corrientes</t>
  </si>
  <si>
    <t>Telconet</t>
  </si>
  <si>
    <t>Megadatos</t>
  </si>
  <si>
    <t>Suman</t>
  </si>
  <si>
    <t>(Expresado en dolares estadounidenses)</t>
  </si>
  <si>
    <t>Activos no Corrientes:</t>
  </si>
  <si>
    <t>Otras cuentas por cobrar</t>
  </si>
  <si>
    <t>Propiedades y equipos</t>
  </si>
  <si>
    <t>Propiedades de inversion</t>
  </si>
  <si>
    <t>Activos intangibles</t>
  </si>
  <si>
    <t>Inversiones en subsidiarias y asociadas</t>
  </si>
  <si>
    <t>Total Activos no Corrientes</t>
  </si>
  <si>
    <t xml:space="preserve">TOTAL ACTIVOS  </t>
  </si>
  <si>
    <t>PASIVOS Y PATRIMONIO</t>
  </si>
  <si>
    <t>Pasivos Corrientes:</t>
  </si>
  <si>
    <t>Prestamos y obligaciones financieras</t>
  </si>
  <si>
    <t>Cuentas por pagar:</t>
  </si>
  <si>
    <t>…Proveedores</t>
  </si>
  <si>
    <t>…Impuesto a la renta por pagar</t>
  </si>
  <si>
    <t>…Impuestos por pagar</t>
  </si>
  <si>
    <t>…Otras cuentas por pagar</t>
  </si>
  <si>
    <t>Anticipos de clientes</t>
  </si>
  <si>
    <t>Beneficios sociales</t>
  </si>
  <si>
    <t>Ingresos diferidos</t>
  </si>
  <si>
    <t>Total Pasivos Corrientes</t>
  </si>
  <si>
    <t>Pasivos no Corrientes:</t>
  </si>
  <si>
    <t>Provisiones</t>
  </si>
  <si>
    <t>Total Pasivos no Corrientes</t>
  </si>
  <si>
    <t xml:space="preserve">TOTAL PASIVOS  </t>
  </si>
  <si>
    <t>Patrimonio:</t>
  </si>
  <si>
    <t>Capital</t>
  </si>
  <si>
    <t>Aportes para futuras capitalizaciones</t>
  </si>
  <si>
    <t>Reservas</t>
  </si>
  <si>
    <t>Resultados acumulados</t>
  </si>
  <si>
    <t>Total Patrimonio</t>
  </si>
  <si>
    <t>TOTAL PASIVOS Y PATRIMONIO</t>
  </si>
  <si>
    <t>Otros activos</t>
  </si>
  <si>
    <t>Ajustes de</t>
  </si>
  <si>
    <t>Ingresos por ventas</t>
  </si>
  <si>
    <t>Costo de ventas</t>
  </si>
  <si>
    <t>Utilidad bruta</t>
  </si>
  <si>
    <t>Utilidad operacional</t>
  </si>
  <si>
    <t>Gastos financieros, neto</t>
  </si>
  <si>
    <t>Utilidad antes de impuesto a la renta</t>
  </si>
  <si>
    <t>Utilidad neta y resultado integral del año</t>
  </si>
  <si>
    <t>Otros ingresos operacionales</t>
  </si>
  <si>
    <t>…Remuneraciones  y beneficios a empleados</t>
  </si>
  <si>
    <t>…Depreciaciones y amortizaciones</t>
  </si>
  <si>
    <t>…15% participacion a trabajadores</t>
  </si>
  <si>
    <t>…Otros impuestos y contribuciones</t>
  </si>
  <si>
    <t>…Honorarios profesionales</t>
  </si>
  <si>
    <t>…Mantenimientos y reparaciones</t>
  </si>
  <si>
    <t>…Servicios de publicidad</t>
  </si>
  <si>
    <t>…Gastos de viaje y gestion</t>
  </si>
  <si>
    <t>…Seguros</t>
  </si>
  <si>
    <t>…Servicios basicos</t>
  </si>
  <si>
    <t>…Suministros de oficina</t>
  </si>
  <si>
    <t>…Otros gastos de administracion y ventas</t>
  </si>
  <si>
    <t>Total gastos de administracion y ventas</t>
  </si>
  <si>
    <t>Activos de grupo enajenable clasificados como mantenidos para la venta</t>
  </si>
  <si>
    <t>CAPITAL SOCIAL</t>
  </si>
  <si>
    <t>Saldos previamente reportados al 1o. de enero 2014</t>
  </si>
  <si>
    <t>Aumento de capital 10/07/2015</t>
  </si>
  <si>
    <t>Aumento de capital 23/09/2015</t>
  </si>
  <si>
    <t xml:space="preserve">Aumento de capital 17/12/2015 </t>
  </si>
  <si>
    <t>APORTES PARA FUTURAS CAPITALIZACIONES</t>
  </si>
  <si>
    <t>DEBITO</t>
  </si>
  <si>
    <t>CREDITO</t>
  </si>
  <si>
    <t>-1-</t>
  </si>
  <si>
    <r>
      <rPr>
        <u/>
        <sz val="11"/>
        <color theme="1"/>
        <rFont val="Calibri"/>
        <family val="2"/>
        <scheme val="minor"/>
      </rPr>
      <t>Ingresos Megadatos</t>
    </r>
    <r>
      <rPr>
        <sz val="11"/>
        <color theme="1"/>
        <rFont val="Calibri"/>
        <family val="2"/>
        <scheme val="minor"/>
      </rPr>
      <t>.-</t>
    </r>
  </si>
  <si>
    <r>
      <rPr>
        <u/>
        <sz val="11"/>
        <color theme="1"/>
        <rFont val="Calibri"/>
        <family val="2"/>
        <scheme val="minor"/>
      </rPr>
      <t>à Costo de Ventas Telconet</t>
    </r>
    <r>
      <rPr>
        <sz val="11"/>
        <color theme="1"/>
        <rFont val="Calibri"/>
        <family val="2"/>
        <scheme val="minor"/>
      </rPr>
      <t xml:space="preserve">.- </t>
    </r>
  </si>
  <si>
    <t>Eliminacion de ventas de servicios de Megadatos a Telconet</t>
  </si>
  <si>
    <t>-2-</t>
  </si>
  <si>
    <r>
      <rPr>
        <u/>
        <sz val="11"/>
        <color theme="1"/>
        <rFont val="Calibri"/>
        <family val="2"/>
        <scheme val="minor"/>
      </rPr>
      <t>Cuenta por Pagar Telconet</t>
    </r>
    <r>
      <rPr>
        <sz val="11"/>
        <color theme="1"/>
        <rFont val="Calibri"/>
        <family val="2"/>
        <scheme val="minor"/>
      </rPr>
      <t>.-</t>
    </r>
  </si>
  <si>
    <r>
      <rPr>
        <u/>
        <sz val="11"/>
        <color theme="1"/>
        <rFont val="Calibri"/>
        <family val="2"/>
        <scheme val="minor"/>
      </rPr>
      <t>à Cuenta por Cobrar Megadatos</t>
    </r>
    <r>
      <rPr>
        <sz val="11"/>
        <color theme="1"/>
        <rFont val="Calibri"/>
        <family val="2"/>
        <scheme val="minor"/>
      </rPr>
      <t xml:space="preserve">.- </t>
    </r>
  </si>
  <si>
    <t>Eliminacion de cuentas intercompany</t>
  </si>
  <si>
    <t>-3-</t>
  </si>
  <si>
    <t>Anticipos de Clientes (PASIVO).-</t>
  </si>
  <si>
    <r>
      <rPr>
        <u/>
        <sz val="11"/>
        <color theme="1"/>
        <rFont val="Calibri"/>
        <family val="2"/>
        <scheme val="minor"/>
      </rPr>
      <t>Ingresos por Ventas, Telconet</t>
    </r>
    <r>
      <rPr>
        <sz val="11"/>
        <color theme="1"/>
        <rFont val="Calibri"/>
        <family val="2"/>
        <scheme val="minor"/>
      </rPr>
      <t>.-</t>
    </r>
  </si>
  <si>
    <r>
      <rPr>
        <u/>
        <sz val="11"/>
        <color theme="1"/>
        <rFont val="Calibri"/>
        <family val="2"/>
        <scheme val="minor"/>
      </rPr>
      <t>à Costo de Ventas Megadatos</t>
    </r>
    <r>
      <rPr>
        <sz val="11"/>
        <color theme="1"/>
        <rFont val="Calibri"/>
        <family val="2"/>
        <scheme val="minor"/>
      </rPr>
      <t xml:space="preserve">.- </t>
    </r>
  </si>
  <si>
    <r>
      <rPr>
        <u/>
        <sz val="11"/>
        <color theme="1"/>
        <rFont val="Calibri"/>
        <family val="2"/>
        <scheme val="minor"/>
      </rPr>
      <t>à Anticipos Proveedores Relacionados (ACTIVO)</t>
    </r>
    <r>
      <rPr>
        <sz val="11"/>
        <color theme="1"/>
        <rFont val="Calibri"/>
        <family val="2"/>
        <scheme val="minor"/>
      </rPr>
      <t xml:space="preserve">.- </t>
    </r>
  </si>
  <si>
    <t>Eliminacion de ventas de servicios deTelconet a Megadatos</t>
  </si>
  <si>
    <t>-4-</t>
  </si>
  <si>
    <r>
      <rPr>
        <u/>
        <sz val="11"/>
        <color theme="1"/>
        <rFont val="Calibri"/>
        <family val="2"/>
        <scheme val="minor"/>
      </rPr>
      <t>à Cuentas por Cobrar Telconet</t>
    </r>
    <r>
      <rPr>
        <sz val="11"/>
        <color theme="1"/>
        <rFont val="Calibri"/>
        <family val="2"/>
        <scheme val="minor"/>
      </rPr>
      <t xml:space="preserve">.- </t>
    </r>
  </si>
  <si>
    <t>-5-</t>
  </si>
  <si>
    <r>
      <rPr>
        <u/>
        <sz val="11"/>
        <color theme="1"/>
        <rFont val="Calibri"/>
        <family val="2"/>
        <scheme val="minor"/>
      </rPr>
      <t>Ingresos Diferidos Telconet, No  Corriente</t>
    </r>
    <r>
      <rPr>
        <sz val="11"/>
        <color theme="1"/>
        <rFont val="Calibri"/>
        <family val="2"/>
        <scheme val="minor"/>
      </rPr>
      <t>.-</t>
    </r>
  </si>
  <si>
    <t>…Servicio Cash Management</t>
  </si>
  <si>
    <t>Flujo de efectivo de las actividades de operación:</t>
  </si>
  <si>
    <t>Utilidad antes de Impuesto a la Renta</t>
  </si>
  <si>
    <t>Depreciación de propiedades y equipos</t>
  </si>
  <si>
    <t>Utilidad en venta de activos de grupo enajenable clasificados como mantenidos para la venta</t>
  </si>
  <si>
    <t>Amortización de activos intangibles</t>
  </si>
  <si>
    <t>Participación de los trabajadores en las utilidades</t>
  </si>
  <si>
    <t>Provisión para jubilación patronal y desahucio</t>
  </si>
  <si>
    <t>Cambios en activos y pasivos:</t>
  </si>
  <si>
    <t>Cuentas por cobrar comerciales</t>
  </si>
  <si>
    <t>Cuentas por cobrar a compañías relacionadas</t>
  </si>
  <si>
    <t>Cuentas por pagar a proveedores</t>
  </si>
  <si>
    <t>Cuentas por pagar a compañías relacionadas</t>
  </si>
  <si>
    <t>Impuestos por pagar</t>
  </si>
  <si>
    <t>Otras cuentas por pagar</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</si>
  <si>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</si>
  <si>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</si>
  <si>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</si>
  <si>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</si>
  <si>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</si>
  <si>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</si>
  <si>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de inversiones mantenidas hasta el vencimiento</t>
  </si>
  <si>
    <t>Disminución (aumento) de activos financieros a valor razonable</t>
  </si>
  <si>
    <t>Aumento de inversiones en subsidiarias y asociadas</t>
  </si>
  <si>
    <t>Ventas de propiedades de inversión</t>
  </si>
  <si>
    <t>Ventas de activos de grupo enajenable clasificados como mantenidos para la venta</t>
  </si>
  <si>
    <t>Efectivo neto provisto por (utilizado en) las actividades de inversión</t>
  </si>
  <si>
    <t>Flujo de efectivo de las actividades de financiamiento:</t>
  </si>
  <si>
    <t>Devoluciones de aportes de accionistas</t>
  </si>
  <si>
    <t>Préstamos con entidades financieras</t>
  </si>
  <si>
    <t>Pagos de emisión de obligaciones</t>
  </si>
  <si>
    <t>Efectivo neto (utilizado en) provisto por las actividades de financiamiento</t>
  </si>
  <si>
    <t>(Disminución) incremento neto de efectivo</t>
  </si>
  <si>
    <t>Efectivo y equivalentes de efectivo al inicio del año</t>
  </si>
  <si>
    <t>Efectivo y equivalentes de efectivo al final del año</t>
  </si>
  <si>
    <t>Bajas de activos fijos</t>
  </si>
  <si>
    <t>Beneficios sociales de largo plazo</t>
  </si>
  <si>
    <t>Devolución de aporte de accionistas 13 enero 2015</t>
  </si>
  <si>
    <t>RESERVA LEGAL</t>
  </si>
  <si>
    <t>RESERVA FACULTATIVA</t>
  </si>
  <si>
    <t>RESULTADOS ACUMULADOS</t>
  </si>
  <si>
    <t>Corrección de errores</t>
  </si>
  <si>
    <t>Transf a . Reserva Legal</t>
  </si>
  <si>
    <t>Aumento de capital 30/03/2015</t>
  </si>
  <si>
    <t>OTROS RESULTADOS INTEGRALES</t>
  </si>
  <si>
    <t>Otros resultados integrales:</t>
  </si>
  <si>
    <t>FlUJOS DE EFECTIVO NETOS</t>
  </si>
  <si>
    <t>Aporte para futuras capitalizaciones</t>
  </si>
  <si>
    <t>ESTADOS DE SITUACION FINANCIERA COMBINADOS</t>
  </si>
  <si>
    <t>ESTADOS DE RESULTADOS INTEGRALES COMBINADOS</t>
  </si>
  <si>
    <t>combinacion</t>
  </si>
  <si>
    <t>Combinado</t>
  </si>
  <si>
    <t>Combinacion</t>
  </si>
  <si>
    <t>ESTADO DE CAMBIOS EN EL PATRIMONIO DE ACCIONISTAS COMBINADO</t>
  </si>
  <si>
    <t>ASIENTOS DE COMBINACION</t>
  </si>
  <si>
    <t>ESTADOS DE FLUJOS DE EFECTIVO COMBINADOS</t>
  </si>
  <si>
    <t>SUMAN</t>
  </si>
  <si>
    <t>TOTAL</t>
  </si>
  <si>
    <t>Restauracion de utilidades retenidas al inicio del ejercicio</t>
  </si>
  <si>
    <t>à Ingresos por Ventas, Telconet</t>
  </si>
  <si>
    <t>Más cargos (menos créditos) a resultados que no representan movimiento de efectivo:</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</si>
  <si>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</si>
  <si>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</si>
  <si>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</si>
  <si>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</si>
  <si>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</si>
  <si>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</si>
  <si>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</si>
  <si>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</si>
  <si>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</si>
  <si>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</si>
  <si>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…Intereses por pagar</t>
  </si>
  <si>
    <t>…Prestamos y obligaciones financieras (corrientes)</t>
  </si>
  <si>
    <t>Total Debt Service</t>
  </si>
  <si>
    <t>DEBT Service Coverage Ratio (DSCR)</t>
  </si>
  <si>
    <t>FINANCIAL DEBT TO EBITDA RATIO</t>
  </si>
  <si>
    <t>Financial Debt to EBITDA Ratio</t>
  </si>
  <si>
    <t>Financial Debt</t>
  </si>
  <si>
    <t>Saldos reestructurados al 1o. Enero 2015</t>
  </si>
  <si>
    <t>Adopción cambios NIC 19</t>
  </si>
  <si>
    <t>Saldos previamente reportados al 1o. de enero 2015</t>
  </si>
  <si>
    <t>Saldos reestructurados al 31 de diciembre del 2015</t>
  </si>
  <si>
    <t xml:space="preserve">Utilidad neta y resultado integral del año </t>
  </si>
  <si>
    <t>Adopcion NIC 19</t>
  </si>
  <si>
    <t>Incremento de capital</t>
  </si>
  <si>
    <t>Inversiones en derechos fiduciarios</t>
  </si>
  <si>
    <t>Provisión por deterioro de otras cuentas por cobrar</t>
  </si>
  <si>
    <t>Depreciación de propiedades de inversión</t>
  </si>
  <si>
    <t>Provisión por deterioro de inversión en subsidiarias y asociados</t>
  </si>
  <si>
    <t>Aumento de inversiones en derechos fiduciarios</t>
  </si>
  <si>
    <t>Utilidades Retenidas del Ejercicio.-</t>
  </si>
  <si>
    <t>Utilidades Retenidas al Principio del Periodo.-</t>
  </si>
  <si>
    <r>
      <rPr>
        <u/>
        <sz val="11"/>
        <color theme="1"/>
        <rFont val="Calibri"/>
        <family val="2"/>
        <scheme val="minor"/>
      </rPr>
      <t>Utilidades Retenidas al Principio del Periodo</t>
    </r>
    <r>
      <rPr>
        <sz val="11"/>
        <color theme="1"/>
        <rFont val="Calibri"/>
        <family val="2"/>
        <scheme val="minor"/>
      </rPr>
      <t xml:space="preserve"> .-</t>
    </r>
  </si>
  <si>
    <r>
      <rPr>
        <u/>
        <sz val="11"/>
        <color theme="1"/>
        <rFont val="Calibri"/>
        <family val="2"/>
        <scheme val="minor"/>
      </rPr>
      <t>à Otros Egresos</t>
    </r>
    <r>
      <rPr>
        <sz val="11"/>
        <color theme="1"/>
        <rFont val="Calibri"/>
        <family val="2"/>
        <scheme val="minor"/>
      </rPr>
      <t xml:space="preserve">.- </t>
    </r>
  </si>
  <si>
    <t>Transferencia a Reserva Legal</t>
  </si>
  <si>
    <t>Capitalización de utilidades</t>
  </si>
  <si>
    <t>Apropiacion de reserva legal</t>
  </si>
  <si>
    <t>RESULTADOS ACUMULADOS - RESERVA DE CAPITAL</t>
  </si>
  <si>
    <t>Saldos reestructurados al 1 de enero del 2015</t>
  </si>
  <si>
    <t>-6-</t>
  </si>
  <si>
    <r>
      <rPr>
        <u/>
        <sz val="11"/>
        <color theme="1"/>
        <rFont val="Calibri"/>
        <family val="2"/>
        <scheme val="minor"/>
      </rPr>
      <t>Depreciación Acumulada</t>
    </r>
    <r>
      <rPr>
        <sz val="11"/>
        <color theme="1"/>
        <rFont val="Calibri"/>
        <family val="2"/>
        <scheme val="minor"/>
      </rPr>
      <t>.-</t>
    </r>
  </si>
  <si>
    <t xml:space="preserve">Utilidades Retenidas al Inicio del Periodo.- </t>
  </si>
  <si>
    <t>Reestructuración de saldos iniciales</t>
  </si>
  <si>
    <t>Otros resultados integrales reestructurados</t>
  </si>
  <si>
    <t>Saldos al 31 de diciembre del 2016</t>
  </si>
  <si>
    <t>Capitalizacion de utilidades</t>
  </si>
  <si>
    <t>Utilidad neta reestructurada y resultado integral del año</t>
  </si>
  <si>
    <t>Gastos de administracion y ventas</t>
  </si>
  <si>
    <r>
      <rPr>
        <u/>
        <sz val="11"/>
        <color theme="1"/>
        <rFont val="Calibri"/>
        <family val="2"/>
        <scheme val="minor"/>
      </rPr>
      <t>á Costo de Ventas (Gasto depreciación)</t>
    </r>
    <r>
      <rPr>
        <sz val="11"/>
        <color theme="1"/>
        <rFont val="Calibri"/>
        <family val="2"/>
        <scheme val="minor"/>
      </rPr>
      <t xml:space="preserve">.- </t>
    </r>
  </si>
  <si>
    <t>…Relacionadas</t>
  </si>
  <si>
    <r>
      <rPr>
        <u/>
        <sz val="11"/>
        <color theme="1"/>
        <rFont val="Calibri"/>
        <family val="2"/>
        <scheme val="minor"/>
      </rPr>
      <t>à Propiedades y Equipos, Megadatos</t>
    </r>
    <r>
      <rPr>
        <sz val="11"/>
        <color theme="1"/>
        <rFont val="Calibri"/>
        <family val="2"/>
        <scheme val="minor"/>
      </rPr>
      <t>.-</t>
    </r>
  </si>
  <si>
    <t>à Propiedades y Equipos, Megadatos (Equipos para prestación de servicios).-</t>
  </si>
  <si>
    <t>Utilidades retenidas al inicio del periodo</t>
  </si>
  <si>
    <t>Cuentas por Pagar Partes Relacionadas, no corriente (Telconet).-</t>
  </si>
  <si>
    <t>COMPRAS DE ACTIVOS FIJOS A TELCONET Y DEPRECIACION EN MEGADATOS:</t>
  </si>
  <si>
    <t>Enero</t>
  </si>
  <si>
    <t>Febrero</t>
  </si>
  <si>
    <t>Marzo</t>
  </si>
  <si>
    <t>Abril</t>
  </si>
  <si>
    <t>Mayo</t>
  </si>
  <si>
    <t>Junio</t>
  </si>
  <si>
    <t>Julio</t>
  </si>
  <si>
    <t>Agosto</t>
  </si>
  <si>
    <t>Septiembre</t>
  </si>
  <si>
    <t>Octubre</t>
  </si>
  <si>
    <t>Noviembre</t>
  </si>
  <si>
    <t>Diciembre</t>
  </si>
  <si>
    <t>COMPRAS</t>
  </si>
  <si>
    <t>% depreciac.</t>
  </si>
  <si>
    <t>GASTO 2016</t>
  </si>
  <si>
    <t>Compras 2015</t>
  </si>
  <si>
    <t>Compras 2016</t>
  </si>
  <si>
    <t>Compras 2014</t>
  </si>
  <si>
    <t>Utilidades retenidas del ejercicio</t>
  </si>
  <si>
    <t>Total de ajustes a utilidades retenidas</t>
  </si>
  <si>
    <t>Eliminación gasto de depreciación de activos fijos en Megadatos; Equipos para la prestación de los servicios</t>
  </si>
  <si>
    <t>Nuevas mediciones de los planes de beneficio definido - Ganancias actuariales</t>
  </si>
  <si>
    <t xml:space="preserve">RESULTADOS ACUMULADOS - POR APLICACIÓN NIIF </t>
  </si>
  <si>
    <t>Utilidades Retenidas del Ejercicio .-</t>
  </si>
  <si>
    <t>Otros Egresos.-</t>
  </si>
  <si>
    <r>
      <rPr>
        <u/>
        <sz val="11"/>
        <color theme="1"/>
        <rFont val="Calibri"/>
        <family val="2"/>
        <scheme val="minor"/>
      </rPr>
      <t>Impuesto diferido</t>
    </r>
    <r>
      <rPr>
        <sz val="11"/>
        <color theme="1"/>
        <rFont val="Calibri"/>
        <family val="2"/>
        <scheme val="minor"/>
      </rPr>
      <t>.-</t>
    </r>
  </si>
  <si>
    <r>
      <rPr>
        <u/>
        <sz val="11"/>
        <color theme="1"/>
        <rFont val="Calibri"/>
        <family val="2"/>
        <scheme val="minor"/>
      </rPr>
      <t>á Impuesto a la renta (GASTO)</t>
    </r>
    <r>
      <rPr>
        <sz val="11"/>
        <color theme="1"/>
        <rFont val="Calibri"/>
        <family val="2"/>
        <scheme val="minor"/>
      </rPr>
      <t>.-</t>
    </r>
  </si>
  <si>
    <t>Impuesto diferido</t>
  </si>
  <si>
    <t>Saldos reestructurados al 1o. de enero del 2015</t>
  </si>
  <si>
    <t>Saldos reestructurados al 1o. de enero 2015</t>
  </si>
  <si>
    <t>Saldos al 31 de diciembre del 2015</t>
  </si>
  <si>
    <t>Activos fijos cargados a gastos en 2014</t>
  </si>
  <si>
    <t>Activos fijos cargados a gastos en 2015</t>
  </si>
  <si>
    <t>Activos fijos cargados a gastos en 2016</t>
  </si>
  <si>
    <t>Anticipos Proveedores Relacionados (ACTIVO)</t>
  </si>
  <si>
    <t>1.</t>
  </si>
  <si>
    <t>ESTADOS DE RESULTADOS COMBINADOS</t>
  </si>
  <si>
    <t>FLUJOS DE EFECTIVO COMBINADOS</t>
  </si>
  <si>
    <t>MOVIMIENTO DEL PATRIMONIO DE ACCIONISTAS COMIBINADOS</t>
  </si>
  <si>
    <t>2.</t>
  </si>
  <si>
    <t>3.</t>
  </si>
  <si>
    <t>4.</t>
  </si>
  <si>
    <t>5.</t>
  </si>
  <si>
    <t>ASIENTOS CONTABLES DE COMBINACION</t>
  </si>
  <si>
    <t>6.</t>
  </si>
  <si>
    <t>RATIOS FINANCIEROS</t>
  </si>
  <si>
    <t>ING. MARIO ALMEIDA REDROVAN</t>
  </si>
  <si>
    <t xml:space="preserve">                  AUDITOR INTERNO</t>
  </si>
  <si>
    <t>Al 31 de diciembre del 2017 y 2016</t>
  </si>
  <si>
    <t>Saldo al 31 de diciembre del 2017</t>
  </si>
  <si>
    <t>Aumento de capital 14/07/2017</t>
  </si>
  <si>
    <t>Aplicación de aporte de accionistas a cuentas por cobrar según Acta de Junta de Accionistas del 29 de diciembre de 2017</t>
  </si>
  <si>
    <t>Saldos al 31 de diciembre del 2017</t>
  </si>
  <si>
    <t>Apropiación reserva legal</t>
  </si>
  <si>
    <t>Aumento de capital según Acta de Junta de Accionistas del 14 de julio de 2017</t>
  </si>
  <si>
    <t>Otros ajustes menores</t>
  </si>
  <si>
    <t>Otros movimientos menores en el patrimonio</t>
  </si>
  <si>
    <r>
      <rPr>
        <u/>
        <sz val="11"/>
        <color theme="1"/>
        <rFont val="Calibri"/>
        <family val="2"/>
        <scheme val="minor"/>
      </rPr>
      <t>Ingresos Diferidos Telconet, Corriente</t>
    </r>
    <r>
      <rPr>
        <sz val="11"/>
        <color theme="1"/>
        <rFont val="Calibri"/>
        <family val="2"/>
        <scheme val="minor"/>
      </rPr>
      <t>.-</t>
    </r>
  </si>
  <si>
    <t>Correccion de pasivos con Accionistas</t>
  </si>
  <si>
    <t>Saldo al 1o. de enero del 2016, reexpresado</t>
  </si>
  <si>
    <t>Saldos al 1o. de enero del 2016</t>
  </si>
  <si>
    <t>Saldos al 1o. de enero del 2016 (reexpresado)</t>
  </si>
  <si>
    <t>Saldo al 1o. de enero del 2016</t>
  </si>
  <si>
    <t>Saldo al 1o. de enero del 2016 (reexpresado)</t>
  </si>
  <si>
    <t>Otros ingresos (gastos), neto</t>
  </si>
  <si>
    <t>Impuesto diferido originado por la venta de activos fijos del anio</t>
  </si>
  <si>
    <t>Emisión de obligaciones, neto</t>
  </si>
  <si>
    <r>
      <rPr>
        <u/>
        <sz val="11"/>
        <color theme="1"/>
        <rFont val="Calibri"/>
        <family val="2"/>
        <scheme val="minor"/>
      </rPr>
      <t>à Costo de Ventas</t>
    </r>
    <r>
      <rPr>
        <sz val="11"/>
        <color theme="1"/>
        <rFont val="Calibri"/>
        <family val="2"/>
        <scheme val="minor"/>
      </rPr>
      <t xml:space="preserve">.- </t>
    </r>
  </si>
  <si>
    <r>
      <rPr>
        <u/>
        <sz val="11"/>
        <color theme="1"/>
        <rFont val="Calibri"/>
        <family val="2"/>
        <scheme val="minor"/>
      </rPr>
      <t>á Anticipos a Proveedores Relacionados</t>
    </r>
    <r>
      <rPr>
        <sz val="11"/>
        <color theme="1"/>
        <rFont val="Calibri"/>
        <family val="2"/>
        <scheme val="minor"/>
      </rPr>
      <t>.-</t>
    </r>
  </si>
  <si>
    <t>EFECTO DE LOS AJUSTES EN RESULTADOS</t>
  </si>
  <si>
    <t>1) Eliminacion de ventas de activos fijos de Telconet a Megadatos</t>
  </si>
  <si>
    <t>2) Eliminación del gasto de depreciación de los activos fijos comprados</t>
  </si>
  <si>
    <t>3) Impuesto diferido</t>
  </si>
  <si>
    <t>Otros</t>
  </si>
  <si>
    <t>COMENTARIOS</t>
  </si>
  <si>
    <t>Valor de acuerdo con el informe de auditoria de Megadatos</t>
  </si>
  <si>
    <t>Gasto total de depreciación de equipos para prestación de servicios (Megadatos)</t>
  </si>
  <si>
    <t>DETALLE DE TRANSACCIONES ENTRE TELCONET Y MEGADATOS</t>
  </si>
  <si>
    <t>Ventas de Telconet a Megadatos</t>
  </si>
  <si>
    <t>Valores corroborados con el informe de Megadatos</t>
  </si>
  <si>
    <t>Sin embargo el ajuste se hizo únicamente por US$42,5 millones</t>
  </si>
  <si>
    <t>Según informe de Telconet:</t>
  </si>
  <si>
    <t>Según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</si>
  <si>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</si>
  <si>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a) Compras de activos fijos</t>
  </si>
  <si>
    <t>b) Cargos al costo de ventas</t>
  </si>
  <si>
    <t>c) Valor registrado como Anticipos a Proveedores Relacionados según la nota 22 b) del informe de Megadatos</t>
  </si>
  <si>
    <t>SI LOS AJUSTES ESTUVIERAN BIEN Y SUPONIENDO QUE NO HAYA MAS VENTAS DE ACTIVOS FIJOS EN EL FUTURO:</t>
  </si>
  <si>
    <t>Eliminación de activos fijos</t>
  </si>
  <si>
    <t>Eliminación depreciación</t>
  </si>
  <si>
    <t>Resultado neto</t>
  </si>
  <si>
    <t>Subtotal</t>
  </si>
  <si>
    <t>ANIOS</t>
  </si>
  <si>
    <t>Si no se dan más ventas de activos fijos de Telconet a Megadatos, entonces</t>
  </si>
  <si>
    <t>únicamente se eliminará la depreciación en los próximos tres anios (período de</t>
  </si>
  <si>
    <t>depreciación de los equipos), con lo cual en los anios futuros se reversa el efecto</t>
  </si>
  <si>
    <t>POR LOS AÑOS TERMINADOS EL 31 DE DICIEMBRE DEL 2018 Y 2017</t>
  </si>
  <si>
    <t>Al 31 de diciembre del 2018 y 2017</t>
  </si>
  <si>
    <t>Saldo al 31 de diciembre del 2018</t>
  </si>
  <si>
    <t>Saldo al 1o. de enero del 2017 (reexpresado)</t>
  </si>
  <si>
    <t>Saldos al 31 de diciembre del 2018</t>
  </si>
  <si>
    <t>Efecto en resultados acumulados</t>
  </si>
  <si>
    <t>y ajuste del gasto de depreciación</t>
  </si>
  <si>
    <t>del impuesto diferido que surge de la combinación</t>
  </si>
  <si>
    <t>Porcion corriente de valores emitidos</t>
  </si>
  <si>
    <t>Valores emitidos a largo plazo</t>
  </si>
  <si>
    <t>Incremento de la Reserva legal</t>
  </si>
  <si>
    <t>Eefecto de implantación de la NIIF 9</t>
  </si>
  <si>
    <t xml:space="preserve">Pago de dividendos </t>
  </si>
  <si>
    <t xml:space="preserve">Resultado del ejercicio </t>
  </si>
  <si>
    <t>Incremento a la Reserva Legal Ajuste en 2018</t>
  </si>
  <si>
    <t>Variación de ingresos diferidos</t>
  </si>
  <si>
    <t>Reservas totales</t>
  </si>
  <si>
    <t>Resultados acumulados totales</t>
  </si>
  <si>
    <t>TOTAL DEL PATRIMONIO</t>
  </si>
  <si>
    <t xml:space="preserve">Otros resultados integrales </t>
  </si>
  <si>
    <t>Pasivo contingente</t>
  </si>
  <si>
    <t>Jubilacion patronal y desahucio</t>
  </si>
  <si>
    <t>Provisión por deterioro de cuentas por cobrar</t>
  </si>
  <si>
    <t>Adiciones de propiedades y equipos</t>
  </si>
  <si>
    <t>Adiciones de activos intangibles</t>
  </si>
  <si>
    <t>Otros ingresos (gastos), neto .-</t>
  </si>
  <si>
    <t>-7-</t>
  </si>
  <si>
    <t>…Pasivos del contrato y otras cuentas por pagar</t>
  </si>
  <si>
    <t>Ajuste del impuesto diferido por cambio en la tasa de 22% a</t>
  </si>
  <si>
    <t>25%</t>
  </si>
  <si>
    <t xml:space="preserve">Saldo de US$27 mil, no material, originado por otros ajustes menores y que se </t>
  </si>
  <si>
    <t>liquidarán en el último anio</t>
  </si>
  <si>
    <t>Valor calculado como el 25% de los efectos de ajustes al P&amp;G en 2018 (22% en anios</t>
  </si>
  <si>
    <t>anteriores</t>
  </si>
  <si>
    <t>Obligaciones financieras, neto</t>
  </si>
  <si>
    <t>Impuesto a la renta y diferido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</si>
</sst>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0.00_);_(* \(#,##0.00\);_(* &quot;-&quot;??_);_(@_)"/>
    <numFmt numFmtId="165" formatCode="_(* #,##0_);_(* \(#,##0\);_(* &quot;-&quot;??_);_(@_)"/>
    <numFmt numFmtId="166" formatCode="_(* #,##0.0_);_(* \(#,##0.0\);_(* &quot;-&quot;??_);_(@_)"/>
    <numFmt numFmtId="167" formatCode="0.0"/>
    <numFmt numFmtId="168"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sz val="9"/>
      <color theme="1"/>
      <name val="Calibri"/>
      <family val="2"/>
      <scheme val="minor"/>
    </font>
    <font>
      <b/>
      <sz val="10"/>
      <color theme="1"/>
      <name val="Calibri"/>
      <family val="2"/>
      <scheme val="minor"/>
    </font>
    <font>
      <u val="singleAccounting"/>
      <sz val="11"/>
      <color theme="1"/>
      <name val="Calibri"/>
      <family val="2"/>
      <scheme val="minor"/>
    </font>
    <font>
      <sz val="8"/>
      <color theme="1"/>
      <name val="Calibri"/>
      <family val="2"/>
      <scheme val="minor"/>
    </font>
    <font>
      <u/>
      <sz val="9"/>
      <color theme="1"/>
      <name val="Calibri"/>
      <family val="2"/>
      <scheme val="minor"/>
    </font>
    <font>
      <sz val="9"/>
      <color theme="1"/>
      <name val="Calibri"/>
      <family val="2"/>
      <scheme val="minor"/>
    </font>
    <font>
      <u/>
      <sz val="11"/>
      <color theme="10"/>
      <name val="Calibri"/>
      <family val="2"/>
      <scheme val="minor"/>
    </font>
    <font>
      <sz val="10"/>
      <name val="Arial"/>
      <family val="2"/>
    </font>
    <font>
      <sz val="10"/>
      <color indexed="8"/>
      <name val="MS Sans Serif"/>
      <family val="2"/>
    </font>
    <font>
      <i/>
      <sz val="8"/>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s>
  <cellStyleXfs count="8">
    <xf numFmtId="0" fontId="0" fillId="0" borderId="0"/>
    <xf numFmtId="164" fontId="1" fillId="0" borderId="0" applyFont="0" applyFill="0" applyBorder="0" applyAlignment="0" applyProtection="0"/>
    <xf numFmtId="0" fontId="11" fillId="0" borderId="0" applyNumberFormat="0" applyFill="0" applyBorder="0" applyAlignment="0" applyProtection="0"/>
    <xf numFmtId="43"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0"/>
    <xf numFmtId="9" fontId="1" fillId="0" borderId="0" applyFont="0" applyFill="0" applyBorder="0" applyAlignment="0" applyProtection="0"/>
  </cellStyleXfs>
  <cellXfs count="206">
    <xf numFmtId="0" fontId="0" fillId="0" borderId="0" xfId="0"/>
    <xf numFmtId="0" fontId="2" fillId="0" borderId="0" xfId="0" applyFont="1"/>
    <xf numFmtId="0" fontId="3" fillId="0" borderId="0" xfId="0" applyFont="1"/>
    <xf numFmtId="0" fontId="0" fillId="0" borderId="0" xfId="0" applyFont="1"/>
    <xf numFmtId="165" fontId="0" fillId="0" borderId="0" xfId="1" applyNumberFormat="1" applyFont="1"/>
    <xf numFmtId="0" fontId="0" fillId="0" borderId="0" xfId="0"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1" xfId="0" applyBorder="1"/>
    <xf numFmtId="0" fontId="0" fillId="0" borderId="8" xfId="0" applyBorder="1"/>
    <xf numFmtId="0" fontId="0" fillId="0" borderId="9" xfId="0" applyBorder="1"/>
    <xf numFmtId="0" fontId="0" fillId="0" borderId="10" xfId="0" applyBorder="1"/>
    <xf numFmtId="0" fontId="0" fillId="0" borderId="10" xfId="0" applyBorder="1" applyAlignment="1">
      <alignment horizontal="center"/>
    </xf>
    <xf numFmtId="0" fontId="4" fillId="0" borderId="10" xfId="0" applyFont="1" applyBorder="1" applyAlignment="1">
      <alignment horizontal="center"/>
    </xf>
    <xf numFmtId="0" fontId="4" fillId="0" borderId="10" xfId="0" applyFont="1" applyBorder="1" applyAlignment="1"/>
    <xf numFmtId="165" fontId="0" fillId="0" borderId="10" xfId="1" applyNumberFormat="1" applyFont="1" applyBorder="1"/>
    <xf numFmtId="165" fontId="0" fillId="0" borderId="11" xfId="1" applyNumberFormat="1" applyFont="1" applyBorder="1"/>
    <xf numFmtId="0" fontId="0" fillId="0" borderId="3" xfId="0" quotePrefix="1" applyBorder="1" applyAlignment="1">
      <alignment horizontal="center"/>
    </xf>
    <xf numFmtId="0" fontId="0" fillId="0" borderId="7" xfId="0" applyBorder="1"/>
    <xf numFmtId="165" fontId="0" fillId="0" borderId="9" xfId="1" applyNumberFormat="1" applyFont="1" applyBorder="1"/>
    <xf numFmtId="0" fontId="4" fillId="0" borderId="5" xfId="0" applyFont="1" applyBorder="1"/>
    <xf numFmtId="165" fontId="4" fillId="0" borderId="10" xfId="1" applyNumberFormat="1" applyFont="1" applyBorder="1" applyAlignment="1">
      <alignment horizontal="center"/>
    </xf>
    <xf numFmtId="0" fontId="0" fillId="0" borderId="5" xfId="0" applyFill="1" applyBorder="1"/>
    <xf numFmtId="165" fontId="0" fillId="0" borderId="12" xfId="1" applyNumberFormat="1" applyFont="1" applyBorder="1"/>
    <xf numFmtId="0" fontId="0" fillId="0" borderId="12" xfId="0" applyBorder="1"/>
    <xf numFmtId="165" fontId="0" fillId="0" borderId="10" xfId="0" applyNumberFormat="1" applyBorder="1"/>
    <xf numFmtId="165" fontId="0" fillId="0" borderId="6" xfId="1" applyNumberFormat="1" applyFont="1" applyBorder="1"/>
    <xf numFmtId="165" fontId="0" fillId="0" borderId="11" xfId="0" applyNumberFormat="1" applyBorder="1"/>
    <xf numFmtId="165" fontId="0" fillId="0" borderId="9" xfId="0" applyNumberFormat="1" applyBorder="1"/>
    <xf numFmtId="165" fontId="2" fillId="0" borderId="11" xfId="1" applyNumberFormat="1" applyFont="1" applyBorder="1"/>
    <xf numFmtId="0" fontId="2" fillId="0" borderId="2" xfId="0" applyFont="1" applyBorder="1"/>
    <xf numFmtId="0" fontId="2" fillId="0" borderId="5" xfId="0" applyFont="1" applyBorder="1"/>
    <xf numFmtId="165" fontId="2" fillId="0" borderId="12" xfId="1" applyNumberFormat="1" applyFont="1" applyBorder="1"/>
    <xf numFmtId="0" fontId="0" fillId="0" borderId="11" xfId="0" applyBorder="1" applyAlignment="1">
      <alignment horizontal="center"/>
    </xf>
    <xf numFmtId="165" fontId="0" fillId="0" borderId="0" xfId="0" applyNumberFormat="1"/>
    <xf numFmtId="165" fontId="0" fillId="0" borderId="10" xfId="1" applyNumberFormat="1" applyFont="1" applyFill="1" applyBorder="1"/>
    <xf numFmtId="0" fontId="0" fillId="0" borderId="0" xfId="0" applyFill="1"/>
    <xf numFmtId="0" fontId="0" fillId="0" borderId="0" xfId="0" applyFill="1" applyBorder="1"/>
    <xf numFmtId="165" fontId="0" fillId="0" borderId="0" xfId="1" applyNumberFormat="1" applyFont="1" applyFill="1"/>
    <xf numFmtId="0" fontId="4" fillId="0" borderId="5" xfId="0" applyFont="1" applyFill="1" applyBorder="1"/>
    <xf numFmtId="165" fontId="0" fillId="0" borderId="0" xfId="0" applyNumberFormat="1" applyFill="1"/>
    <xf numFmtId="0" fontId="0" fillId="0" borderId="0" xfId="0" applyFill="1" applyAlignment="1">
      <alignment horizontal="center"/>
    </xf>
    <xf numFmtId="0" fontId="0" fillId="0" borderId="11" xfId="0" applyFill="1" applyBorder="1" applyAlignment="1">
      <alignment horizontal="center"/>
    </xf>
    <xf numFmtId="0" fontId="0" fillId="0" borderId="10" xfId="0" applyFill="1" applyBorder="1"/>
    <xf numFmtId="165" fontId="0" fillId="0" borderId="11" xfId="1" applyNumberFormat="1" applyFont="1" applyFill="1" applyBorder="1"/>
    <xf numFmtId="165" fontId="0" fillId="0" borderId="9" xfId="1" applyNumberFormat="1" applyFont="1" applyFill="1" applyBorder="1"/>
    <xf numFmtId="165" fontId="0" fillId="0" borderId="2" xfId="1" applyNumberFormat="1" applyFont="1" applyFill="1" applyBorder="1"/>
    <xf numFmtId="165" fontId="0" fillId="0" borderId="5" xfId="1" applyNumberFormat="1" applyFont="1" applyFill="1" applyBorder="1"/>
    <xf numFmtId="165" fontId="0" fillId="0" borderId="13" xfId="1" applyNumberFormat="1" applyFont="1" applyFill="1" applyBorder="1"/>
    <xf numFmtId="165" fontId="0" fillId="0" borderId="12" xfId="1" applyNumberFormat="1" applyFont="1" applyFill="1" applyBorder="1"/>
    <xf numFmtId="0" fontId="4" fillId="0" borderId="0" xfId="0" applyFont="1" applyAlignment="1">
      <alignment horizontal="center"/>
    </xf>
    <xf numFmtId="0" fontId="0" fillId="0" borderId="0" xfId="0" quotePrefix="1"/>
    <xf numFmtId="166" fontId="0" fillId="0" borderId="11" xfId="1" applyNumberFormat="1" applyFont="1" applyBorder="1"/>
    <xf numFmtId="165" fontId="7" fillId="0" borderId="0" xfId="1" applyNumberFormat="1" applyFont="1"/>
    <xf numFmtId="165" fontId="1" fillId="0" borderId="0" xfId="1" applyNumberFormat="1" applyFont="1" applyBorder="1"/>
    <xf numFmtId="165" fontId="0" fillId="0" borderId="5" xfId="1" applyNumberFormat="1" applyFont="1" applyBorder="1"/>
    <xf numFmtId="165" fontId="0" fillId="0" borderId="7" xfId="1" applyNumberFormat="1" applyFont="1" applyBorder="1"/>
    <xf numFmtId="165" fontId="0" fillId="0" borderId="0" xfId="1" applyNumberFormat="1" applyFont="1" applyBorder="1"/>
    <xf numFmtId="165" fontId="0" fillId="0" borderId="1" xfId="1" applyNumberFormat="1" applyFont="1" applyBorder="1"/>
    <xf numFmtId="165" fontId="0" fillId="0" borderId="3" xfId="1" applyNumberFormat="1" applyFont="1" applyBorder="1"/>
    <xf numFmtId="165" fontId="0" fillId="2" borderId="10" xfId="1" applyNumberFormat="1" applyFont="1" applyFill="1" applyBorder="1"/>
    <xf numFmtId="0" fontId="0" fillId="0" borderId="11" xfId="0" applyBorder="1" applyAlignment="1">
      <alignment horizontal="center"/>
    </xf>
    <xf numFmtId="165" fontId="0" fillId="0" borderId="2" xfId="1" applyNumberFormat="1" applyFont="1" applyBorder="1"/>
    <xf numFmtId="165" fontId="0" fillId="0" borderId="5" xfId="1" applyNumberFormat="1" applyFont="1" applyBorder="1" applyAlignment="1">
      <alignment horizontal="center"/>
    </xf>
    <xf numFmtId="165" fontId="4" fillId="0" borderId="5" xfId="1" applyNumberFormat="1" applyFont="1" applyBorder="1" applyAlignment="1">
      <alignment horizontal="center"/>
    </xf>
    <xf numFmtId="165" fontId="4" fillId="0" borderId="0" xfId="1" applyNumberFormat="1" applyFont="1" applyBorder="1" applyAlignment="1">
      <alignment horizontal="center"/>
    </xf>
    <xf numFmtId="165" fontId="4" fillId="0" borderId="5" xfId="1" applyNumberFormat="1" applyFont="1" applyBorder="1" applyAlignment="1"/>
    <xf numFmtId="0" fontId="0" fillId="0" borderId="10" xfId="1" applyNumberFormat="1" applyFont="1" applyBorder="1" applyAlignment="1">
      <alignment horizontal="center"/>
    </xf>
    <xf numFmtId="0" fontId="0" fillId="0" borderId="12" xfId="0" applyFill="1" applyBorder="1"/>
    <xf numFmtId="0" fontId="0" fillId="0" borderId="11" xfId="0" applyFill="1" applyBorder="1"/>
    <xf numFmtId="0" fontId="0" fillId="0" borderId="9" xfId="0" applyFill="1" applyBorder="1"/>
    <xf numFmtId="165" fontId="0" fillId="0" borderId="0" xfId="1" applyNumberFormat="1" applyFont="1" applyFill="1" applyBorder="1"/>
    <xf numFmtId="0" fontId="0" fillId="0" borderId="0" xfId="0" quotePrefix="1" applyBorder="1" applyAlignment="1">
      <alignment horizontal="center"/>
    </xf>
    <xf numFmtId="0" fontId="9" fillId="0" borderId="5" xfId="0" applyFont="1" applyBorder="1"/>
    <xf numFmtId="165" fontId="0" fillId="2" borderId="0" xfId="1" applyNumberFormat="1" applyFont="1" applyFill="1"/>
    <xf numFmtId="0" fontId="0" fillId="0" borderId="0" xfId="0" applyAlignment="1">
      <alignment horizontal="center"/>
    </xf>
    <xf numFmtId="165" fontId="0" fillId="0" borderId="3" xfId="0" applyNumberFormat="1" applyBorder="1"/>
    <xf numFmtId="165" fontId="0" fillId="0" borderId="0" xfId="0" applyNumberFormat="1" applyBorder="1"/>
    <xf numFmtId="0" fontId="0" fillId="0" borderId="13" xfId="0" applyBorder="1"/>
    <xf numFmtId="0" fontId="0" fillId="0" borderId="14" xfId="0" applyBorder="1"/>
    <xf numFmtId="0" fontId="0" fillId="0" borderId="15" xfId="0" applyBorder="1"/>
    <xf numFmtId="165" fontId="0" fillId="0" borderId="14" xfId="0" applyNumberFormat="1" applyBorder="1"/>
    <xf numFmtId="165" fontId="0" fillId="0" borderId="2" xfId="0" applyNumberFormat="1" applyFill="1" applyBorder="1"/>
    <xf numFmtId="0" fontId="0" fillId="0" borderId="4" xfId="0" applyFill="1" applyBorder="1"/>
    <xf numFmtId="165" fontId="0" fillId="0" borderId="13" xfId="0" applyNumberFormat="1" applyBorder="1"/>
    <xf numFmtId="165" fontId="0" fillId="0" borderId="7" xfId="1" applyNumberFormat="1" applyFont="1" applyFill="1" applyBorder="1"/>
    <xf numFmtId="0" fontId="0" fillId="0" borderId="10" xfId="0" applyFill="1" applyBorder="1" applyAlignment="1">
      <alignment horizontal="center"/>
    </xf>
    <xf numFmtId="0" fontId="4" fillId="0" borderId="10" xfId="0" applyFont="1" applyFill="1" applyBorder="1" applyAlignment="1"/>
    <xf numFmtId="165" fontId="2" fillId="0" borderId="11" xfId="1" applyNumberFormat="1" applyFont="1" applyFill="1" applyBorder="1"/>
    <xf numFmtId="165" fontId="0" fillId="0" borderId="10" xfId="0" applyNumberFormat="1" applyFill="1" applyBorder="1"/>
    <xf numFmtId="165" fontId="7" fillId="0" borderId="0" xfId="1" applyNumberFormat="1" applyFont="1" applyFill="1"/>
    <xf numFmtId="0" fontId="11" fillId="0" borderId="0" xfId="2"/>
    <xf numFmtId="0" fontId="5" fillId="0" borderId="0" xfId="0" applyFont="1" applyAlignment="1">
      <alignment horizontal="left" wrapText="1"/>
    </xf>
    <xf numFmtId="0" fontId="10" fillId="0" borderId="6" xfId="0" applyFont="1" applyBorder="1" applyAlignment="1">
      <alignment horizontal="left" wrapText="1"/>
    </xf>
    <xf numFmtId="0" fontId="0" fillId="0" borderId="6" xfId="0" applyBorder="1" applyAlignment="1">
      <alignment horizontal="left" wrapText="1"/>
    </xf>
    <xf numFmtId="0" fontId="0" fillId="0" borderId="6" xfId="0" applyFont="1" applyBorder="1" applyAlignment="1">
      <alignment horizontal="left" wrapText="1"/>
    </xf>
    <xf numFmtId="0" fontId="0" fillId="0" borderId="11" xfId="0" applyBorder="1" applyAlignment="1">
      <alignment horizontal="center"/>
    </xf>
    <xf numFmtId="0" fontId="5" fillId="0" borderId="12" xfId="0" applyFont="1" applyBorder="1" applyAlignment="1">
      <alignment horizontal="left" wrapText="1"/>
    </xf>
    <xf numFmtId="0" fontId="0" fillId="0" borderId="10" xfId="0" applyBorder="1" applyAlignment="1">
      <alignment horizontal="center" vertical="center"/>
    </xf>
    <xf numFmtId="0" fontId="0" fillId="0" borderId="9" xfId="0" applyBorder="1" applyAlignment="1">
      <alignment horizontal="center"/>
    </xf>
    <xf numFmtId="165" fontId="0" fillId="2" borderId="5" xfId="1" applyNumberFormat="1" applyFont="1" applyFill="1" applyBorder="1"/>
    <xf numFmtId="0" fontId="0" fillId="2" borderId="5" xfId="0" applyFill="1" applyBorder="1"/>
    <xf numFmtId="0" fontId="0" fillId="2" borderId="0" xfId="0" applyFill="1" applyBorder="1"/>
    <xf numFmtId="165" fontId="0" fillId="0" borderId="16" xfId="1" applyNumberFormat="1" applyFont="1" applyFill="1" applyBorder="1"/>
    <xf numFmtId="0" fontId="0" fillId="0" borderId="16" xfId="0" applyFill="1" applyBorder="1"/>
    <xf numFmtId="165" fontId="0" fillId="0" borderId="16" xfId="1" applyNumberFormat="1" applyFont="1" applyBorder="1"/>
    <xf numFmtId="165" fontId="0" fillId="0" borderId="17" xfId="1" applyNumberFormat="1" applyFont="1" applyFill="1" applyBorder="1"/>
    <xf numFmtId="0" fontId="0" fillId="0" borderId="17" xfId="0" applyFill="1" applyBorder="1"/>
    <xf numFmtId="165" fontId="0" fillId="0" borderId="0" xfId="0" applyNumberFormat="1" applyAlignment="1">
      <alignment horizontal="center"/>
    </xf>
    <xf numFmtId="9" fontId="0" fillId="0" borderId="10" xfId="7" applyFont="1" applyBorder="1"/>
    <xf numFmtId="167" fontId="0" fillId="0" borderId="11" xfId="1" applyNumberFormat="1" applyFont="1" applyBorder="1"/>
    <xf numFmtId="0" fontId="0" fillId="0" borderId="6" xfId="0" applyFill="1" applyBorder="1"/>
    <xf numFmtId="0" fontId="0" fillId="0" borderId="0" xfId="0" quotePrefix="1" applyFill="1"/>
    <xf numFmtId="0" fontId="0" fillId="0" borderId="11" xfId="0" applyBorder="1" applyAlignment="1">
      <alignment horizontal="center"/>
    </xf>
    <xf numFmtId="0" fontId="4" fillId="0" borderId="9" xfId="0" applyFont="1" applyBorder="1" applyAlignment="1">
      <alignment horizontal="center"/>
    </xf>
    <xf numFmtId="0" fontId="2" fillId="0" borderId="13" xfId="0" applyFont="1" applyBorder="1"/>
    <xf numFmtId="0" fontId="2" fillId="0" borderId="14" xfId="0" applyFont="1" applyBorder="1"/>
    <xf numFmtId="0" fontId="0" fillId="0" borderId="11" xfId="0" applyBorder="1"/>
    <xf numFmtId="0" fontId="0" fillId="0" borderId="11" xfId="0" applyBorder="1" applyAlignment="1">
      <alignment wrapText="1"/>
    </xf>
    <xf numFmtId="0" fontId="0" fillId="2" borderId="0" xfId="0" applyFill="1"/>
    <xf numFmtId="0" fontId="0" fillId="2" borderId="11" xfId="0" applyFill="1" applyBorder="1"/>
    <xf numFmtId="0" fontId="0" fillId="2" borderId="7" xfId="0" applyFill="1" applyBorder="1"/>
    <xf numFmtId="165" fontId="0" fillId="2" borderId="12" xfId="1" applyNumberFormat="1" applyFont="1" applyFill="1" applyBorder="1" applyAlignment="1">
      <alignment vertical="center"/>
    </xf>
    <xf numFmtId="0" fontId="0" fillId="2" borderId="11" xfId="0" applyFill="1" applyBorder="1" applyAlignment="1">
      <alignment wrapText="1"/>
    </xf>
    <xf numFmtId="0" fontId="0" fillId="0" borderId="11" xfId="0" applyBorder="1" applyAlignment="1">
      <alignment horizontal="center" wrapText="1"/>
    </xf>
    <xf numFmtId="165" fontId="0" fillId="0" borderId="11" xfId="1" applyNumberFormat="1"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165" fontId="0" fillId="0" borderId="10" xfId="1" applyNumberFormat="1" applyFont="1" applyBorder="1" applyAlignment="1">
      <alignment horizontal="center" wrapText="1"/>
    </xf>
    <xf numFmtId="0" fontId="0" fillId="0" borderId="2" xfId="0" applyBorder="1" applyAlignment="1">
      <alignment horizontal="right"/>
    </xf>
    <xf numFmtId="165" fontId="0" fillId="0" borderId="10" xfId="0" applyNumberFormat="1" applyBorder="1" applyAlignment="1">
      <alignment horizontal="center" wrapText="1"/>
    </xf>
    <xf numFmtId="0" fontId="0" fillId="0" borderId="11" xfId="0" applyBorder="1" applyAlignment="1">
      <alignment horizontal="center"/>
    </xf>
    <xf numFmtId="0" fontId="4" fillId="0" borderId="2" xfId="0" applyFont="1" applyFill="1" applyBorder="1"/>
    <xf numFmtId="0" fontId="0" fillId="0" borderId="3" xfId="0" applyFill="1" applyBorder="1"/>
    <xf numFmtId="165" fontId="0" fillId="0" borderId="0" xfId="0" applyNumberFormat="1" applyFill="1" applyBorder="1"/>
    <xf numFmtId="0" fontId="0" fillId="0" borderId="5" xfId="0" applyFont="1" applyFill="1" applyBorder="1"/>
    <xf numFmtId="0" fontId="0" fillId="0" borderId="7" xfId="0" applyFill="1" applyBorder="1"/>
    <xf numFmtId="0" fontId="0" fillId="0" borderId="1" xfId="0" applyFill="1" applyBorder="1"/>
    <xf numFmtId="0" fontId="0" fillId="0" borderId="2" xfId="0" applyFill="1" applyBorder="1"/>
    <xf numFmtId="0" fontId="0" fillId="0" borderId="8" xfId="0" applyFill="1" applyBorder="1"/>
    <xf numFmtId="165" fontId="0" fillId="0" borderId="18" xfId="1" applyNumberFormat="1" applyFont="1" applyBorder="1"/>
    <xf numFmtId="0" fontId="0" fillId="0" borderId="3" xfId="0" quotePrefix="1" applyFill="1" applyBorder="1" applyAlignment="1">
      <alignment horizontal="center"/>
    </xf>
    <xf numFmtId="0" fontId="2" fillId="0" borderId="0" xfId="0" applyFont="1" applyFill="1"/>
    <xf numFmtId="165" fontId="0" fillId="0" borderId="12" xfId="0" applyNumberFormat="1" applyBorder="1"/>
    <xf numFmtId="168" fontId="0" fillId="0" borderId="0" xfId="7" applyNumberFormat="1" applyFont="1"/>
    <xf numFmtId="165" fontId="0" fillId="0" borderId="5" xfId="0" applyNumberFormat="1" applyFill="1" applyBorder="1"/>
    <xf numFmtId="0" fontId="2" fillId="0" borderId="5" xfId="0" applyFont="1" applyFill="1" applyBorder="1"/>
    <xf numFmtId="165" fontId="0" fillId="3" borderId="10" xfId="1" applyNumberFormat="1" applyFont="1" applyFill="1" applyBorder="1"/>
    <xf numFmtId="165" fontId="0" fillId="0" borderId="6" xfId="1" applyNumberFormat="1" applyFont="1" applyFill="1" applyBorder="1"/>
    <xf numFmtId="0" fontId="14" fillId="0" borderId="5" xfId="0" applyFont="1" applyFill="1" applyBorder="1"/>
    <xf numFmtId="165" fontId="14" fillId="0" borderId="10" xfId="1" applyNumberFormat="1" applyFont="1" applyFill="1" applyBorder="1"/>
    <xf numFmtId="0" fontId="0" fillId="0" borderId="0" xfId="0" quotePrefix="1" applyFill="1" applyBorder="1" applyAlignment="1">
      <alignment horizontal="center"/>
    </xf>
    <xf numFmtId="0" fontId="14" fillId="0" borderId="0" xfId="0" applyFont="1" applyFill="1" applyBorder="1"/>
    <xf numFmtId="165" fontId="0" fillId="4" borderId="5" xfId="1" applyNumberFormat="1" applyFont="1" applyFill="1" applyBorder="1"/>
    <xf numFmtId="165" fontId="0" fillId="4" borderId="12" xfId="1" applyNumberFormat="1" applyFont="1" applyFill="1" applyBorder="1"/>
    <xf numFmtId="165" fontId="0" fillId="2" borderId="9" xfId="1" applyNumberFormat="1" applyFont="1" applyFill="1" applyBorder="1"/>
    <xf numFmtId="165" fontId="0" fillId="4" borderId="9" xfId="1" applyNumberFormat="1" applyFont="1" applyFill="1" applyBorder="1"/>
    <xf numFmtId="165" fontId="0" fillId="4" borderId="17" xfId="1" applyNumberFormat="1" applyFont="1" applyFill="1" applyBorder="1"/>
    <xf numFmtId="165" fontId="0" fillId="4" borderId="11" xfId="1" applyNumberFormat="1" applyFont="1" applyFill="1" applyBorder="1"/>
    <xf numFmtId="165" fontId="0" fillId="4" borderId="10" xfId="1" applyNumberFormat="1" applyFont="1" applyFill="1" applyBorder="1"/>
    <xf numFmtId="165" fontId="0" fillId="4" borderId="16" xfId="1" applyNumberFormat="1" applyFont="1" applyFill="1" applyBorder="1"/>
    <xf numFmtId="165" fontId="0" fillId="0" borderId="18" xfId="1" applyNumberFormat="1" applyFont="1" applyFill="1" applyBorder="1"/>
    <xf numFmtId="0" fontId="14" fillId="0" borderId="0" xfId="0" applyFont="1" applyFill="1"/>
    <xf numFmtId="165" fontId="14" fillId="0" borderId="0" xfId="1" applyNumberFormat="1" applyFont="1" applyFill="1"/>
    <xf numFmtId="0" fontId="14" fillId="0" borderId="0" xfId="0" applyFont="1"/>
    <xf numFmtId="0" fontId="0" fillId="0" borderId="7" xfId="0" quotePrefix="1" applyFill="1" applyBorder="1"/>
    <xf numFmtId="9" fontId="0" fillId="0" borderId="0" xfId="7" applyFont="1"/>
    <xf numFmtId="165" fontId="4" fillId="0" borderId="10" xfId="1" applyNumberFormat="1" applyFont="1" applyFill="1" applyBorder="1" applyAlignment="1">
      <alignment horizontal="center"/>
    </xf>
    <xf numFmtId="165" fontId="2" fillId="0" borderId="12" xfId="1" applyNumberFormat="1" applyFont="1" applyFill="1" applyBorder="1"/>
    <xf numFmtId="165" fontId="0" fillId="0" borderId="3" xfId="1" applyNumberFormat="1" applyFont="1" applyFill="1" applyBorder="1"/>
    <xf numFmtId="0" fontId="15" fillId="0" borderId="0" xfId="0" applyFont="1" applyBorder="1"/>
    <xf numFmtId="0" fontId="8" fillId="0" borderId="0" xfId="0" applyFont="1" applyBorder="1"/>
    <xf numFmtId="0" fontId="5" fillId="0" borderId="13" xfId="0" applyFont="1" applyBorder="1"/>
    <xf numFmtId="0" fontId="6" fillId="0" borderId="13" xfId="0" applyFont="1" applyBorder="1"/>
    <xf numFmtId="164" fontId="0" fillId="0" borderId="9" xfId="1" applyFont="1" applyBorder="1"/>
    <xf numFmtId="0" fontId="5" fillId="0" borderId="0" xfId="0" applyFont="1" applyAlignment="1">
      <alignment horizontal="left" wrapText="1"/>
    </xf>
    <xf numFmtId="0" fontId="10" fillId="0" borderId="0" xfId="0" applyFont="1" applyAlignment="1">
      <alignment horizontal="left" wrapText="1"/>
    </xf>
    <xf numFmtId="0" fontId="10" fillId="0" borderId="6" xfId="0" applyFont="1"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5" xfId="0" applyFont="1" applyBorder="1" applyAlignment="1">
      <alignment horizontal="left" wrapText="1"/>
    </xf>
    <xf numFmtId="0" fontId="0" fillId="0" borderId="0" xfId="0" applyFont="1" applyBorder="1" applyAlignment="1">
      <alignment horizontal="left" wrapText="1"/>
    </xf>
    <xf numFmtId="0" fontId="0" fillId="0" borderId="6" xfId="0" applyFont="1" applyBorder="1" applyAlignment="1">
      <alignment horizontal="left" wrapText="1"/>
    </xf>
    <xf numFmtId="165" fontId="0" fillId="0" borderId="3" xfId="1" applyNumberFormat="1" applyFont="1" applyBorder="1" applyAlignment="1">
      <alignment horizontal="center"/>
    </xf>
    <xf numFmtId="165" fontId="0" fillId="0" borderId="0" xfId="1" applyNumberFormat="1" applyFont="1" applyAlignment="1">
      <alignment horizontal="center"/>
    </xf>
    <xf numFmtId="0" fontId="0" fillId="0" borderId="11" xfId="0" applyBorder="1" applyAlignment="1">
      <alignment horizontal="center"/>
    </xf>
    <xf numFmtId="0" fontId="0" fillId="0" borderId="11" xfId="0" applyFill="1" applyBorder="1" applyAlignment="1">
      <alignment horizontal="center"/>
    </xf>
    <xf numFmtId="0" fontId="0" fillId="0" borderId="5" xfId="0" applyBorder="1" applyAlignment="1">
      <alignment horizontal="left" wrapText="1"/>
    </xf>
    <xf numFmtId="0" fontId="8" fillId="0" borderId="5" xfId="0" applyFont="1" applyFill="1" applyBorder="1" applyAlignment="1">
      <alignment horizontal="left" wrapText="1"/>
    </xf>
    <xf numFmtId="0" fontId="8" fillId="0" borderId="0" xfId="0" applyFont="1" applyFill="1" applyBorder="1" applyAlignment="1">
      <alignment horizontal="left" wrapText="1"/>
    </xf>
    <xf numFmtId="0" fontId="8" fillId="0" borderId="6" xfId="0" applyFont="1" applyFill="1" applyBorder="1" applyAlignment="1">
      <alignment horizontal="left" wrapText="1"/>
    </xf>
    <xf numFmtId="0" fontId="10" fillId="0" borderId="5" xfId="0" applyFont="1" applyFill="1" applyBorder="1" applyAlignment="1">
      <alignment horizontal="left" wrapText="1"/>
    </xf>
    <xf numFmtId="0" fontId="10" fillId="0" borderId="0" xfId="0" applyFont="1" applyFill="1" applyBorder="1" applyAlignment="1">
      <alignment horizontal="left" wrapText="1"/>
    </xf>
    <xf numFmtId="0" fontId="10" fillId="0" borderId="6" xfId="0" applyFont="1" applyFill="1" applyBorder="1" applyAlignment="1">
      <alignment horizontal="left" wrapText="1"/>
    </xf>
    <xf numFmtId="0" fontId="0" fillId="2" borderId="1" xfId="0" applyFill="1" applyBorder="1" applyAlignment="1">
      <alignment horizontal="left" vertical="center" wrapText="1"/>
    </xf>
    <xf numFmtId="0" fontId="0" fillId="2" borderId="8" xfId="0" applyFill="1"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cellXfs>
  <cellStyles count="8">
    <cellStyle name="Comma" xfId="1" builtinId="3"/>
    <cellStyle name="Comma 2" xfId="3" xr:uid="{00000000-0005-0000-0000-000000000000}"/>
    <cellStyle name="Hyperlink" xfId="2" builtinId="8"/>
    <cellStyle name="Millares 10" xfId="5" xr:uid="{00000000-0005-0000-0000-000003000000}"/>
    <cellStyle name="Millares 11" xfId="4" xr:uid="{00000000-0005-0000-0000-000004000000}"/>
    <cellStyle name="Normal" xfId="0" builtinId="0"/>
    <cellStyle name="Normal 4" xfId="6" xr:uid="{00000000-0005-0000-0000-000006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workbookViewId="0">
      <selection activeCell="C12" sqref="C12"/>
    </sheetView>
  </sheetViews>
  <sheetFormatPr defaultColWidth="9.140625" defaultRowHeight="15" x14ac:dyDescent="0.25"/>
  <cols>
    <col min="2" max="2" width="2.5703125" bestFit="1" customWidth="1"/>
    <col min="3" max="3" width="59" bestFit="1" customWidth="1"/>
  </cols>
  <sheetData>
    <row r="3" spans="2:3" x14ac:dyDescent="0.25">
      <c r="B3" t="s">
        <v>250</v>
      </c>
      <c r="C3" s="95" t="s">
        <v>148</v>
      </c>
    </row>
    <row r="4" spans="2:3" x14ac:dyDescent="0.25">
      <c r="B4" t="s">
        <v>254</v>
      </c>
      <c r="C4" s="95" t="s">
        <v>251</v>
      </c>
    </row>
    <row r="5" spans="2:3" x14ac:dyDescent="0.25">
      <c r="B5" t="s">
        <v>255</v>
      </c>
      <c r="C5" s="95" t="s">
        <v>252</v>
      </c>
    </row>
    <row r="6" spans="2:3" x14ac:dyDescent="0.25">
      <c r="B6" t="s">
        <v>256</v>
      </c>
      <c r="C6" s="95" t="s">
        <v>253</v>
      </c>
    </row>
    <row r="7" spans="2:3" x14ac:dyDescent="0.25">
      <c r="B7" t="s">
        <v>257</v>
      </c>
      <c r="C7" s="95" t="s">
        <v>258</v>
      </c>
    </row>
    <row r="8" spans="2:3" x14ac:dyDescent="0.25">
      <c r="B8" t="s">
        <v>259</v>
      </c>
      <c r="C8" s="95" t="s">
        <v>260</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5"/>
  <sheetViews>
    <sheetView workbookViewId="0">
      <selection activeCell="E9" sqref="E9"/>
    </sheetView>
  </sheetViews>
  <sheetFormatPr defaultColWidth="11.42578125" defaultRowHeight="15" x14ac:dyDescent="0.25"/>
  <cols>
    <col min="5" max="5" width="11.5703125" bestFit="1" customWidth="1"/>
  </cols>
  <sheetData>
    <row r="3" spans="2:5" x14ac:dyDescent="0.25">
      <c r="B3" t="s">
        <v>246</v>
      </c>
      <c r="E3" s="4">
        <f>+'PP&amp;E'!E18</f>
        <v>1475332</v>
      </c>
    </row>
    <row r="4" spans="2:5" x14ac:dyDescent="0.25">
      <c r="B4" t="s">
        <v>247</v>
      </c>
      <c r="E4" s="4">
        <f>+'PP&amp;E'!D18</f>
        <v>5700370</v>
      </c>
    </row>
    <row r="5" spans="2:5" x14ac:dyDescent="0.25">
      <c r="B5" t="s">
        <v>248</v>
      </c>
      <c r="E5" s="4">
        <f>+'PP&amp;E'!C18</f>
        <v>15846166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A1:N77"/>
  <sheetViews>
    <sheetView zoomScaleNormal="100" workbookViewId="0">
      <pane xSplit="3" ySplit="5" topLeftCell="D6" activePane="bottomRight" state="frozen"/>
      <selection pane="topRight" activeCell="F1" sqref="F1"/>
      <selection pane="bottomLeft" activeCell="A6" sqref="A6"/>
      <selection pane="bottomRight" activeCell="C16" sqref="C16"/>
    </sheetView>
  </sheetViews>
  <sheetFormatPr defaultColWidth="11.42578125" defaultRowHeight="15" x14ac:dyDescent="0.25"/>
  <cols>
    <col min="1" max="1" width="2.85546875" customWidth="1"/>
    <col min="3" max="3" width="30.5703125" customWidth="1"/>
    <col min="4" max="4" width="13.28515625" customWidth="1"/>
    <col min="5" max="5" width="12.140625" bestFit="1" customWidth="1"/>
    <col min="6" max="6" width="12.85546875" customWidth="1"/>
    <col min="7" max="7" width="14" bestFit="1" customWidth="1"/>
    <col min="8" max="8" width="13.42578125" bestFit="1" customWidth="1"/>
    <col min="9" max="9" width="2.7109375" customWidth="1"/>
    <col min="10" max="12" width="12.28515625" style="4" bestFit="1" customWidth="1"/>
    <col min="13" max="13" width="12.7109375" style="4" bestFit="1" customWidth="1"/>
    <col min="14" max="14" width="12.28515625" style="4" bestFit="1" customWidth="1"/>
    <col min="15" max="15" width="2.7109375" customWidth="1"/>
  </cols>
  <sheetData>
    <row r="1" spans="1:14" x14ac:dyDescent="0.25">
      <c r="A1" s="2" t="s">
        <v>0</v>
      </c>
    </row>
    <row r="2" spans="1:14" x14ac:dyDescent="0.25">
      <c r="A2" s="1" t="s">
        <v>148</v>
      </c>
    </row>
    <row r="3" spans="1:14" x14ac:dyDescent="0.25">
      <c r="A3" s="1" t="s">
        <v>312</v>
      </c>
      <c r="D3" s="66"/>
      <c r="E3" s="23"/>
      <c r="F3" s="63"/>
      <c r="G3" s="66"/>
      <c r="H3" s="23"/>
      <c r="J3" s="66"/>
      <c r="K3" s="23"/>
      <c r="L3" s="63"/>
      <c r="M3" s="66"/>
      <c r="N3" s="23"/>
    </row>
    <row r="4" spans="1:14" x14ac:dyDescent="0.25">
      <c r="A4" s="3" t="s">
        <v>18</v>
      </c>
      <c r="D4" s="59"/>
      <c r="E4" s="19"/>
      <c r="F4" s="61"/>
      <c r="G4" s="67" t="s">
        <v>51</v>
      </c>
      <c r="H4" s="71">
        <v>2018</v>
      </c>
      <c r="J4" s="59"/>
      <c r="K4" s="19"/>
      <c r="L4" s="61"/>
      <c r="M4" s="67" t="s">
        <v>51</v>
      </c>
      <c r="N4" s="71">
        <v>2017</v>
      </c>
    </row>
    <row r="5" spans="1:14" x14ac:dyDescent="0.25">
      <c r="D5" s="68" t="s">
        <v>15</v>
      </c>
      <c r="E5" s="25" t="s">
        <v>16</v>
      </c>
      <c r="F5" s="69" t="s">
        <v>17</v>
      </c>
      <c r="G5" s="70" t="s">
        <v>152</v>
      </c>
      <c r="H5" s="25" t="s">
        <v>151</v>
      </c>
      <c r="J5" s="68" t="s">
        <v>15</v>
      </c>
      <c r="K5" s="25" t="s">
        <v>16</v>
      </c>
      <c r="L5" s="69" t="s">
        <v>17</v>
      </c>
      <c r="M5" s="70" t="s">
        <v>152</v>
      </c>
      <c r="N5" s="25" t="s">
        <v>151</v>
      </c>
    </row>
    <row r="6" spans="1:14" x14ac:dyDescent="0.25">
      <c r="C6" t="s">
        <v>1</v>
      </c>
      <c r="D6" s="14"/>
      <c r="E6" s="14"/>
      <c r="F6" s="14"/>
      <c r="G6" s="14"/>
      <c r="H6" s="14"/>
      <c r="J6" s="59"/>
      <c r="K6" s="23"/>
      <c r="L6" s="61"/>
      <c r="M6" s="59"/>
      <c r="N6" s="19"/>
    </row>
    <row r="7" spans="1:14" x14ac:dyDescent="0.25">
      <c r="A7" s="1" t="s">
        <v>2</v>
      </c>
      <c r="D7" s="59"/>
      <c r="E7" s="15"/>
      <c r="F7" s="15"/>
      <c r="G7" s="15"/>
      <c r="H7" s="15"/>
      <c r="J7" s="59"/>
      <c r="K7" s="19"/>
      <c r="L7" s="61"/>
      <c r="M7" s="59"/>
      <c r="N7" s="19"/>
    </row>
    <row r="8" spans="1:14" x14ac:dyDescent="0.25">
      <c r="B8" t="s">
        <v>3</v>
      </c>
      <c r="D8" s="59">
        <v>579547</v>
      </c>
      <c r="E8" s="59">
        <v>7367583</v>
      </c>
      <c r="F8" s="19">
        <f t="shared" ref="F8:F18" si="0">+D8+E8</f>
        <v>7947130</v>
      </c>
      <c r="G8" s="15"/>
      <c r="H8" s="19">
        <f>+F8+G8</f>
        <v>7947130</v>
      </c>
      <c r="J8" s="59">
        <v>1607132</v>
      </c>
      <c r="K8" s="19">
        <v>585324</v>
      </c>
      <c r="L8" s="4">
        <f>J8+K8</f>
        <v>2192456</v>
      </c>
      <c r="M8" s="59"/>
      <c r="N8" s="19">
        <f>+L8+M8</f>
        <v>2192456</v>
      </c>
    </row>
    <row r="9" spans="1:14" x14ac:dyDescent="0.25">
      <c r="B9" t="s">
        <v>4</v>
      </c>
      <c r="D9" s="59">
        <v>72811</v>
      </c>
      <c r="E9" s="59">
        <v>205582</v>
      </c>
      <c r="F9" s="19">
        <f t="shared" si="0"/>
        <v>278393</v>
      </c>
      <c r="G9" s="15"/>
      <c r="H9" s="19">
        <f t="shared" ref="H9:H18" si="1">+F9+G9</f>
        <v>278393</v>
      </c>
      <c r="J9" s="59">
        <v>102620</v>
      </c>
      <c r="K9" s="15"/>
      <c r="L9" s="4">
        <f t="shared" ref="L9:L19" si="2">J9+K9</f>
        <v>102620</v>
      </c>
      <c r="M9" s="59"/>
      <c r="N9" s="19">
        <f>+L9+M9</f>
        <v>102620</v>
      </c>
    </row>
    <row r="10" spans="1:14" x14ac:dyDescent="0.25">
      <c r="B10" t="s">
        <v>5</v>
      </c>
      <c r="D10" s="59">
        <v>2393444.3199999998</v>
      </c>
      <c r="E10" s="59">
        <v>0</v>
      </c>
      <c r="F10" s="19">
        <f t="shared" si="0"/>
        <v>2393444.3199999998</v>
      </c>
      <c r="G10" s="15"/>
      <c r="H10" s="19">
        <f t="shared" si="1"/>
        <v>2393444.3199999998</v>
      </c>
      <c r="J10" s="59">
        <v>2644455</v>
      </c>
      <c r="K10" s="15"/>
      <c r="L10" s="4">
        <f t="shared" si="2"/>
        <v>2644455</v>
      </c>
      <c r="M10" s="59"/>
      <c r="N10" s="19">
        <f>+L10+M10</f>
        <v>2644455</v>
      </c>
    </row>
    <row r="11" spans="1:14" x14ac:dyDescent="0.25">
      <c r="B11" t="s">
        <v>6</v>
      </c>
      <c r="D11" s="59"/>
      <c r="E11" s="59"/>
      <c r="F11" s="19"/>
      <c r="G11" s="15"/>
      <c r="H11" s="19"/>
      <c r="J11" s="59"/>
      <c r="K11" s="15"/>
      <c r="L11" s="4">
        <f t="shared" si="2"/>
        <v>0</v>
      </c>
      <c r="M11" s="59"/>
      <c r="N11" s="19"/>
    </row>
    <row r="12" spans="1:14" x14ac:dyDescent="0.25">
      <c r="B12" t="s">
        <v>7</v>
      </c>
      <c r="D12" s="59">
        <v>7451465</v>
      </c>
      <c r="E12" s="59">
        <v>1366582</v>
      </c>
      <c r="F12" s="19">
        <f t="shared" si="0"/>
        <v>8818047</v>
      </c>
      <c r="G12" s="15"/>
      <c r="H12" s="19">
        <f t="shared" si="1"/>
        <v>8818047</v>
      </c>
      <c r="J12" s="59">
        <v>10565005</v>
      </c>
      <c r="K12" s="19">
        <v>1247603</v>
      </c>
      <c r="L12" s="4">
        <f t="shared" si="2"/>
        <v>11812608</v>
      </c>
      <c r="M12" s="59"/>
      <c r="N12" s="19">
        <f t="shared" ref="N12:N18" si="3">+L12+M12</f>
        <v>11812608</v>
      </c>
    </row>
    <row r="13" spans="1:14" x14ac:dyDescent="0.25">
      <c r="B13" t="s">
        <v>8</v>
      </c>
      <c r="D13" s="59">
        <v>43714969</v>
      </c>
      <c r="E13" s="59">
        <v>10949927</v>
      </c>
      <c r="F13" s="19">
        <f t="shared" si="0"/>
        <v>54664896</v>
      </c>
      <c r="G13" s="39">
        <f>-AD!H17-AD!H36</f>
        <v>-21714706</v>
      </c>
      <c r="H13" s="19">
        <f t="shared" si="1"/>
        <v>32950190</v>
      </c>
      <c r="J13" s="59">
        <v>32908556</v>
      </c>
      <c r="K13" s="19">
        <v>5055818</v>
      </c>
      <c r="L13" s="4">
        <f t="shared" si="2"/>
        <v>37964374</v>
      </c>
      <c r="M13" s="59">
        <f>-AD!J17-AD!J36</f>
        <v>-10306018</v>
      </c>
      <c r="N13" s="19">
        <f t="shared" si="3"/>
        <v>27658356</v>
      </c>
    </row>
    <row r="14" spans="1:14" x14ac:dyDescent="0.25">
      <c r="B14" t="s">
        <v>9</v>
      </c>
      <c r="D14" s="59">
        <v>4870336</v>
      </c>
      <c r="E14" s="59">
        <v>239551</v>
      </c>
      <c r="F14" s="19">
        <f t="shared" si="0"/>
        <v>5109887</v>
      </c>
      <c r="G14" s="15"/>
      <c r="H14" s="19">
        <f t="shared" si="1"/>
        <v>5109887</v>
      </c>
      <c r="J14" s="59">
        <v>5481731</v>
      </c>
      <c r="K14" s="19">
        <v>156705</v>
      </c>
      <c r="L14" s="4">
        <f t="shared" si="2"/>
        <v>5638436</v>
      </c>
      <c r="M14" s="59"/>
      <c r="N14" s="19">
        <f t="shared" si="3"/>
        <v>5638436</v>
      </c>
    </row>
    <row r="15" spans="1:14" x14ac:dyDescent="0.25">
      <c r="B15" t="s">
        <v>10</v>
      </c>
      <c r="D15" s="59">
        <v>4638</v>
      </c>
      <c r="E15" s="59">
        <v>3683823</v>
      </c>
      <c r="F15" s="19">
        <f t="shared" si="0"/>
        <v>3688461</v>
      </c>
      <c r="G15" s="15"/>
      <c r="H15" s="19">
        <f t="shared" si="1"/>
        <v>3688461</v>
      </c>
      <c r="J15" s="59">
        <v>480186</v>
      </c>
      <c r="K15" s="19">
        <v>1484699</v>
      </c>
      <c r="L15" s="4">
        <f t="shared" si="2"/>
        <v>1964885</v>
      </c>
      <c r="M15" s="59"/>
      <c r="N15" s="19">
        <f t="shared" si="3"/>
        <v>1964885</v>
      </c>
    </row>
    <row r="16" spans="1:14" x14ac:dyDescent="0.25">
      <c r="B16" t="s">
        <v>11</v>
      </c>
      <c r="D16" s="59">
        <v>501034</v>
      </c>
      <c r="E16" s="59">
        <v>0</v>
      </c>
      <c r="F16" s="19">
        <f t="shared" si="0"/>
        <v>501034</v>
      </c>
      <c r="G16" s="15"/>
      <c r="H16" s="19">
        <f t="shared" si="1"/>
        <v>501034</v>
      </c>
      <c r="J16" s="59">
        <v>625964</v>
      </c>
      <c r="K16" s="15"/>
      <c r="L16" s="4">
        <f t="shared" si="2"/>
        <v>625964</v>
      </c>
      <c r="M16" s="51">
        <f>-AD!L51-AD!L24</f>
        <v>0</v>
      </c>
      <c r="N16" s="39">
        <f t="shared" si="3"/>
        <v>625964</v>
      </c>
    </row>
    <row r="17" spans="1:14" x14ac:dyDescent="0.25">
      <c r="B17" t="s">
        <v>12</v>
      </c>
      <c r="D17" s="59">
        <v>23914705.34</v>
      </c>
      <c r="E17" s="59">
        <v>0</v>
      </c>
      <c r="F17" s="19">
        <f t="shared" si="0"/>
        <v>23914705.34</v>
      </c>
      <c r="G17" s="15"/>
      <c r="H17" s="19">
        <f t="shared" si="1"/>
        <v>23914705.34</v>
      </c>
      <c r="J17" s="59">
        <v>14883321</v>
      </c>
      <c r="K17" s="15"/>
      <c r="L17" s="4">
        <f t="shared" si="2"/>
        <v>14883321</v>
      </c>
      <c r="M17" s="59"/>
      <c r="N17" s="19">
        <f t="shared" si="3"/>
        <v>14883321</v>
      </c>
    </row>
    <row r="18" spans="1:14" x14ac:dyDescent="0.25">
      <c r="B18" t="s">
        <v>13</v>
      </c>
      <c r="D18" s="59">
        <v>0</v>
      </c>
      <c r="E18" s="59">
        <v>0</v>
      </c>
      <c r="F18" s="19">
        <f t="shared" si="0"/>
        <v>0</v>
      </c>
      <c r="G18" s="28"/>
      <c r="H18" s="19">
        <f t="shared" si="1"/>
        <v>0</v>
      </c>
      <c r="J18" s="59"/>
      <c r="K18" s="27"/>
      <c r="M18" s="59"/>
      <c r="N18" s="19">
        <f t="shared" si="3"/>
        <v>0</v>
      </c>
    </row>
    <row r="19" spans="1:14" x14ac:dyDescent="0.25">
      <c r="A19" s="1" t="s">
        <v>14</v>
      </c>
      <c r="D19" s="20">
        <f>SUM(D8:D18)</f>
        <v>83502949.659999996</v>
      </c>
      <c r="E19" s="20">
        <f>SUM(E8:E18)</f>
        <v>23813048</v>
      </c>
      <c r="F19" s="20">
        <f>SUM(F8:F18)</f>
        <v>107315997.66</v>
      </c>
      <c r="G19" s="20">
        <f>SUM(G8:G18)</f>
        <v>-21714706</v>
      </c>
      <c r="H19" s="20">
        <f>SUM(H8:H18)</f>
        <v>85601291.659999996</v>
      </c>
      <c r="J19" s="20">
        <f>SUM(J8:J18)</f>
        <v>69298970</v>
      </c>
      <c r="K19" s="20">
        <f>SUM(K8:K18)</f>
        <v>8530149</v>
      </c>
      <c r="L19" s="20">
        <f t="shared" si="2"/>
        <v>77829119</v>
      </c>
      <c r="M19" s="20">
        <f>SUM(M8:M18)</f>
        <v>-10306018</v>
      </c>
      <c r="N19" s="20">
        <f>SUM(N8:N18)</f>
        <v>67523101</v>
      </c>
    </row>
    <row r="20" spans="1:14" x14ac:dyDescent="0.25">
      <c r="D20" s="14"/>
      <c r="E20" s="14"/>
      <c r="F20" s="14"/>
      <c r="G20" s="14"/>
      <c r="H20" s="14"/>
      <c r="J20" s="59"/>
      <c r="K20" s="19"/>
      <c r="L20" s="61"/>
      <c r="M20" s="59"/>
      <c r="N20" s="19"/>
    </row>
    <row r="21" spans="1:14" ht="27" hidden="1" customHeight="1" x14ac:dyDescent="0.25">
      <c r="A21" s="181" t="s">
        <v>73</v>
      </c>
      <c r="B21" s="181"/>
      <c r="C21" s="181"/>
      <c r="D21" s="101"/>
      <c r="E21" s="101"/>
      <c r="F21" s="101"/>
      <c r="G21" s="101"/>
      <c r="H21" s="101"/>
      <c r="I21" s="96"/>
      <c r="J21" s="60"/>
      <c r="K21" s="27"/>
      <c r="L21" s="62"/>
      <c r="M21" s="60"/>
      <c r="N21" s="27">
        <f>+L21+M21</f>
        <v>0</v>
      </c>
    </row>
    <row r="22" spans="1:14" hidden="1" x14ac:dyDescent="0.25">
      <c r="D22" s="14"/>
      <c r="E22" s="14"/>
      <c r="F22" s="14"/>
      <c r="G22" s="14"/>
      <c r="H22" s="14"/>
      <c r="J22" s="23"/>
      <c r="K22" s="30"/>
      <c r="L22" s="23"/>
      <c r="M22" s="30"/>
      <c r="N22" s="23"/>
    </row>
    <row r="23" spans="1:14" x14ac:dyDescent="0.25">
      <c r="A23" s="1" t="s">
        <v>19</v>
      </c>
      <c r="B23" s="1"/>
      <c r="D23" s="15"/>
      <c r="E23" s="15"/>
      <c r="F23" s="15"/>
      <c r="G23" s="15"/>
      <c r="H23" s="15"/>
      <c r="J23" s="19"/>
      <c r="K23" s="30"/>
      <c r="L23" s="19"/>
      <c r="M23" s="30"/>
      <c r="N23" s="19"/>
    </row>
    <row r="24" spans="1:14" x14ac:dyDescent="0.25">
      <c r="A24" s="1"/>
      <c r="B24" s="3" t="s">
        <v>110</v>
      </c>
      <c r="D24" s="59">
        <v>3150764</v>
      </c>
      <c r="E24" s="15"/>
      <c r="F24" s="19">
        <f t="shared" ref="F24:F28" si="4">+D24+E24</f>
        <v>3150764</v>
      </c>
      <c r="G24" s="15"/>
      <c r="H24" s="19">
        <f t="shared" ref="H24:H33" si="5">+F24+G24</f>
        <v>3150764</v>
      </c>
      <c r="J24" s="59">
        <v>40694</v>
      </c>
      <c r="K24" s="15"/>
      <c r="L24" s="19">
        <f>J24+K24</f>
        <v>40694</v>
      </c>
      <c r="M24" s="61"/>
      <c r="N24" s="19">
        <f t="shared" ref="N24:N33" si="6">+L24+M24</f>
        <v>40694</v>
      </c>
    </row>
    <row r="25" spans="1:14" x14ac:dyDescent="0.25">
      <c r="B25" t="s">
        <v>20</v>
      </c>
      <c r="D25" s="59">
        <v>1449893</v>
      </c>
      <c r="E25" s="15"/>
      <c r="F25" s="19">
        <f t="shared" si="4"/>
        <v>1449893</v>
      </c>
      <c r="G25" s="15"/>
      <c r="H25" s="19">
        <f t="shared" si="5"/>
        <v>1449893</v>
      </c>
      <c r="J25" s="59">
        <v>3212434</v>
      </c>
      <c r="K25" s="15"/>
      <c r="L25" s="19">
        <f t="shared" ref="L25:L32" si="7">J25+K25</f>
        <v>3212434</v>
      </c>
      <c r="N25" s="19">
        <f t="shared" si="6"/>
        <v>3212434</v>
      </c>
    </row>
    <row r="26" spans="1:14" x14ac:dyDescent="0.25">
      <c r="B26" t="s">
        <v>21</v>
      </c>
      <c r="D26" s="59">
        <v>58219865</v>
      </c>
      <c r="E26" s="59">
        <v>13960461</v>
      </c>
      <c r="F26" s="19">
        <f t="shared" si="4"/>
        <v>72180326</v>
      </c>
      <c r="G26" s="19">
        <f>-AD!H22+AD!G40+AD!G46-AD!H52</f>
        <v>-14650151.938548002</v>
      </c>
      <c r="H26" s="19">
        <f t="shared" si="5"/>
        <v>57530174.061452001</v>
      </c>
      <c r="J26" s="59">
        <v>66573020</v>
      </c>
      <c r="K26" s="59">
        <v>17358621</v>
      </c>
      <c r="L26" s="19">
        <f t="shared" si="7"/>
        <v>83931641</v>
      </c>
      <c r="M26" s="4">
        <f>-AD!J22+AD!I40+AD!I46-AD!J52</f>
        <v>-18536381.523400001</v>
      </c>
      <c r="N26" s="19">
        <f t="shared" si="6"/>
        <v>65395259.476599999</v>
      </c>
    </row>
    <row r="27" spans="1:14" x14ac:dyDescent="0.25">
      <c r="B27" t="s">
        <v>22</v>
      </c>
      <c r="D27" s="59">
        <v>624011</v>
      </c>
      <c r="E27" s="59"/>
      <c r="F27" s="19">
        <f t="shared" si="4"/>
        <v>624011</v>
      </c>
      <c r="G27" s="15"/>
      <c r="H27" s="19">
        <f t="shared" si="5"/>
        <v>624011</v>
      </c>
      <c r="J27" s="59">
        <v>661755</v>
      </c>
      <c r="K27" s="15"/>
      <c r="L27" s="19">
        <f t="shared" si="7"/>
        <v>661755</v>
      </c>
      <c r="N27" s="19">
        <f t="shared" si="6"/>
        <v>661755</v>
      </c>
    </row>
    <row r="28" spans="1:14" x14ac:dyDescent="0.25">
      <c r="B28" t="s">
        <v>23</v>
      </c>
      <c r="D28" s="59">
        <v>14218560.43</v>
      </c>
      <c r="E28" s="59">
        <v>231861</v>
      </c>
      <c r="F28" s="19">
        <f t="shared" si="4"/>
        <v>14450421.43</v>
      </c>
      <c r="G28" s="15"/>
      <c r="H28" s="19">
        <f t="shared" si="5"/>
        <v>14450421.43</v>
      </c>
      <c r="J28" s="59">
        <v>11586243</v>
      </c>
      <c r="K28" s="59">
        <v>241844</v>
      </c>
      <c r="L28" s="19">
        <f t="shared" si="7"/>
        <v>11828087</v>
      </c>
      <c r="N28" s="19">
        <f t="shared" si="6"/>
        <v>11828087</v>
      </c>
    </row>
    <row r="29" spans="1:14" x14ac:dyDescent="0.25">
      <c r="B29" t="s">
        <v>13</v>
      </c>
      <c r="D29" s="15"/>
      <c r="E29" s="15"/>
      <c r="F29" s="15"/>
      <c r="G29" s="15"/>
      <c r="H29" s="15"/>
      <c r="J29" s="15"/>
      <c r="K29" s="15"/>
      <c r="L29" s="19">
        <f t="shared" si="7"/>
        <v>0</v>
      </c>
      <c r="N29" s="19">
        <f t="shared" si="6"/>
        <v>0</v>
      </c>
    </row>
    <row r="30" spans="1:14" x14ac:dyDescent="0.25">
      <c r="B30" t="s">
        <v>185</v>
      </c>
      <c r="D30" s="59">
        <v>1422229</v>
      </c>
      <c r="E30" s="59"/>
      <c r="F30" s="19">
        <f t="shared" ref="F30:F33" si="8">+D30+E30</f>
        <v>1422229</v>
      </c>
      <c r="G30" s="15"/>
      <c r="H30" s="19">
        <f t="shared" si="5"/>
        <v>1422229</v>
      </c>
      <c r="J30" s="59">
        <v>1422229</v>
      </c>
      <c r="K30" s="15"/>
      <c r="L30" s="19">
        <f t="shared" si="7"/>
        <v>1422229</v>
      </c>
      <c r="N30" s="19">
        <f t="shared" si="6"/>
        <v>1422229</v>
      </c>
    </row>
    <row r="31" spans="1:14" x14ac:dyDescent="0.25">
      <c r="B31" t="s">
        <v>24</v>
      </c>
      <c r="D31" s="59">
        <v>39016871</v>
      </c>
      <c r="E31" s="59"/>
      <c r="F31" s="19">
        <f t="shared" si="8"/>
        <v>39016871</v>
      </c>
      <c r="G31" s="15"/>
      <c r="H31" s="19">
        <f t="shared" si="5"/>
        <v>39016871</v>
      </c>
      <c r="J31" s="59">
        <v>44513438</v>
      </c>
      <c r="K31" s="15"/>
      <c r="L31" s="19">
        <f t="shared" si="7"/>
        <v>44513438</v>
      </c>
      <c r="N31" s="19">
        <f t="shared" si="6"/>
        <v>44513438</v>
      </c>
    </row>
    <row r="32" spans="1:14" x14ac:dyDescent="0.25">
      <c r="B32" t="s">
        <v>242</v>
      </c>
      <c r="D32" s="19">
        <v>261500</v>
      </c>
      <c r="E32" s="19">
        <v>62075</v>
      </c>
      <c r="F32" s="19">
        <f t="shared" si="8"/>
        <v>323575</v>
      </c>
      <c r="G32" s="19">
        <f>+AD!G47+AD!G61+AD!G56</f>
        <v>3522607.3408500003</v>
      </c>
      <c r="H32" s="19">
        <f t="shared" si="5"/>
        <v>3846182.3408500003</v>
      </c>
      <c r="J32" s="19">
        <v>0</v>
      </c>
      <c r="K32" s="15"/>
      <c r="L32" s="19">
        <f t="shared" si="7"/>
        <v>0</v>
      </c>
      <c r="M32" s="4">
        <f>+AD!I47+AD!I61</f>
        <v>4078003.9351480003</v>
      </c>
      <c r="N32" s="19">
        <f t="shared" si="6"/>
        <v>4078003.9351480003</v>
      </c>
    </row>
    <row r="33" spans="1:14" x14ac:dyDescent="0.25">
      <c r="B33" t="s">
        <v>50</v>
      </c>
      <c r="D33" s="59">
        <v>105893</v>
      </c>
      <c r="E33" s="59">
        <v>38920</v>
      </c>
      <c r="F33" s="19">
        <f t="shared" si="8"/>
        <v>144813</v>
      </c>
      <c r="G33" s="28"/>
      <c r="H33" s="19">
        <f t="shared" si="5"/>
        <v>144813</v>
      </c>
      <c r="J33" s="59">
        <v>105894</v>
      </c>
      <c r="K33" s="59">
        <v>35121</v>
      </c>
      <c r="L33" s="19">
        <f>J33+K33</f>
        <v>141015</v>
      </c>
      <c r="N33" s="19">
        <f t="shared" si="6"/>
        <v>141015</v>
      </c>
    </row>
    <row r="34" spans="1:14" x14ac:dyDescent="0.25">
      <c r="A34" s="1" t="s">
        <v>25</v>
      </c>
      <c r="D34" s="20">
        <f>SUM(D24:D33)</f>
        <v>118469586.43000001</v>
      </c>
      <c r="E34" s="20">
        <f>SUM(E24:E33)</f>
        <v>14293317</v>
      </c>
      <c r="F34" s="20">
        <f>SUM(F24:F33)</f>
        <v>132762903.43000001</v>
      </c>
      <c r="G34" s="20">
        <f>SUM(G24:G33)</f>
        <v>-11127544.597698003</v>
      </c>
      <c r="H34" s="20">
        <f>SUM(H24:H33)</f>
        <v>121635358.832302</v>
      </c>
      <c r="J34" s="20">
        <f>SUM(J24:J33)</f>
        <v>128115707</v>
      </c>
      <c r="K34" s="20">
        <f>SUM(K24:K33)</f>
        <v>17635586</v>
      </c>
      <c r="L34" s="20">
        <f>SUM(L24:L33)</f>
        <v>145751293</v>
      </c>
      <c r="M34" s="20">
        <f>SUM(M24:M33)</f>
        <v>-14458377.588252001</v>
      </c>
      <c r="N34" s="20">
        <f>SUM(N24:N33)</f>
        <v>131292915.41174799</v>
      </c>
    </row>
    <row r="35" spans="1:14" x14ac:dyDescent="0.25">
      <c r="A35" s="1" t="s">
        <v>26</v>
      </c>
      <c r="D35" s="20">
        <f>D34+D19</f>
        <v>201972536.09</v>
      </c>
      <c r="E35" s="20">
        <f>E34+E19</f>
        <v>38106365</v>
      </c>
      <c r="F35" s="20">
        <f>F34+F19</f>
        <v>240078901.09</v>
      </c>
      <c r="G35" s="20">
        <f>G34+G19</f>
        <v>-32842250.597698003</v>
      </c>
      <c r="H35" s="20">
        <f>H34+H19</f>
        <v>207236650.492302</v>
      </c>
      <c r="J35" s="20">
        <f>J34+J19</f>
        <v>197414677</v>
      </c>
      <c r="K35" s="20">
        <f>K19+K34</f>
        <v>26165735</v>
      </c>
      <c r="L35" s="48">
        <f>J35+K35</f>
        <v>223580412</v>
      </c>
      <c r="M35" s="48">
        <f>M19+M34</f>
        <v>-24764395.588252001</v>
      </c>
      <c r="N35" s="48">
        <f>+N34+N19</f>
        <v>198816016.41174799</v>
      </c>
    </row>
    <row r="36" spans="1:14" x14ac:dyDescent="0.25">
      <c r="D36" s="14"/>
      <c r="E36" s="14"/>
      <c r="F36" s="14"/>
      <c r="G36" s="14"/>
      <c r="H36" s="14"/>
      <c r="J36" s="23"/>
      <c r="K36" s="63"/>
      <c r="L36" s="23"/>
      <c r="M36" s="63"/>
      <c r="N36" s="23"/>
    </row>
    <row r="37" spans="1:14" x14ac:dyDescent="0.25">
      <c r="C37" s="5" t="s">
        <v>27</v>
      </c>
      <c r="D37" s="102"/>
      <c r="E37" s="102"/>
      <c r="F37" s="102"/>
      <c r="G37" s="102"/>
      <c r="H37" s="102"/>
      <c r="I37" s="5"/>
      <c r="J37" s="19"/>
      <c r="K37" s="61"/>
      <c r="L37" s="19"/>
      <c r="M37" s="61"/>
      <c r="N37" s="19"/>
    </row>
    <row r="38" spans="1:14" x14ac:dyDescent="0.25">
      <c r="A38" s="1" t="s">
        <v>28</v>
      </c>
      <c r="D38" s="15"/>
      <c r="E38" s="15"/>
      <c r="F38" s="15"/>
      <c r="G38" s="15"/>
      <c r="H38" s="15"/>
      <c r="J38" s="19"/>
      <c r="K38" s="61"/>
      <c r="L38" s="19"/>
      <c r="M38" s="61"/>
      <c r="N38" s="19"/>
    </row>
    <row r="39" spans="1:14" x14ac:dyDescent="0.25">
      <c r="B39" t="s">
        <v>29</v>
      </c>
      <c r="D39" s="59">
        <v>15262293</v>
      </c>
      <c r="E39" s="59">
        <v>1606363</v>
      </c>
      <c r="F39" s="19">
        <f t="shared" ref="F39:F43" si="9">+D39+E39</f>
        <v>16868656</v>
      </c>
      <c r="G39" s="15"/>
      <c r="H39" s="19">
        <f t="shared" ref="H39:H49" si="10">+F39+G39</f>
        <v>16868656</v>
      </c>
      <c r="J39" s="59">
        <v>25133387</v>
      </c>
      <c r="K39" s="59">
        <v>2011281</v>
      </c>
      <c r="L39" s="19">
        <f>+J39+K39</f>
        <v>27144668</v>
      </c>
      <c r="N39" s="19">
        <f>+L39+M39</f>
        <v>27144668</v>
      </c>
    </row>
    <row r="40" spans="1:14" x14ac:dyDescent="0.25">
      <c r="B40" t="s">
        <v>319</v>
      </c>
      <c r="D40" s="59">
        <v>8587943</v>
      </c>
      <c r="E40" s="59"/>
      <c r="F40" s="19">
        <f t="shared" si="9"/>
        <v>8587943</v>
      </c>
      <c r="G40" s="15"/>
      <c r="H40" s="19">
        <f t="shared" si="10"/>
        <v>8587943</v>
      </c>
      <c r="J40" s="59">
        <v>0</v>
      </c>
      <c r="K40" s="59">
        <v>0</v>
      </c>
      <c r="L40" s="19">
        <f>+J40+K40</f>
        <v>0</v>
      </c>
      <c r="N40" s="19">
        <f>+L40+M40</f>
        <v>0</v>
      </c>
    </row>
    <row r="41" spans="1:14" x14ac:dyDescent="0.25">
      <c r="B41" t="s">
        <v>30</v>
      </c>
      <c r="D41" s="15"/>
      <c r="E41" s="59"/>
      <c r="F41" s="15"/>
      <c r="G41" s="15"/>
      <c r="H41" s="19"/>
      <c r="J41" s="15"/>
      <c r="K41" s="59"/>
      <c r="L41" s="19"/>
      <c r="N41" s="19"/>
    </row>
    <row r="42" spans="1:14" x14ac:dyDescent="0.25">
      <c r="B42" t="s">
        <v>31</v>
      </c>
      <c r="D42" s="59">
        <v>15777543</v>
      </c>
      <c r="E42" s="59">
        <v>694461</v>
      </c>
      <c r="F42" s="19">
        <f t="shared" si="9"/>
        <v>16472004</v>
      </c>
      <c r="G42" s="15"/>
      <c r="H42" s="19">
        <f t="shared" si="10"/>
        <v>16472004</v>
      </c>
      <c r="J42" s="59">
        <f>19562775-1869732</f>
        <v>17693043</v>
      </c>
      <c r="K42" s="59">
        <v>599812</v>
      </c>
      <c r="L42" s="19">
        <f t="shared" ref="L42:L50" si="11">+J42+K42</f>
        <v>18292855</v>
      </c>
      <c r="N42" s="19">
        <f t="shared" ref="N42:N49" si="12">+L42+M42</f>
        <v>18292855</v>
      </c>
    </row>
    <row r="43" spans="1:14" x14ac:dyDescent="0.25">
      <c r="B43" t="s">
        <v>8</v>
      </c>
      <c r="D43" s="59">
        <v>1933474</v>
      </c>
      <c r="E43" s="59">
        <v>10682418</v>
      </c>
      <c r="F43" s="19">
        <f t="shared" si="9"/>
        <v>12615892</v>
      </c>
      <c r="G43" s="19">
        <f>-AD!G13</f>
        <v>-10682418</v>
      </c>
      <c r="H43" s="19">
        <f t="shared" si="10"/>
        <v>1933474</v>
      </c>
      <c r="J43" s="59">
        <f>10819633-10628880+1869732</f>
        <v>2060485</v>
      </c>
      <c r="K43" s="59">
        <v>5099200</v>
      </c>
      <c r="L43" s="19">
        <f t="shared" si="11"/>
        <v>7159685</v>
      </c>
      <c r="M43" s="4">
        <f>-AD!I13</f>
        <v>-5099200</v>
      </c>
      <c r="N43" s="19">
        <f t="shared" si="12"/>
        <v>2060485</v>
      </c>
    </row>
    <row r="44" spans="1:14" hidden="1" x14ac:dyDescent="0.25">
      <c r="B44" t="s">
        <v>32</v>
      </c>
      <c r="D44" s="59"/>
      <c r="E44" s="104"/>
      <c r="F44" s="15"/>
      <c r="G44" s="15"/>
      <c r="H44" s="19">
        <f t="shared" si="10"/>
        <v>0</v>
      </c>
      <c r="J44" s="59"/>
      <c r="K44" s="104"/>
      <c r="L44" s="19">
        <f t="shared" si="11"/>
        <v>0</v>
      </c>
      <c r="N44" s="19">
        <f t="shared" si="12"/>
        <v>0</v>
      </c>
    </row>
    <row r="45" spans="1:14" x14ac:dyDescent="0.25">
      <c r="B45" t="s">
        <v>33</v>
      </c>
      <c r="D45" s="59">
        <v>6713206</v>
      </c>
      <c r="E45" s="51">
        <v>1593751</v>
      </c>
      <c r="F45" s="19">
        <f t="shared" ref="F45:F49" si="13">+D45+E45</f>
        <v>8306957</v>
      </c>
      <c r="G45" s="15"/>
      <c r="H45" s="19">
        <f t="shared" si="10"/>
        <v>8306957</v>
      </c>
      <c r="J45" s="59">
        <f>4228478</f>
        <v>4228478</v>
      </c>
      <c r="K45" s="51">
        <v>355666</v>
      </c>
      <c r="L45" s="19">
        <f t="shared" si="11"/>
        <v>4584144</v>
      </c>
      <c r="N45" s="19">
        <f t="shared" si="12"/>
        <v>4584144</v>
      </c>
    </row>
    <row r="46" spans="1:14" x14ac:dyDescent="0.25">
      <c r="B46" t="s">
        <v>34</v>
      </c>
      <c r="D46" s="59">
        <v>2325545</v>
      </c>
      <c r="E46" s="59">
        <v>28903</v>
      </c>
      <c r="F46" s="19">
        <f t="shared" si="13"/>
        <v>2354448</v>
      </c>
      <c r="G46" s="15"/>
      <c r="H46" s="19">
        <f t="shared" si="10"/>
        <v>2354448</v>
      </c>
      <c r="J46" s="59">
        <v>3286332</v>
      </c>
      <c r="K46" s="59">
        <v>18473</v>
      </c>
      <c r="L46" s="19">
        <f t="shared" si="11"/>
        <v>3304805</v>
      </c>
      <c r="N46" s="19">
        <f t="shared" si="12"/>
        <v>3304805</v>
      </c>
    </row>
    <row r="47" spans="1:14" x14ac:dyDescent="0.25">
      <c r="B47" t="s">
        <v>35</v>
      </c>
      <c r="D47" s="59">
        <v>9631316</v>
      </c>
      <c r="E47" s="59">
        <v>301722</v>
      </c>
      <c r="F47" s="19">
        <f t="shared" si="13"/>
        <v>9933038</v>
      </c>
      <c r="G47" s="19">
        <f>-AD!G28</f>
        <v>-6088067</v>
      </c>
      <c r="H47" s="19">
        <f t="shared" si="10"/>
        <v>3844971</v>
      </c>
      <c r="J47" s="59">
        <v>1953502</v>
      </c>
      <c r="K47" s="59">
        <v>278886</v>
      </c>
      <c r="L47" s="19">
        <f t="shared" si="11"/>
        <v>2232388</v>
      </c>
      <c r="M47" s="4">
        <f>-AD!I28</f>
        <v>-656393</v>
      </c>
      <c r="N47" s="19">
        <f t="shared" si="12"/>
        <v>1575995</v>
      </c>
    </row>
    <row r="48" spans="1:14" x14ac:dyDescent="0.25">
      <c r="B48" t="s">
        <v>36</v>
      </c>
      <c r="D48" s="59">
        <v>6162582</v>
      </c>
      <c r="E48" s="59">
        <v>1399620</v>
      </c>
      <c r="F48" s="19">
        <f t="shared" si="13"/>
        <v>7562202</v>
      </c>
      <c r="G48" s="15"/>
      <c r="H48" s="19">
        <f t="shared" si="10"/>
        <v>7562202</v>
      </c>
      <c r="J48" s="59">
        <v>4524107</v>
      </c>
      <c r="K48" s="59">
        <v>982596</v>
      </c>
      <c r="L48" s="19">
        <f t="shared" si="11"/>
        <v>5506703</v>
      </c>
      <c r="N48" s="19">
        <f t="shared" si="12"/>
        <v>5506703</v>
      </c>
    </row>
    <row r="49" spans="1:14" x14ac:dyDescent="0.25">
      <c r="B49" t="s">
        <v>37</v>
      </c>
      <c r="D49" s="59">
        <v>0</v>
      </c>
      <c r="E49" s="59">
        <v>0</v>
      </c>
      <c r="F49" s="19">
        <f t="shared" si="13"/>
        <v>0</v>
      </c>
      <c r="G49" s="27">
        <f>-AD!G32</f>
        <v>0</v>
      </c>
      <c r="H49" s="19">
        <f t="shared" si="10"/>
        <v>0</v>
      </c>
      <c r="J49" s="59">
        <v>4183053</v>
      </c>
      <c r="K49" s="59">
        <v>249138</v>
      </c>
      <c r="L49" s="19">
        <f t="shared" si="11"/>
        <v>4432191</v>
      </c>
      <c r="M49" s="4">
        <f>-AD!I32</f>
        <v>-2148000</v>
      </c>
      <c r="N49" s="19">
        <f t="shared" si="12"/>
        <v>2284191</v>
      </c>
    </row>
    <row r="50" spans="1:14" x14ac:dyDescent="0.25">
      <c r="A50" s="1" t="s">
        <v>38</v>
      </c>
      <c r="D50" s="20">
        <f>SUM(D39:D49)</f>
        <v>66393902</v>
      </c>
      <c r="E50" s="20">
        <f>SUM(E39:E49)</f>
        <v>16307238</v>
      </c>
      <c r="F50" s="20">
        <f>SUM(F39:F49)</f>
        <v>82701140</v>
      </c>
      <c r="G50" s="20">
        <f>SUM(G39:G49)</f>
        <v>-16770485</v>
      </c>
      <c r="H50" s="20">
        <f>SUM(H39:H49)</f>
        <v>65930655</v>
      </c>
      <c r="J50" s="20">
        <f>SUM(J39:J49)</f>
        <v>63062387</v>
      </c>
      <c r="K50" s="20">
        <f>SUM(K39:K49)</f>
        <v>9595052</v>
      </c>
      <c r="L50" s="20">
        <f t="shared" si="11"/>
        <v>72657439</v>
      </c>
      <c r="M50" s="20">
        <f>SUM(M39:M49)</f>
        <v>-7903593</v>
      </c>
      <c r="N50" s="20">
        <f>SUM(N39:N49)</f>
        <v>64753846</v>
      </c>
    </row>
    <row r="51" spans="1:14" x14ac:dyDescent="0.25">
      <c r="D51" s="14"/>
      <c r="E51" s="14"/>
      <c r="F51" s="14"/>
      <c r="G51" s="14"/>
      <c r="H51" s="14"/>
      <c r="J51" s="19"/>
      <c r="K51" s="61"/>
      <c r="L51" s="19"/>
      <c r="M51" s="61"/>
      <c r="N51" s="19"/>
    </row>
    <row r="52" spans="1:14" x14ac:dyDescent="0.25">
      <c r="A52" s="1" t="s">
        <v>39</v>
      </c>
      <c r="D52" s="15"/>
      <c r="E52" s="15"/>
      <c r="F52" s="15"/>
      <c r="G52" s="15"/>
      <c r="H52" s="15"/>
      <c r="J52" s="19"/>
      <c r="K52" s="61"/>
      <c r="L52" s="19"/>
      <c r="M52" s="61"/>
      <c r="N52" s="19"/>
    </row>
    <row r="53" spans="1:14" x14ac:dyDescent="0.25">
      <c r="B53" t="s">
        <v>29</v>
      </c>
      <c r="D53" s="59">
        <v>4378387</v>
      </c>
      <c r="E53" s="59">
        <v>2632543</v>
      </c>
      <c r="F53" s="19">
        <f t="shared" ref="F53:F61" si="14">+D53+E53</f>
        <v>7010930</v>
      </c>
      <c r="G53" s="15"/>
      <c r="H53" s="19">
        <f t="shared" ref="H53:H61" si="15">+F53+G53</f>
        <v>7010930</v>
      </c>
      <c r="J53" s="59">
        <v>16385448</v>
      </c>
      <c r="K53" s="59">
        <v>1354464</v>
      </c>
      <c r="L53" s="19">
        <f>+J53+K53</f>
        <v>17739912</v>
      </c>
      <c r="M53" s="61"/>
      <c r="N53" s="19">
        <f>+L53+M53</f>
        <v>17739912</v>
      </c>
    </row>
    <row r="54" spans="1:14" x14ac:dyDescent="0.25">
      <c r="B54" t="s">
        <v>320</v>
      </c>
      <c r="D54" s="59">
        <v>2447101</v>
      </c>
      <c r="E54" s="59">
        <v>0</v>
      </c>
      <c r="F54" s="19">
        <f t="shared" si="14"/>
        <v>2447101</v>
      </c>
      <c r="G54" s="15"/>
      <c r="H54" s="19">
        <f t="shared" si="15"/>
        <v>2447101</v>
      </c>
      <c r="J54" s="59"/>
      <c r="K54" s="59"/>
      <c r="L54" s="19"/>
      <c r="M54" s="61"/>
      <c r="N54" s="19"/>
    </row>
    <row r="55" spans="1:14" x14ac:dyDescent="0.25">
      <c r="B55" t="s">
        <v>30</v>
      </c>
      <c r="D55" s="59"/>
      <c r="E55" s="15"/>
      <c r="F55" s="19"/>
      <c r="G55" s="15"/>
      <c r="H55" s="15"/>
      <c r="J55" s="59"/>
      <c r="K55" s="15"/>
      <c r="L55" s="19"/>
      <c r="M55" s="61"/>
      <c r="N55" s="19"/>
    </row>
    <row r="56" spans="1:14" x14ac:dyDescent="0.25">
      <c r="B56" t="s">
        <v>31</v>
      </c>
      <c r="D56" s="59">
        <v>2345800</v>
      </c>
      <c r="E56" s="59"/>
      <c r="F56" s="19">
        <f t="shared" si="14"/>
        <v>2345800</v>
      </c>
      <c r="G56" s="15"/>
      <c r="H56" s="19">
        <f t="shared" si="15"/>
        <v>2345800</v>
      </c>
      <c r="J56" s="59">
        <v>2203673</v>
      </c>
      <c r="K56" s="15"/>
      <c r="L56" s="19">
        <f t="shared" ref="L56:L63" si="16">+J56+K56</f>
        <v>2203673</v>
      </c>
      <c r="M56" s="61"/>
      <c r="N56" s="19">
        <f t="shared" ref="N56:N61" si="17">+L56+M56</f>
        <v>2203673</v>
      </c>
    </row>
    <row r="57" spans="1:14" x14ac:dyDescent="0.25">
      <c r="B57" t="s">
        <v>209</v>
      </c>
      <c r="D57" s="59">
        <v>10628880</v>
      </c>
      <c r="E57" s="59"/>
      <c r="F57" s="19">
        <f t="shared" si="14"/>
        <v>10628880</v>
      </c>
      <c r="G57" s="15"/>
      <c r="H57" s="19">
        <f t="shared" si="15"/>
        <v>10628880</v>
      </c>
      <c r="J57" s="59">
        <f>10628880+2936828</f>
        <v>13565708</v>
      </c>
      <c r="K57" s="15"/>
      <c r="L57" s="19">
        <f t="shared" si="16"/>
        <v>13565708</v>
      </c>
      <c r="M57" s="61">
        <f>-AD!K29</f>
        <v>0</v>
      </c>
      <c r="N57" s="19">
        <f t="shared" si="17"/>
        <v>13565708</v>
      </c>
    </row>
    <row r="58" spans="1:14" x14ac:dyDescent="0.25">
      <c r="B58" t="s">
        <v>338</v>
      </c>
      <c r="D58" s="59">
        <f>24796057+1086071</f>
        <v>25882128</v>
      </c>
      <c r="E58" s="59">
        <v>524930</v>
      </c>
      <c r="F58" s="19">
        <f t="shared" si="14"/>
        <v>26407058</v>
      </c>
      <c r="G58" s="19">
        <f>-AD!G31</f>
        <v>-4546528</v>
      </c>
      <c r="H58" s="19">
        <f t="shared" si="15"/>
        <v>21860530</v>
      </c>
      <c r="J58" s="59">
        <f>7566828-2936828+20813206</f>
        <v>25443206</v>
      </c>
      <c r="K58" s="15"/>
      <c r="L58" s="19">
        <f t="shared" si="16"/>
        <v>25443206</v>
      </c>
      <c r="M58" s="61">
        <f>-AD!I31</f>
        <v>-2251425</v>
      </c>
      <c r="N58" s="19">
        <f t="shared" si="17"/>
        <v>23191781</v>
      </c>
    </row>
    <row r="59" spans="1:14" x14ac:dyDescent="0.25">
      <c r="B59" t="s">
        <v>332</v>
      </c>
      <c r="D59" s="59">
        <v>5909359</v>
      </c>
      <c r="E59" s="59">
        <v>1232741</v>
      </c>
      <c r="F59" s="19">
        <f t="shared" si="14"/>
        <v>7142100</v>
      </c>
      <c r="G59" s="15"/>
      <c r="H59" s="19">
        <f t="shared" si="15"/>
        <v>7142100</v>
      </c>
      <c r="J59" s="59">
        <f>5140510</f>
        <v>5140510</v>
      </c>
      <c r="K59" s="59">
        <v>964717</v>
      </c>
      <c r="L59" s="19">
        <f t="shared" si="16"/>
        <v>6105227</v>
      </c>
      <c r="M59" s="61"/>
      <c r="N59" s="19">
        <f t="shared" si="17"/>
        <v>6105227</v>
      </c>
    </row>
    <row r="60" spans="1:14" x14ac:dyDescent="0.25">
      <c r="B60" t="s">
        <v>331</v>
      </c>
      <c r="D60" s="59">
        <v>2580000</v>
      </c>
      <c r="E60" s="51"/>
      <c r="F60" s="19">
        <f t="shared" si="14"/>
        <v>2580000</v>
      </c>
      <c r="G60" s="19"/>
      <c r="H60" s="19">
        <f t="shared" si="15"/>
        <v>2580000</v>
      </c>
      <c r="J60" s="59">
        <v>0</v>
      </c>
      <c r="K60" s="15"/>
      <c r="L60" s="19">
        <f t="shared" si="16"/>
        <v>0</v>
      </c>
      <c r="M60" s="61"/>
      <c r="N60" s="19">
        <f t="shared" si="17"/>
        <v>0</v>
      </c>
    </row>
    <row r="61" spans="1:14" x14ac:dyDescent="0.25">
      <c r="B61" t="s">
        <v>40</v>
      </c>
      <c r="D61" s="59"/>
      <c r="E61" s="15"/>
      <c r="F61" s="19">
        <f t="shared" si="14"/>
        <v>0</v>
      </c>
      <c r="G61" s="15"/>
      <c r="H61" s="19">
        <f t="shared" si="15"/>
        <v>0</v>
      </c>
      <c r="J61" s="59">
        <v>772443</v>
      </c>
      <c r="K61" s="15"/>
      <c r="L61" s="27">
        <f t="shared" si="16"/>
        <v>772443</v>
      </c>
      <c r="M61" s="61"/>
      <c r="N61" s="27">
        <f t="shared" si="17"/>
        <v>772443</v>
      </c>
    </row>
    <row r="62" spans="1:14" x14ac:dyDescent="0.25">
      <c r="A62" s="1" t="s">
        <v>41</v>
      </c>
      <c r="D62" s="20">
        <f>SUM(D53:D61)</f>
        <v>54171655</v>
      </c>
      <c r="E62" s="20">
        <f>SUM(E53:E61)</f>
        <v>4390214</v>
      </c>
      <c r="F62" s="20">
        <f>SUM(F53:F61)</f>
        <v>58561869</v>
      </c>
      <c r="G62" s="20">
        <f>SUM(G53:G61)</f>
        <v>-4546528</v>
      </c>
      <c r="H62" s="20">
        <f>SUM(H53:H61)</f>
        <v>54015341</v>
      </c>
      <c r="J62" s="20">
        <f>SUM(J53:J61)</f>
        <v>63510988</v>
      </c>
      <c r="K62" s="20">
        <f>SUM(K53:K61)</f>
        <v>2319181</v>
      </c>
      <c r="L62" s="20">
        <f t="shared" si="16"/>
        <v>65830169</v>
      </c>
      <c r="M62" s="20">
        <f>SUM(M53:M61)</f>
        <v>-2251425</v>
      </c>
      <c r="N62" s="20">
        <f>SUM(N53:N61)</f>
        <v>63578744</v>
      </c>
    </row>
    <row r="63" spans="1:14" x14ac:dyDescent="0.25">
      <c r="A63" s="1" t="s">
        <v>42</v>
      </c>
      <c r="D63" s="20">
        <f>D50+D62</f>
        <v>120565557</v>
      </c>
      <c r="E63" s="20">
        <f>E50+E62</f>
        <v>20697452</v>
      </c>
      <c r="F63" s="20">
        <f>F50+F62</f>
        <v>141263009</v>
      </c>
      <c r="G63" s="20">
        <f>G50+G62</f>
        <v>-21317013</v>
      </c>
      <c r="H63" s="20">
        <f>H50+H62</f>
        <v>119945996</v>
      </c>
      <c r="J63" s="20">
        <f>J50+J62</f>
        <v>126573375</v>
      </c>
      <c r="K63" s="20">
        <f>K50+K62</f>
        <v>11914233</v>
      </c>
      <c r="L63" s="20">
        <f t="shared" si="16"/>
        <v>138487608</v>
      </c>
      <c r="M63" s="20">
        <f>+M62+M50</f>
        <v>-10155018</v>
      </c>
      <c r="N63" s="20">
        <f>+N62+N50</f>
        <v>128332590</v>
      </c>
    </row>
    <row r="64" spans="1:14" x14ac:dyDescent="0.25">
      <c r="D64" s="15"/>
      <c r="E64" s="15"/>
      <c r="F64" s="15"/>
      <c r="G64" s="15"/>
      <c r="H64" s="15"/>
      <c r="J64" s="19"/>
      <c r="K64" s="19"/>
      <c r="L64" s="19"/>
      <c r="M64" s="19"/>
      <c r="N64" s="19"/>
    </row>
    <row r="65" spans="1:14" x14ac:dyDescent="0.25">
      <c r="A65" s="148" t="s">
        <v>43</v>
      </c>
      <c r="B65" s="40"/>
      <c r="C65" s="40"/>
      <c r="D65" s="47"/>
      <c r="E65" s="47"/>
      <c r="F65" s="47"/>
      <c r="G65" s="47"/>
      <c r="H65" s="47"/>
      <c r="I65" s="40"/>
      <c r="J65" s="39"/>
      <c r="K65" s="39"/>
      <c r="L65" s="39"/>
      <c r="M65" s="39"/>
      <c r="N65" s="39"/>
    </row>
    <row r="66" spans="1:14" x14ac:dyDescent="0.25">
      <c r="A66" s="40"/>
      <c r="B66" s="40" t="s">
        <v>44</v>
      </c>
      <c r="C66" s="40"/>
      <c r="D66" s="51">
        <f>+PAT!F23</f>
        <v>35042687</v>
      </c>
      <c r="E66" s="51">
        <f>+PAT!G23</f>
        <v>13159302</v>
      </c>
      <c r="F66" s="39">
        <f>+D66+E66</f>
        <v>48201989</v>
      </c>
      <c r="G66" s="47"/>
      <c r="H66" s="39">
        <f t="shared" ref="H66:H69" si="18">+F66+G66</f>
        <v>48201989</v>
      </c>
      <c r="I66" s="40"/>
      <c r="J66" s="51">
        <f>+PAT!F19</f>
        <v>30006697</v>
      </c>
      <c r="K66" s="51">
        <f>+PAT!G19</f>
        <v>11015563</v>
      </c>
      <c r="L66" s="39">
        <f t="shared" ref="L66:L71" si="19">+J66+K66</f>
        <v>41022260</v>
      </c>
      <c r="M66" s="39"/>
      <c r="N66" s="39">
        <f>+L66+M66</f>
        <v>41022260</v>
      </c>
    </row>
    <row r="67" spans="1:14" x14ac:dyDescent="0.25">
      <c r="A67" s="40"/>
      <c r="B67" s="40" t="s">
        <v>45</v>
      </c>
      <c r="C67" s="40"/>
      <c r="D67" s="51">
        <f>+PAT!F35</f>
        <v>920</v>
      </c>
      <c r="E67" s="51">
        <f>+PAT!G35</f>
        <v>0</v>
      </c>
      <c r="F67" s="39">
        <f t="shared" ref="F67:F69" si="20">+D67+E67</f>
        <v>920</v>
      </c>
      <c r="G67" s="47"/>
      <c r="H67" s="39">
        <f t="shared" si="18"/>
        <v>920</v>
      </c>
      <c r="I67" s="40"/>
      <c r="J67" s="51">
        <f>+PAT!F34</f>
        <v>920</v>
      </c>
      <c r="K67" s="51">
        <f>+PAT!G34</f>
        <v>0</v>
      </c>
      <c r="L67" s="39">
        <f t="shared" si="19"/>
        <v>920</v>
      </c>
      <c r="M67" s="39"/>
      <c r="N67" s="39">
        <f>+L67+M67</f>
        <v>920</v>
      </c>
    </row>
    <row r="68" spans="1:14" x14ac:dyDescent="0.25">
      <c r="A68" s="40"/>
      <c r="B68" s="40" t="s">
        <v>46</v>
      </c>
      <c r="C68" s="40"/>
      <c r="D68" s="51">
        <f>+PAT!F59</f>
        <v>5257305.5599999996</v>
      </c>
      <c r="E68" s="51">
        <f>+PAT!G59</f>
        <v>1566076</v>
      </c>
      <c r="F68" s="39">
        <f t="shared" si="20"/>
        <v>6823381.5599999996</v>
      </c>
      <c r="G68" s="51">
        <f>+PAT!I59</f>
        <v>0</v>
      </c>
      <c r="H68" s="39">
        <f t="shared" si="18"/>
        <v>6823381.5599999996</v>
      </c>
      <c r="I68" s="40"/>
      <c r="J68" s="51">
        <f>+PAT!F48+PAT!F56</f>
        <v>4697751</v>
      </c>
      <c r="K68" s="51">
        <f>+PAT!G48+PAT!G56+PAT!G65-1</f>
        <v>1651249</v>
      </c>
      <c r="L68" s="39">
        <f t="shared" si="19"/>
        <v>6349000</v>
      </c>
      <c r="M68" s="39"/>
      <c r="N68" s="39">
        <f>+L68+M68</f>
        <v>6349000</v>
      </c>
    </row>
    <row r="69" spans="1:14" x14ac:dyDescent="0.25">
      <c r="A69" s="40"/>
      <c r="B69" s="40" t="s">
        <v>47</v>
      </c>
      <c r="C69" s="40"/>
      <c r="D69" s="159">
        <f>+PAT!F124</f>
        <v>41106066.449999988</v>
      </c>
      <c r="E69" s="159">
        <f>+PAT!G124</f>
        <v>2683535</v>
      </c>
      <c r="F69" s="39">
        <f t="shared" si="20"/>
        <v>43789601.449999988</v>
      </c>
      <c r="G69" s="159">
        <f>PAT!I124</f>
        <v>-11525237.18255</v>
      </c>
      <c r="H69" s="39">
        <f t="shared" si="18"/>
        <v>32264364.26744999</v>
      </c>
      <c r="I69" s="40"/>
      <c r="J69" s="51">
        <f>+PAT!F65+PAT!F72+PAT!F84+PAT!F115</f>
        <v>36135934</v>
      </c>
      <c r="K69" s="51">
        <f>+PAT!G72+PAT!G115+PAT!G84</f>
        <v>1584690</v>
      </c>
      <c r="L69" s="39">
        <f>+J69+K69</f>
        <v>37720624</v>
      </c>
      <c r="M69" s="39">
        <f>+PAT!I115</f>
        <v>-14609377.588252001</v>
      </c>
      <c r="N69" s="39">
        <f>+L69+M69</f>
        <v>23111246.411747999</v>
      </c>
    </row>
    <row r="70" spans="1:14" x14ac:dyDescent="0.25">
      <c r="A70" s="148" t="s">
        <v>48</v>
      </c>
      <c r="B70" s="40"/>
      <c r="C70" s="40"/>
      <c r="D70" s="48">
        <f>SUM(D66:D69)</f>
        <v>81406979.00999999</v>
      </c>
      <c r="E70" s="48">
        <f>SUM(E66:E69)</f>
        <v>17408913</v>
      </c>
      <c r="F70" s="48">
        <f>SUM(F66:F69)</f>
        <v>98815892.00999999</v>
      </c>
      <c r="G70" s="48">
        <f>SUM(G66:G69)</f>
        <v>-11525237.18255</v>
      </c>
      <c r="H70" s="48">
        <f>SUM(H66:H69)</f>
        <v>87290654.827449992</v>
      </c>
      <c r="I70" s="40"/>
      <c r="J70" s="48">
        <f>SUM(J66:J69)</f>
        <v>70841302</v>
      </c>
      <c r="K70" s="48">
        <f>SUM(K66:K69)</f>
        <v>14251502</v>
      </c>
      <c r="L70" s="48">
        <f t="shared" si="19"/>
        <v>85092804</v>
      </c>
      <c r="M70" s="48">
        <f>SUM(M66:M69)</f>
        <v>-14609377.588252001</v>
      </c>
      <c r="N70" s="48">
        <f>SUM(N66:N69)</f>
        <v>70483426.411747992</v>
      </c>
    </row>
    <row r="71" spans="1:14" x14ac:dyDescent="0.25">
      <c r="A71" s="148" t="s">
        <v>49</v>
      </c>
      <c r="B71" s="40"/>
      <c r="C71" s="40"/>
      <c r="D71" s="53">
        <f>+D70+D63</f>
        <v>201972536.00999999</v>
      </c>
      <c r="E71" s="53">
        <f>+E70+E63</f>
        <v>38106365</v>
      </c>
      <c r="F71" s="53">
        <f>+F70+F63</f>
        <v>240078901.00999999</v>
      </c>
      <c r="G71" s="53">
        <f>+G70+G63</f>
        <v>-32842250.182549998</v>
      </c>
      <c r="H71" s="53">
        <f>+H70+H63</f>
        <v>207236650.82744998</v>
      </c>
      <c r="I71" s="40"/>
      <c r="J71" s="53">
        <f>+J70+J63</f>
        <v>197414677</v>
      </c>
      <c r="K71" s="53">
        <f>+K70+K63</f>
        <v>26165735</v>
      </c>
      <c r="L71" s="53">
        <f t="shared" si="19"/>
        <v>223580412</v>
      </c>
      <c r="M71" s="53">
        <f>+M63+M70</f>
        <v>-24764395.588252001</v>
      </c>
      <c r="N71" s="53">
        <f>+N70+N63</f>
        <v>198816016.41174799</v>
      </c>
    </row>
    <row r="72" spans="1:14" s="170" customFormat="1" ht="11.25" x14ac:dyDescent="0.2">
      <c r="A72" s="168"/>
      <c r="B72" s="168"/>
      <c r="C72" s="168"/>
      <c r="D72" s="169">
        <f>+D71-D35</f>
        <v>-8.0000013113021851E-2</v>
      </c>
      <c r="E72" s="169">
        <f>+E71-E35</f>
        <v>0</v>
      </c>
      <c r="F72" s="169">
        <f>+F71-F35</f>
        <v>-8.0000013113021851E-2</v>
      </c>
      <c r="G72" s="169">
        <f>+G71-G35</f>
        <v>0.41514800488948822</v>
      </c>
      <c r="H72" s="169">
        <f>+H71-H35</f>
        <v>0.33514797687530518</v>
      </c>
      <c r="I72" s="168"/>
      <c r="J72" s="169">
        <f>+J71-J35</f>
        <v>0</v>
      </c>
      <c r="K72" s="169">
        <f>+K71-K35</f>
        <v>0</v>
      </c>
      <c r="L72" s="169">
        <f>+L71-L35</f>
        <v>0</v>
      </c>
      <c r="M72" s="169">
        <f>+M71-M35</f>
        <v>0</v>
      </c>
      <c r="N72" s="169">
        <f>+N71-N35</f>
        <v>0</v>
      </c>
    </row>
    <row r="73" spans="1:14" x14ac:dyDescent="0.25">
      <c r="G73" s="38"/>
    </row>
    <row r="74" spans="1:14" x14ac:dyDescent="0.25">
      <c r="G74" s="38"/>
    </row>
    <row r="76" spans="1:14" x14ac:dyDescent="0.25">
      <c r="D76" s="63" t="s">
        <v>261</v>
      </c>
      <c r="E76" s="63"/>
      <c r="F76" s="63"/>
    </row>
    <row r="77" spans="1:14" x14ac:dyDescent="0.25">
      <c r="D77" s="4" t="s">
        <v>262</v>
      </c>
      <c r="E77" s="4"/>
      <c r="F77" s="4"/>
    </row>
  </sheetData>
  <mergeCells count="1">
    <mergeCell ref="A21:C21"/>
  </mergeCells>
  <pageMargins left="0.7" right="0.7" top="0.75" bottom="0.75" header="0.3" footer="0.3"/>
  <pageSetup scale="70" orientation="landscape" r:id="rId1"/>
  <colBreaks count="1" manualBreakCount="1">
    <brk id="14" max="6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4"/>
  <sheetViews>
    <sheetView zoomScale="98" zoomScaleNormal="98" workbookViewId="0">
      <pane xSplit="3" ySplit="5" topLeftCell="D9" activePane="bottomRight" state="frozen"/>
      <selection pane="topRight" activeCell="D1" sqref="D1"/>
      <selection pane="bottomLeft" activeCell="A6" sqref="A6"/>
      <selection pane="bottomRight" activeCell="C34" sqref="C34"/>
    </sheetView>
  </sheetViews>
  <sheetFormatPr defaultColWidth="11.42578125" defaultRowHeight="15" outlineLevelRow="1" x14ac:dyDescent="0.25"/>
  <cols>
    <col min="1" max="1" width="2.7109375" customWidth="1"/>
    <col min="2" max="2" width="28.42578125" customWidth="1"/>
    <col min="3" max="3" width="7.140625" customWidth="1"/>
    <col min="4" max="4" width="13.42578125" customWidth="1"/>
    <col min="5" max="5" width="14.140625" customWidth="1"/>
    <col min="6" max="6" width="14.42578125" customWidth="1"/>
    <col min="7" max="7" width="14.140625" customWidth="1"/>
    <col min="8" max="8" width="15.5703125" customWidth="1"/>
    <col min="9" max="9" width="7.140625" customWidth="1"/>
    <col min="10" max="10" width="13.28515625" customWidth="1"/>
    <col min="11" max="11" width="13.140625" customWidth="1"/>
    <col min="12" max="12" width="13.28515625" customWidth="1"/>
    <col min="13" max="13" width="12.28515625" bestFit="1" customWidth="1"/>
    <col min="14" max="14" width="13.7109375" bestFit="1" customWidth="1"/>
    <col min="15" max="15" width="1.85546875" customWidth="1"/>
    <col min="16" max="16" width="12.7109375" customWidth="1"/>
    <col min="17" max="17" width="12.28515625" bestFit="1" customWidth="1"/>
    <col min="18" max="18" width="12.7109375" customWidth="1"/>
    <col min="19" max="19" width="12.28515625" bestFit="1" customWidth="1"/>
  </cols>
  <sheetData>
    <row r="1" spans="1:14" x14ac:dyDescent="0.25">
      <c r="A1" s="2" t="s">
        <v>0</v>
      </c>
    </row>
    <row r="2" spans="1:14" x14ac:dyDescent="0.25">
      <c r="A2" s="1" t="s">
        <v>149</v>
      </c>
    </row>
    <row r="3" spans="1:14" x14ac:dyDescent="0.25">
      <c r="A3" s="1" t="s">
        <v>312</v>
      </c>
      <c r="J3" s="62"/>
      <c r="K3" s="12"/>
      <c r="L3" s="12"/>
      <c r="M3" s="12"/>
      <c r="N3" s="12"/>
    </row>
    <row r="4" spans="1:14" x14ac:dyDescent="0.25">
      <c r="A4" s="3" t="s">
        <v>18</v>
      </c>
      <c r="D4" s="23"/>
      <c r="E4" s="14"/>
      <c r="F4" s="14"/>
      <c r="G4" s="103" t="s">
        <v>51</v>
      </c>
      <c r="H4" s="103">
        <v>2018</v>
      </c>
      <c r="J4" s="19"/>
      <c r="K4" s="15"/>
      <c r="L4" s="15"/>
      <c r="M4" s="16" t="s">
        <v>51</v>
      </c>
      <c r="N4" s="16">
        <v>2017</v>
      </c>
    </row>
    <row r="5" spans="1:14" x14ac:dyDescent="0.25">
      <c r="D5" s="25" t="s">
        <v>15</v>
      </c>
      <c r="E5" s="17" t="s">
        <v>16</v>
      </c>
      <c r="F5" s="17" t="s">
        <v>17</v>
      </c>
      <c r="G5" s="18" t="s">
        <v>150</v>
      </c>
      <c r="H5" s="17" t="s">
        <v>151</v>
      </c>
      <c r="J5" s="25" t="s">
        <v>15</v>
      </c>
      <c r="K5" s="17" t="s">
        <v>16</v>
      </c>
      <c r="L5" s="17" t="s">
        <v>17</v>
      </c>
      <c r="M5" s="18" t="s">
        <v>150</v>
      </c>
      <c r="N5" s="17" t="s">
        <v>151</v>
      </c>
    </row>
    <row r="6" spans="1:14" x14ac:dyDescent="0.25">
      <c r="D6" s="19"/>
      <c r="E6" s="15"/>
      <c r="F6" s="15"/>
      <c r="G6" s="15"/>
      <c r="H6" s="15"/>
      <c r="J6" s="19"/>
      <c r="K6" s="15"/>
      <c r="L6" s="15"/>
      <c r="M6" s="15"/>
      <c r="N6" s="15"/>
    </row>
    <row r="7" spans="1:14" x14ac:dyDescent="0.25">
      <c r="A7" t="s">
        <v>52</v>
      </c>
      <c r="D7" s="19">
        <v>159047272.44999999</v>
      </c>
      <c r="E7" s="19">
        <v>102550885</v>
      </c>
      <c r="F7" s="19">
        <f t="shared" ref="F7:F8" si="0">+D7+E7</f>
        <v>261598157.44999999</v>
      </c>
      <c r="G7" s="19">
        <f>-AD!G7-AD!G21</f>
        <v>-74964912</v>
      </c>
      <c r="H7" s="19">
        <f>+F7+G7</f>
        <v>186633245.44999999</v>
      </c>
      <c r="J7" s="19">
        <v>152924768</v>
      </c>
      <c r="K7" s="19">
        <v>73699302</v>
      </c>
      <c r="L7" s="19">
        <f>+J7+K7</f>
        <v>226624070</v>
      </c>
      <c r="M7" s="19">
        <f>-AD!I7-AD!I21</f>
        <v>-52109713</v>
      </c>
      <c r="N7" s="19">
        <f>+L7+M7</f>
        <v>174514357</v>
      </c>
    </row>
    <row r="8" spans="1:14" x14ac:dyDescent="0.25">
      <c r="A8" t="s">
        <v>53</v>
      </c>
      <c r="D8" s="19">
        <v>-103569767</v>
      </c>
      <c r="E8" s="19">
        <v>-78484726</v>
      </c>
      <c r="F8" s="19">
        <f t="shared" si="0"/>
        <v>-182054493</v>
      </c>
      <c r="G8" s="19">
        <f>+AD!H9+AD!H23+AD!H41+AD!H50</f>
        <v>78864082</v>
      </c>
      <c r="H8" s="19">
        <f>+F8+G8</f>
        <v>-103190411</v>
      </c>
      <c r="J8" s="19">
        <v>-71809934</v>
      </c>
      <c r="K8" s="19">
        <v>-55517093</v>
      </c>
      <c r="L8" s="19">
        <f>+J8+K8</f>
        <v>-127327027</v>
      </c>
      <c r="M8" s="19">
        <f>+AD!J9+AD!J23+AD!J41</f>
        <v>53367742</v>
      </c>
      <c r="N8" s="19">
        <f>+L8+M8</f>
        <v>-73959285</v>
      </c>
    </row>
    <row r="9" spans="1:14" x14ac:dyDescent="0.25">
      <c r="A9" t="s">
        <v>54</v>
      </c>
      <c r="D9" s="20">
        <f>+D7+D8</f>
        <v>55477505.449999988</v>
      </c>
      <c r="E9" s="20">
        <f>+E7+E8</f>
        <v>24066159</v>
      </c>
      <c r="F9" s="20">
        <f>+F7+F8</f>
        <v>79543664.449999988</v>
      </c>
      <c r="G9" s="20">
        <f>+G7+G8</f>
        <v>3899170</v>
      </c>
      <c r="H9" s="20">
        <f>+H7+H8</f>
        <v>83442834.449999988</v>
      </c>
      <c r="J9" s="20">
        <f>+J7+J8</f>
        <v>81114834</v>
      </c>
      <c r="K9" s="20">
        <f>+K7+K8</f>
        <v>18182209</v>
      </c>
      <c r="L9" s="20">
        <f>+L7+L8</f>
        <v>99297043</v>
      </c>
      <c r="M9" s="20">
        <f>+M7+M8</f>
        <v>1258029</v>
      </c>
      <c r="N9" s="20">
        <f>+N7+N8</f>
        <v>100555072</v>
      </c>
    </row>
    <row r="10" spans="1:14" x14ac:dyDescent="0.25">
      <c r="D10" s="19"/>
      <c r="E10" s="19"/>
      <c r="F10" s="19"/>
      <c r="G10" s="19"/>
      <c r="H10" s="19"/>
      <c r="J10" s="19"/>
      <c r="K10" s="19"/>
      <c r="L10" s="19"/>
      <c r="M10" s="19"/>
      <c r="N10" s="19"/>
    </row>
    <row r="11" spans="1:14" x14ac:dyDescent="0.25">
      <c r="A11" t="s">
        <v>207</v>
      </c>
      <c r="D11" s="27"/>
      <c r="E11" s="27"/>
      <c r="F11" s="27"/>
      <c r="G11" s="27"/>
      <c r="H11" s="27">
        <f t="shared" ref="H11:H26" si="1">+F11+G11</f>
        <v>0</v>
      </c>
      <c r="J11" s="19">
        <v>-63291970</v>
      </c>
      <c r="K11" s="19">
        <v>-14726048</v>
      </c>
      <c r="L11" s="19">
        <f>+J11+K11</f>
        <v>-78018018</v>
      </c>
      <c r="M11" s="19"/>
      <c r="N11" s="27">
        <f t="shared" ref="N11:N26" si="2">+L11+M11</f>
        <v>-78018018</v>
      </c>
    </row>
    <row r="12" spans="1:14" hidden="1" outlineLevel="1" x14ac:dyDescent="0.25">
      <c r="A12" t="s">
        <v>60</v>
      </c>
      <c r="D12" s="19"/>
      <c r="E12" s="19"/>
      <c r="F12" s="19"/>
      <c r="G12" s="19"/>
      <c r="H12" s="19">
        <f t="shared" si="1"/>
        <v>0</v>
      </c>
      <c r="J12" s="19"/>
      <c r="K12" s="19"/>
      <c r="L12" s="19">
        <f t="shared" ref="L12:L25" si="3">+J12+K12</f>
        <v>0</v>
      </c>
      <c r="M12" s="19"/>
      <c r="N12" s="19">
        <f t="shared" si="2"/>
        <v>0</v>
      </c>
    </row>
    <row r="13" spans="1:14" hidden="1" outlineLevel="1" x14ac:dyDescent="0.25">
      <c r="A13" t="s">
        <v>65</v>
      </c>
      <c r="D13" s="19"/>
      <c r="E13" s="19"/>
      <c r="F13" s="19"/>
      <c r="G13" s="19"/>
      <c r="H13" s="19">
        <f t="shared" si="1"/>
        <v>0</v>
      </c>
      <c r="J13" s="19"/>
      <c r="K13" s="19"/>
      <c r="L13" s="19">
        <f t="shared" si="3"/>
        <v>0</v>
      </c>
      <c r="M13" s="19"/>
      <c r="N13" s="19">
        <f t="shared" si="2"/>
        <v>0</v>
      </c>
    </row>
    <row r="14" spans="1:14" hidden="1" outlineLevel="1" x14ac:dyDescent="0.25">
      <c r="A14" t="s">
        <v>62</v>
      </c>
      <c r="D14" s="19"/>
      <c r="E14" s="19"/>
      <c r="F14" s="19"/>
      <c r="G14" s="19"/>
      <c r="H14" s="19">
        <f t="shared" si="1"/>
        <v>0</v>
      </c>
      <c r="J14" s="19"/>
      <c r="K14" s="19"/>
      <c r="L14" s="19">
        <f t="shared" si="3"/>
        <v>0</v>
      </c>
      <c r="M14" s="19"/>
      <c r="N14" s="19">
        <f t="shared" si="2"/>
        <v>0</v>
      </c>
    </row>
    <row r="15" spans="1:14" hidden="1" outlineLevel="1" x14ac:dyDescent="0.25">
      <c r="A15" t="s">
        <v>61</v>
      </c>
      <c r="D15" s="19"/>
      <c r="E15" s="19"/>
      <c r="F15" s="19"/>
      <c r="G15" s="19"/>
      <c r="H15" s="19">
        <f t="shared" si="1"/>
        <v>0</v>
      </c>
      <c r="J15" s="19"/>
      <c r="K15" s="19"/>
      <c r="L15" s="19">
        <f t="shared" si="3"/>
        <v>0</v>
      </c>
      <c r="M15" s="19"/>
      <c r="N15" s="19">
        <f t="shared" si="2"/>
        <v>0</v>
      </c>
    </row>
    <row r="16" spans="1:14" hidden="1" outlineLevel="1" x14ac:dyDescent="0.25">
      <c r="A16" t="s">
        <v>100</v>
      </c>
      <c r="D16" s="19"/>
      <c r="E16" s="19"/>
      <c r="F16" s="19"/>
      <c r="G16" s="19"/>
      <c r="H16" s="19">
        <f t="shared" si="1"/>
        <v>0</v>
      </c>
      <c r="J16" s="19"/>
      <c r="K16" s="19"/>
      <c r="L16" s="19">
        <f t="shared" si="3"/>
        <v>0</v>
      </c>
      <c r="M16" s="19"/>
      <c r="N16" s="19">
        <f t="shared" si="2"/>
        <v>0</v>
      </c>
    </row>
    <row r="17" spans="1:14" hidden="1" outlineLevel="1" x14ac:dyDescent="0.25">
      <c r="A17" t="s">
        <v>64</v>
      </c>
      <c r="D17" s="19"/>
      <c r="E17" s="19"/>
      <c r="F17" s="19"/>
      <c r="G17" s="19"/>
      <c r="H17" s="19">
        <f t="shared" si="1"/>
        <v>0</v>
      </c>
      <c r="J17" s="19"/>
      <c r="K17" s="19"/>
      <c r="L17" s="19">
        <f t="shared" si="3"/>
        <v>0</v>
      </c>
      <c r="M17" s="19"/>
      <c r="N17" s="19">
        <f t="shared" si="2"/>
        <v>0</v>
      </c>
    </row>
    <row r="18" spans="1:14" hidden="1" outlineLevel="1" x14ac:dyDescent="0.25">
      <c r="A18" t="s">
        <v>63</v>
      </c>
      <c r="D18" s="19"/>
      <c r="E18" s="19"/>
      <c r="F18" s="19"/>
      <c r="G18" s="19"/>
      <c r="H18" s="19">
        <f t="shared" si="1"/>
        <v>0</v>
      </c>
      <c r="J18" s="19"/>
      <c r="K18" s="19"/>
      <c r="L18" s="19">
        <f t="shared" si="3"/>
        <v>0</v>
      </c>
      <c r="M18" s="19"/>
      <c r="N18" s="19">
        <f t="shared" si="2"/>
        <v>0</v>
      </c>
    </row>
    <row r="19" spans="1:14" hidden="1" outlineLevel="1" x14ac:dyDescent="0.25">
      <c r="A19" t="s">
        <v>67</v>
      </c>
      <c r="D19" s="19"/>
      <c r="E19" s="19"/>
      <c r="F19" s="19"/>
      <c r="G19" s="19"/>
      <c r="H19" s="19">
        <f t="shared" si="1"/>
        <v>0</v>
      </c>
      <c r="J19" s="19"/>
      <c r="K19" s="19"/>
      <c r="L19" s="19">
        <f t="shared" si="3"/>
        <v>0</v>
      </c>
      <c r="M19" s="19"/>
      <c r="N19" s="19">
        <f t="shared" si="2"/>
        <v>0</v>
      </c>
    </row>
    <row r="20" spans="1:14" hidden="1" outlineLevel="1" x14ac:dyDescent="0.25">
      <c r="A20" t="s">
        <v>66</v>
      </c>
      <c r="D20" s="19"/>
      <c r="E20" s="19"/>
      <c r="F20" s="19"/>
      <c r="G20" s="19"/>
      <c r="H20" s="19">
        <f t="shared" si="1"/>
        <v>0</v>
      </c>
      <c r="J20" s="19"/>
      <c r="K20" s="19"/>
      <c r="L20" s="19">
        <f t="shared" si="3"/>
        <v>0</v>
      </c>
      <c r="M20" s="19"/>
      <c r="N20" s="19">
        <f t="shared" si="2"/>
        <v>0</v>
      </c>
    </row>
    <row r="21" spans="1:14" hidden="1" outlineLevel="1" x14ac:dyDescent="0.25">
      <c r="A21" t="s">
        <v>69</v>
      </c>
      <c r="D21" s="19"/>
      <c r="E21" s="19"/>
      <c r="F21" s="19"/>
      <c r="G21" s="19"/>
      <c r="H21" s="19">
        <f t="shared" si="1"/>
        <v>0</v>
      </c>
      <c r="J21" s="19"/>
      <c r="K21" s="19"/>
      <c r="L21" s="19">
        <f t="shared" si="3"/>
        <v>0</v>
      </c>
      <c r="M21" s="19"/>
      <c r="N21" s="19">
        <f t="shared" si="2"/>
        <v>0</v>
      </c>
    </row>
    <row r="22" spans="1:14" hidden="1" outlineLevel="1" x14ac:dyDescent="0.25">
      <c r="A22" t="s">
        <v>70</v>
      </c>
      <c r="D22" s="19"/>
      <c r="E22" s="19"/>
      <c r="F22" s="19"/>
      <c r="G22" s="19"/>
      <c r="H22" s="19">
        <f t="shared" si="1"/>
        <v>0</v>
      </c>
      <c r="J22" s="19"/>
      <c r="K22" s="19"/>
      <c r="L22" s="19">
        <f t="shared" si="3"/>
        <v>0</v>
      </c>
      <c r="M22" s="19"/>
      <c r="N22" s="19">
        <f t="shared" si="2"/>
        <v>0</v>
      </c>
    </row>
    <row r="23" spans="1:14" hidden="1" outlineLevel="1" x14ac:dyDescent="0.25">
      <c r="A23" t="s">
        <v>68</v>
      </c>
      <c r="D23" s="19"/>
      <c r="E23" s="19"/>
      <c r="F23" s="19"/>
      <c r="G23" s="19"/>
      <c r="H23" s="19">
        <f t="shared" si="1"/>
        <v>0</v>
      </c>
      <c r="J23" s="19"/>
      <c r="K23" s="19"/>
      <c r="L23" s="19">
        <f t="shared" si="3"/>
        <v>0</v>
      </c>
      <c r="M23" s="19"/>
      <c r="N23" s="19">
        <f t="shared" si="2"/>
        <v>0</v>
      </c>
    </row>
    <row r="24" spans="1:14" hidden="1" outlineLevel="1" x14ac:dyDescent="0.25">
      <c r="A24" t="s">
        <v>71</v>
      </c>
      <c r="D24" s="19"/>
      <c r="E24" s="19"/>
      <c r="F24" s="19"/>
      <c r="G24" s="19"/>
      <c r="H24" s="19">
        <f t="shared" si="1"/>
        <v>0</v>
      </c>
      <c r="J24" s="19"/>
      <c r="K24" s="19"/>
      <c r="L24" s="19">
        <f t="shared" si="3"/>
        <v>0</v>
      </c>
      <c r="M24" s="19"/>
      <c r="N24" s="19">
        <f t="shared" si="2"/>
        <v>0</v>
      </c>
    </row>
    <row r="25" spans="1:14" collapsed="1" x14ac:dyDescent="0.25">
      <c r="A25" t="s">
        <v>72</v>
      </c>
      <c r="D25" s="19">
        <f>-34477490-2404929</f>
        <v>-36882419</v>
      </c>
      <c r="E25" s="23">
        <f>-4893753-14017203</f>
        <v>-18910956</v>
      </c>
      <c r="F25" s="19">
        <f t="shared" ref="F25" si="4">+D25+E25</f>
        <v>-55793375</v>
      </c>
      <c r="G25" s="23"/>
      <c r="H25" s="19">
        <f t="shared" si="1"/>
        <v>-55793375</v>
      </c>
      <c r="J25" s="23">
        <f>J11</f>
        <v>-63291970</v>
      </c>
      <c r="K25" s="23">
        <f>K11</f>
        <v>-14726048</v>
      </c>
      <c r="L25" s="23">
        <f t="shared" si="3"/>
        <v>-78018018</v>
      </c>
      <c r="M25" s="23">
        <f>SUM(M12:M24)</f>
        <v>0</v>
      </c>
      <c r="N25" s="19">
        <f t="shared" si="2"/>
        <v>-78018018</v>
      </c>
    </row>
    <row r="26" spans="1:14" x14ac:dyDescent="0.25">
      <c r="D26" s="19"/>
      <c r="E26" s="19"/>
      <c r="F26" s="19"/>
      <c r="G26" s="19"/>
      <c r="H26" s="19">
        <f t="shared" si="1"/>
        <v>0</v>
      </c>
      <c r="J26" s="19"/>
      <c r="K26" s="19"/>
      <c r="L26" s="19"/>
      <c r="M26" s="19"/>
      <c r="N26" s="19">
        <f t="shared" si="2"/>
        <v>0</v>
      </c>
    </row>
    <row r="27" spans="1:14" hidden="1" x14ac:dyDescent="0.25">
      <c r="A27" t="s">
        <v>59</v>
      </c>
      <c r="D27" s="40"/>
      <c r="E27" s="39"/>
      <c r="F27" s="19">
        <f t="shared" ref="F27:F28" si="5">+D27+E27</f>
        <v>0</v>
      </c>
      <c r="G27" s="19"/>
      <c r="H27" s="19">
        <f>+F27+G27</f>
        <v>0</v>
      </c>
      <c r="J27" s="40"/>
      <c r="K27" s="39"/>
      <c r="L27" s="19">
        <f>+J27+K27</f>
        <v>0</v>
      </c>
      <c r="M27" s="19"/>
      <c r="N27" s="19">
        <f>+L27+M27</f>
        <v>0</v>
      </c>
    </row>
    <row r="28" spans="1:14" x14ac:dyDescent="0.25">
      <c r="A28" t="s">
        <v>279</v>
      </c>
      <c r="D28" s="19">
        <v>-1477407</v>
      </c>
      <c r="E28" s="39">
        <v>377387</v>
      </c>
      <c r="F28" s="19">
        <f t="shared" si="5"/>
        <v>-1100020</v>
      </c>
      <c r="G28" s="19">
        <f>+AD!H15-AD!G35</f>
        <v>-259633</v>
      </c>
      <c r="H28" s="19">
        <f>+F28+G28</f>
        <v>-1359653</v>
      </c>
      <c r="J28" s="39">
        <v>-3618624</v>
      </c>
      <c r="K28" s="39">
        <f>-85300+344362</f>
        <v>259062</v>
      </c>
      <c r="L28" s="19">
        <f>+J28+K28</f>
        <v>-3359562</v>
      </c>
      <c r="M28" s="39">
        <f>-AD!I15</f>
        <v>-12940</v>
      </c>
      <c r="N28" s="19">
        <f>+L28+M28</f>
        <v>-3372502</v>
      </c>
    </row>
    <row r="29" spans="1:14" x14ac:dyDescent="0.25">
      <c r="A29" t="s">
        <v>55</v>
      </c>
      <c r="D29" s="20">
        <f>+D9+D25+D27+D28</f>
        <v>17117679.449999988</v>
      </c>
      <c r="E29" s="20">
        <f>+E9+E25+E27+E28</f>
        <v>5532590</v>
      </c>
      <c r="F29" s="20">
        <f>+D29+E29</f>
        <v>22650269.449999988</v>
      </c>
      <c r="G29" s="20">
        <f>+G9+G25+G27+G28</f>
        <v>3639537</v>
      </c>
      <c r="H29" s="20">
        <f>+F29+G29</f>
        <v>26289806.449999988</v>
      </c>
      <c r="J29" s="20">
        <f>+J9+J25+J27+J28</f>
        <v>14204240</v>
      </c>
      <c r="K29" s="20">
        <f>+K9+K25+K27+K28</f>
        <v>3715223</v>
      </c>
      <c r="L29" s="20">
        <f>+L9+L25+L27+L28</f>
        <v>17919463</v>
      </c>
      <c r="M29" s="20">
        <f>+M9+M25+M27+M28</f>
        <v>1245089</v>
      </c>
      <c r="N29" s="20">
        <f>+N9+N25+N27+N28</f>
        <v>19164552</v>
      </c>
    </row>
    <row r="30" spans="1:14" x14ac:dyDescent="0.25">
      <c r="D30" s="19"/>
      <c r="E30" s="19"/>
      <c r="F30" s="19"/>
      <c r="G30" s="19"/>
      <c r="H30" s="19"/>
      <c r="J30" s="19"/>
      <c r="K30" s="19"/>
      <c r="L30" s="19"/>
      <c r="M30" s="19"/>
      <c r="N30" s="19"/>
    </row>
    <row r="31" spans="1:14" x14ac:dyDescent="0.25">
      <c r="A31" t="s">
        <v>56</v>
      </c>
      <c r="D31" s="19">
        <v>-3489748</v>
      </c>
      <c r="E31" s="19">
        <v>-317180</v>
      </c>
      <c r="F31" s="19">
        <f>+D31+E31</f>
        <v>-3806928</v>
      </c>
      <c r="G31" s="19"/>
      <c r="H31" s="19">
        <f>+F31+G31</f>
        <v>-3806928</v>
      </c>
      <c r="J31" s="19">
        <v>-5186848</v>
      </c>
      <c r="K31" s="19">
        <v>-445202</v>
      </c>
      <c r="L31" s="19">
        <f>+J31+K31</f>
        <v>-5632050</v>
      </c>
      <c r="M31" s="19"/>
      <c r="N31" s="19">
        <f>+L31+M31</f>
        <v>-5632050</v>
      </c>
    </row>
    <row r="32" spans="1:14" x14ac:dyDescent="0.25">
      <c r="A32" t="s">
        <v>57</v>
      </c>
      <c r="D32" s="20">
        <f>+D29+D31</f>
        <v>13627931.449999988</v>
      </c>
      <c r="E32" s="20">
        <f>+E29+E31</f>
        <v>5215410</v>
      </c>
      <c r="F32" s="20">
        <f>+F29+F31</f>
        <v>18843341.449999988</v>
      </c>
      <c r="G32" s="20">
        <f>+G29+G31</f>
        <v>3639537</v>
      </c>
      <c r="H32" s="20">
        <f>+H29+H31</f>
        <v>22482878.449999988</v>
      </c>
      <c r="J32" s="20">
        <f>+J29+J31</f>
        <v>9017392</v>
      </c>
      <c r="K32" s="20">
        <f>+K29+K31</f>
        <v>3270021</v>
      </c>
      <c r="L32" s="20">
        <f>+L29+L31</f>
        <v>12287413</v>
      </c>
      <c r="M32" s="20">
        <f>+M29+M31</f>
        <v>1245089</v>
      </c>
      <c r="N32" s="20">
        <f>+N29+N31</f>
        <v>13532502</v>
      </c>
    </row>
    <row r="33" spans="1:15" x14ac:dyDescent="0.25">
      <c r="D33" s="19"/>
      <c r="E33" s="19"/>
      <c r="F33" s="19"/>
      <c r="G33" s="19"/>
      <c r="H33" s="19"/>
      <c r="J33" s="19"/>
      <c r="K33" s="19"/>
      <c r="L33" s="19"/>
      <c r="M33" s="19"/>
      <c r="N33" s="19"/>
    </row>
    <row r="34" spans="1:15" x14ac:dyDescent="0.25">
      <c r="A34" t="s">
        <v>346</v>
      </c>
      <c r="D34" s="19">
        <v>-4237903</v>
      </c>
      <c r="E34" s="19">
        <v>-1467605</v>
      </c>
      <c r="F34" s="19">
        <f>+D34+E34</f>
        <v>-5705508</v>
      </c>
      <c r="G34" s="19">
        <f>+AD!H62+AD!H57</f>
        <v>-555396.59429799998</v>
      </c>
      <c r="H34" s="39">
        <f>+F34+G34</f>
        <v>-6260904.5942979995</v>
      </c>
      <c r="J34" s="19">
        <v>-3550763</v>
      </c>
      <c r="K34" s="19">
        <v>-676345</v>
      </c>
      <c r="L34" s="19">
        <f>+J34+K34</f>
        <v>-4227108</v>
      </c>
      <c r="M34" s="39">
        <f>AD!J62</f>
        <v>591847.41514800023</v>
      </c>
      <c r="N34" s="39">
        <f>+L34+M34</f>
        <v>-3635260.5848519998</v>
      </c>
    </row>
    <row r="35" spans="1:15" x14ac:dyDescent="0.25">
      <c r="A35" t="s">
        <v>58</v>
      </c>
      <c r="D35" s="20">
        <f>+D32+D34</f>
        <v>9390028.4499999881</v>
      </c>
      <c r="E35" s="20">
        <f>+E32+E34</f>
        <v>3747805</v>
      </c>
      <c r="F35" s="20">
        <f>+F32+F34</f>
        <v>13137833.449999988</v>
      </c>
      <c r="G35" s="20">
        <f>+G32+G34</f>
        <v>3084140.405702</v>
      </c>
      <c r="H35" s="20">
        <f>+H32+H34</f>
        <v>16221973.855701989</v>
      </c>
      <c r="J35" s="20">
        <f>+J32+J34</f>
        <v>5466629</v>
      </c>
      <c r="K35" s="20">
        <f>+K32+K34</f>
        <v>2593676</v>
      </c>
      <c r="L35" s="20">
        <f>+L32+L34</f>
        <v>8060305</v>
      </c>
      <c r="M35" s="20">
        <f>+M32+M34</f>
        <v>1836936.4151480002</v>
      </c>
      <c r="N35" s="20">
        <f>+N32+N34</f>
        <v>9897241.4151480012</v>
      </c>
    </row>
    <row r="36" spans="1:15" x14ac:dyDescent="0.25">
      <c r="D36" s="113"/>
      <c r="E36" s="113"/>
      <c r="F36" s="113"/>
      <c r="G36" s="113"/>
      <c r="H36" s="113"/>
      <c r="J36" s="113"/>
      <c r="K36" s="113"/>
      <c r="L36" s="113"/>
      <c r="M36" s="113"/>
      <c r="N36" s="113"/>
    </row>
    <row r="37" spans="1:15" x14ac:dyDescent="0.25">
      <c r="A37" t="s">
        <v>145</v>
      </c>
      <c r="D37" s="19"/>
      <c r="E37" s="19"/>
      <c r="F37" s="19"/>
      <c r="G37" s="19"/>
      <c r="H37" s="19"/>
      <c r="J37" s="19"/>
      <c r="K37" s="19"/>
      <c r="L37" s="19"/>
      <c r="M37" s="19"/>
      <c r="N37" s="19"/>
    </row>
    <row r="38" spans="1:15" ht="28.9" customHeight="1" x14ac:dyDescent="0.25">
      <c r="A38" s="182" t="s">
        <v>236</v>
      </c>
      <c r="B38" s="182"/>
      <c r="C38" s="183"/>
      <c r="D38" s="19">
        <v>70086</v>
      </c>
      <c r="E38" s="19">
        <v>-16606</v>
      </c>
      <c r="F38" s="19">
        <f>+D38+E38</f>
        <v>53480</v>
      </c>
      <c r="G38" s="15"/>
      <c r="H38" s="19">
        <f>+F38+G38</f>
        <v>53480</v>
      </c>
      <c r="I38" s="97"/>
      <c r="J38" s="19">
        <v>1849659</v>
      </c>
      <c r="K38" s="19">
        <v>-26254</v>
      </c>
      <c r="L38" s="19">
        <f>+J38+K38</f>
        <v>1823405</v>
      </c>
      <c r="M38" s="15"/>
      <c r="N38" s="19">
        <f>+L38+M38</f>
        <v>1823405</v>
      </c>
      <c r="O38" s="10"/>
    </row>
    <row r="39" spans="1:15" x14ac:dyDescent="0.25">
      <c r="A39" t="s">
        <v>58</v>
      </c>
      <c r="D39" s="31">
        <f t="shared" ref="D39" si="6">+D35+D38</f>
        <v>9460114.4499999881</v>
      </c>
      <c r="E39" s="20">
        <f>+E35+E38</f>
        <v>3731199</v>
      </c>
      <c r="F39" s="20">
        <f>+F35+F38</f>
        <v>13191313.449999988</v>
      </c>
      <c r="G39" s="20">
        <f>+G35+G38</f>
        <v>3084140.405702</v>
      </c>
      <c r="H39" s="20">
        <f>+H35+H38</f>
        <v>16275453.855701989</v>
      </c>
      <c r="J39" s="31">
        <f t="shared" ref="J39:O39" si="7">+J35+J38</f>
        <v>7316288</v>
      </c>
      <c r="K39" s="20">
        <f t="shared" si="7"/>
        <v>2567422</v>
      </c>
      <c r="L39" s="20">
        <f t="shared" si="7"/>
        <v>9883710</v>
      </c>
      <c r="M39" s="20">
        <f t="shared" si="7"/>
        <v>1836936.4151480002</v>
      </c>
      <c r="N39" s="20">
        <f t="shared" si="7"/>
        <v>11720646.415148001</v>
      </c>
      <c r="O39" s="19">
        <f t="shared" si="7"/>
        <v>0</v>
      </c>
    </row>
    <row r="40" spans="1:15" x14ac:dyDescent="0.25">
      <c r="D40" s="80"/>
      <c r="E40" s="112"/>
      <c r="O40" s="10"/>
    </row>
    <row r="41" spans="1:15" x14ac:dyDescent="0.25">
      <c r="D41" s="81"/>
      <c r="E41" s="38"/>
      <c r="G41" s="172"/>
      <c r="H41" s="172"/>
      <c r="O41" s="10"/>
    </row>
    <row r="43" spans="1:15" x14ac:dyDescent="0.25">
      <c r="D43" s="63" t="s">
        <v>261</v>
      </c>
      <c r="E43" s="7"/>
      <c r="F43" s="7"/>
      <c r="J43" s="63" t="s">
        <v>261</v>
      </c>
      <c r="K43" s="7"/>
      <c r="L43" s="7"/>
    </row>
    <row r="44" spans="1:15" x14ac:dyDescent="0.25">
      <c r="D44" s="4" t="s">
        <v>262</v>
      </c>
      <c r="J44" s="4" t="s">
        <v>262</v>
      </c>
    </row>
  </sheetData>
  <mergeCells count="1">
    <mergeCell ref="A38:C38"/>
  </mergeCells>
  <pageMargins left="0.7" right="0.7" top="0.75" bottom="0.75" header="0.3" footer="0.3"/>
  <pageSetup scale="88" orientation="portrait" r:id="rId1"/>
  <colBreaks count="1" manualBreakCount="1">
    <brk id="14" max="3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zoomScaleNormal="100" workbookViewId="0">
      <pane xSplit="4" ySplit="5" topLeftCell="E59" activePane="bottomRight" state="frozen"/>
      <selection pane="topRight" activeCell="E1" sqref="E1"/>
      <selection pane="bottomLeft" activeCell="A6" sqref="A6"/>
      <selection pane="bottomRight" activeCell="D68" sqref="D68"/>
    </sheetView>
  </sheetViews>
  <sheetFormatPr defaultColWidth="11.42578125" defaultRowHeight="15" x14ac:dyDescent="0.25"/>
  <cols>
    <col min="1" max="1" width="1.28515625" customWidth="1"/>
    <col min="2" max="2" width="1.5703125" customWidth="1"/>
    <col min="3" max="3" width="21.42578125" customWidth="1"/>
    <col min="4" max="4" width="30.7109375" customWidth="1"/>
    <col min="5" max="5" width="12.42578125" style="40" customWidth="1"/>
    <col min="6" max="6" width="14.140625" bestFit="1" customWidth="1"/>
    <col min="7" max="7" width="12.7109375" customWidth="1"/>
    <col min="8" max="8" width="12.5703125" customWidth="1"/>
    <col min="9" max="9" width="12.28515625" customWidth="1"/>
    <col min="10" max="10" width="2.5703125" customWidth="1"/>
    <col min="11" max="11" width="12.28515625" style="4" customWidth="1"/>
    <col min="12" max="12" width="14.140625" style="4" bestFit="1" customWidth="1"/>
    <col min="13" max="13" width="12.7109375" customWidth="1"/>
    <col min="14" max="14" width="12.140625" style="40" bestFit="1" customWidth="1"/>
    <col min="15" max="15" width="12.140625" bestFit="1" customWidth="1"/>
    <col min="16" max="16" width="3" customWidth="1"/>
  </cols>
  <sheetData>
    <row r="1" spans="1:15" x14ac:dyDescent="0.25">
      <c r="A1" s="2" t="s">
        <v>0</v>
      </c>
    </row>
    <row r="2" spans="1:15" x14ac:dyDescent="0.25">
      <c r="A2" s="1" t="s">
        <v>155</v>
      </c>
      <c r="F2" s="4"/>
    </row>
    <row r="3" spans="1:15" x14ac:dyDescent="0.25">
      <c r="A3" s="1" t="s">
        <v>312</v>
      </c>
      <c r="E3" s="49"/>
      <c r="F3" s="23"/>
      <c r="G3" s="14"/>
      <c r="H3" s="74"/>
      <c r="I3" s="14"/>
      <c r="K3" s="23"/>
      <c r="L3" s="23"/>
      <c r="M3" s="14"/>
      <c r="N3" s="74"/>
      <c r="O3" s="14"/>
    </row>
    <row r="4" spans="1:15" x14ac:dyDescent="0.25">
      <c r="A4" s="3" t="s">
        <v>18</v>
      </c>
      <c r="E4" s="39"/>
      <c r="F4" s="19"/>
      <c r="G4" s="15"/>
      <c r="H4" s="90" t="s">
        <v>51</v>
      </c>
      <c r="I4" s="16">
        <v>2018</v>
      </c>
      <c r="K4" s="19"/>
      <c r="L4" s="19"/>
      <c r="M4" s="15"/>
      <c r="N4" s="90" t="s">
        <v>51</v>
      </c>
      <c r="O4" s="16">
        <v>2017</v>
      </c>
    </row>
    <row r="5" spans="1:15" x14ac:dyDescent="0.25">
      <c r="E5" s="173" t="s">
        <v>15</v>
      </c>
      <c r="F5" s="25" t="s">
        <v>16</v>
      </c>
      <c r="G5" s="17" t="s">
        <v>17</v>
      </c>
      <c r="H5" s="91" t="s">
        <v>152</v>
      </c>
      <c r="I5" s="17" t="s">
        <v>151</v>
      </c>
      <c r="K5" s="25" t="s">
        <v>15</v>
      </c>
      <c r="L5" s="25" t="s">
        <v>16</v>
      </c>
      <c r="M5" s="17" t="s">
        <v>17</v>
      </c>
      <c r="N5" s="91" t="s">
        <v>152</v>
      </c>
      <c r="O5" s="17" t="s">
        <v>151</v>
      </c>
    </row>
    <row r="6" spans="1:15" x14ac:dyDescent="0.25">
      <c r="E6" s="39"/>
      <c r="F6" s="19"/>
      <c r="G6" s="15"/>
      <c r="H6" s="47"/>
      <c r="I6" s="15"/>
      <c r="K6" s="19"/>
      <c r="L6" s="19"/>
      <c r="M6" s="15"/>
      <c r="N6" s="47"/>
      <c r="O6" s="15"/>
    </row>
    <row r="7" spans="1:15" x14ac:dyDescent="0.25">
      <c r="B7" s="34" t="s">
        <v>101</v>
      </c>
      <c r="C7" s="7"/>
      <c r="D7" s="8"/>
      <c r="E7" s="39"/>
      <c r="F7" s="19"/>
      <c r="G7" s="19"/>
      <c r="H7" s="39"/>
      <c r="I7" s="19"/>
      <c r="J7" s="11"/>
      <c r="K7" s="19"/>
      <c r="L7" s="19"/>
      <c r="M7" s="19"/>
      <c r="N7" s="39"/>
      <c r="O7" s="19"/>
    </row>
    <row r="8" spans="1:15" x14ac:dyDescent="0.25">
      <c r="B8" s="35" t="s">
        <v>102</v>
      </c>
      <c r="C8" s="10"/>
      <c r="D8" s="11"/>
      <c r="E8" s="39">
        <f>ER!D32</f>
        <v>13627931.449999988</v>
      </c>
      <c r="F8" s="19">
        <v>5215409</v>
      </c>
      <c r="G8" s="19">
        <f>+E8+F8</f>
        <v>18843340.449999988</v>
      </c>
      <c r="H8" s="39">
        <f>+ER!G32</f>
        <v>3639537</v>
      </c>
      <c r="I8" s="19">
        <f>+G8+H8</f>
        <v>22482877.449999988</v>
      </c>
      <c r="J8" s="11"/>
      <c r="K8" s="19">
        <f>10608696-1591304</f>
        <v>9017392</v>
      </c>
      <c r="L8" s="19">
        <v>3270021</v>
      </c>
      <c r="M8" s="19">
        <f>+K8+L8</f>
        <v>12287413</v>
      </c>
      <c r="N8" s="39">
        <f>+ER!M32</f>
        <v>1245089</v>
      </c>
      <c r="O8" s="19">
        <f>+M8+N8</f>
        <v>13532502</v>
      </c>
    </row>
    <row r="9" spans="1:15" ht="28.15" customHeight="1" x14ac:dyDescent="0.25">
      <c r="B9" s="186" t="s">
        <v>160</v>
      </c>
      <c r="C9" s="187"/>
      <c r="D9" s="188"/>
      <c r="E9" s="39"/>
      <c r="F9" s="19"/>
      <c r="G9" s="19"/>
      <c r="H9" s="39"/>
      <c r="I9" s="19"/>
      <c r="J9" s="99"/>
      <c r="K9" s="19"/>
      <c r="L9" s="19"/>
      <c r="M9" s="19"/>
      <c r="N9" s="39"/>
      <c r="O9" s="19"/>
    </row>
    <row r="10" spans="1:15" x14ac:dyDescent="0.25">
      <c r="B10" s="9"/>
      <c r="C10" s="10" t="s">
        <v>333</v>
      </c>
      <c r="D10" s="11"/>
      <c r="E10" s="39">
        <v>23826</v>
      </c>
      <c r="F10" s="19">
        <v>511226</v>
      </c>
      <c r="G10" s="19">
        <f t="shared" ref="G10:G22" si="0">+E10+F10</f>
        <v>535052</v>
      </c>
      <c r="H10" s="39"/>
      <c r="I10" s="19">
        <f t="shared" ref="I10:I22" si="1">+G10+H10</f>
        <v>535052</v>
      </c>
      <c r="J10" s="11"/>
      <c r="K10" s="19">
        <v>200000</v>
      </c>
      <c r="L10" s="19">
        <v>281795</v>
      </c>
      <c r="M10" s="19">
        <f t="shared" ref="M10:M21" si="2">+K10+L10</f>
        <v>481795</v>
      </c>
      <c r="N10" s="39"/>
      <c r="O10" s="19">
        <f t="shared" ref="O10:O21" si="3">+M10+N10</f>
        <v>481795</v>
      </c>
    </row>
    <row r="11" spans="1:15" x14ac:dyDescent="0.25">
      <c r="B11" s="9"/>
      <c r="C11" s="10" t="s">
        <v>186</v>
      </c>
      <c r="D11" s="11"/>
      <c r="E11" s="39">
        <v>2607519</v>
      </c>
      <c r="F11" s="19"/>
      <c r="G11" s="19">
        <f t="shared" si="0"/>
        <v>2607519</v>
      </c>
      <c r="H11" s="39"/>
      <c r="I11" s="19">
        <f t="shared" si="1"/>
        <v>2607519</v>
      </c>
      <c r="J11" s="11"/>
      <c r="K11" s="19">
        <v>2268000</v>
      </c>
      <c r="L11" s="19"/>
      <c r="M11" s="19">
        <f t="shared" si="2"/>
        <v>2268000</v>
      </c>
      <c r="N11" s="39"/>
      <c r="O11" s="19">
        <f t="shared" si="3"/>
        <v>2268000</v>
      </c>
    </row>
    <row r="12" spans="1:15" x14ac:dyDescent="0.25">
      <c r="B12" s="26"/>
      <c r="C12" s="41" t="s">
        <v>103</v>
      </c>
      <c r="D12" s="115"/>
      <c r="E12" s="39">
        <v>19329207</v>
      </c>
      <c r="F12" s="39">
        <v>9817785</v>
      </c>
      <c r="G12" s="39">
        <f t="shared" si="0"/>
        <v>29146992</v>
      </c>
      <c r="H12" s="39">
        <f>-AD!H41</f>
        <v>-9726442</v>
      </c>
      <c r="I12" s="39">
        <f t="shared" si="1"/>
        <v>19420550</v>
      </c>
      <c r="J12" s="11"/>
      <c r="K12" s="39">
        <v>17346688</v>
      </c>
      <c r="L12" s="39">
        <v>8496450</v>
      </c>
      <c r="M12" s="19">
        <f t="shared" si="2"/>
        <v>25843138</v>
      </c>
      <c r="N12" s="39">
        <f>-AD!J41</f>
        <v>-8402210</v>
      </c>
      <c r="O12" s="19">
        <f t="shared" si="3"/>
        <v>17440928</v>
      </c>
    </row>
    <row r="13" spans="1:15" x14ac:dyDescent="0.25">
      <c r="B13" s="9"/>
      <c r="C13" s="41" t="s">
        <v>187</v>
      </c>
      <c r="D13" s="11"/>
      <c r="E13" s="39">
        <v>37744</v>
      </c>
      <c r="F13" s="19"/>
      <c r="G13" s="19">
        <f t="shared" si="0"/>
        <v>37744</v>
      </c>
      <c r="H13" s="39"/>
      <c r="I13" s="19">
        <f t="shared" si="1"/>
        <v>37744</v>
      </c>
      <c r="J13" s="11"/>
      <c r="K13" s="19">
        <v>39210</v>
      </c>
      <c r="L13" s="19"/>
      <c r="M13" s="19">
        <f t="shared" si="2"/>
        <v>39210</v>
      </c>
      <c r="N13" s="39"/>
      <c r="O13" s="19">
        <f t="shared" si="3"/>
        <v>39210</v>
      </c>
    </row>
    <row r="14" spans="1:15" ht="27.6" customHeight="1" x14ac:dyDescent="0.25">
      <c r="B14" s="9"/>
      <c r="C14" s="184" t="s">
        <v>104</v>
      </c>
      <c r="D14" s="185"/>
      <c r="E14" s="39">
        <v>0</v>
      </c>
      <c r="F14" s="19"/>
      <c r="G14" s="19">
        <f t="shared" si="0"/>
        <v>0</v>
      </c>
      <c r="H14" s="39"/>
      <c r="I14" s="19">
        <f t="shared" si="1"/>
        <v>0</v>
      </c>
      <c r="J14" s="98"/>
      <c r="K14" s="19"/>
      <c r="L14" s="19"/>
      <c r="M14" s="19">
        <f t="shared" si="2"/>
        <v>0</v>
      </c>
      <c r="N14" s="39"/>
      <c r="O14" s="19">
        <f t="shared" si="3"/>
        <v>0</v>
      </c>
    </row>
    <row r="15" spans="1:15" x14ac:dyDescent="0.25">
      <c r="B15" s="9"/>
      <c r="C15" s="10" t="s">
        <v>135</v>
      </c>
      <c r="D15" s="11"/>
      <c r="E15" s="39">
        <v>0</v>
      </c>
      <c r="F15" s="19"/>
      <c r="G15" s="19">
        <f t="shared" si="0"/>
        <v>0</v>
      </c>
      <c r="H15" s="39"/>
      <c r="I15" s="19">
        <f t="shared" si="1"/>
        <v>0</v>
      </c>
      <c r="J15" s="11"/>
      <c r="K15" s="19">
        <v>0</v>
      </c>
      <c r="L15" s="19"/>
      <c r="M15" s="19">
        <f t="shared" si="2"/>
        <v>0</v>
      </c>
      <c r="N15" s="39"/>
      <c r="O15" s="19">
        <f t="shared" si="3"/>
        <v>0</v>
      </c>
    </row>
    <row r="16" spans="1:15" x14ac:dyDescent="0.25">
      <c r="B16" s="9"/>
      <c r="C16" s="10" t="s">
        <v>105</v>
      </c>
      <c r="D16" s="11"/>
      <c r="E16" s="39">
        <v>2230401</v>
      </c>
      <c r="F16" s="19">
        <v>25583</v>
      </c>
      <c r="G16" s="19">
        <f t="shared" si="0"/>
        <v>2255984</v>
      </c>
      <c r="H16" s="39"/>
      <c r="I16" s="19">
        <f t="shared" si="1"/>
        <v>2255984</v>
      </c>
      <c r="J16" s="11"/>
      <c r="K16" s="19">
        <v>2028637</v>
      </c>
      <c r="L16" s="19">
        <v>26371</v>
      </c>
      <c r="M16" s="19">
        <f t="shared" si="2"/>
        <v>2055008</v>
      </c>
      <c r="N16" s="39"/>
      <c r="O16" s="19">
        <f t="shared" si="3"/>
        <v>2055008</v>
      </c>
    </row>
    <row r="17" spans="2:15" x14ac:dyDescent="0.25">
      <c r="B17" s="9"/>
      <c r="C17" s="41" t="s">
        <v>188</v>
      </c>
      <c r="D17" s="11"/>
      <c r="E17" s="39">
        <v>366832</v>
      </c>
      <c r="F17" s="19"/>
      <c r="G17" s="19">
        <f t="shared" si="0"/>
        <v>366832</v>
      </c>
      <c r="H17" s="39"/>
      <c r="I17" s="19">
        <f t="shared" si="1"/>
        <v>366832</v>
      </c>
      <c r="J17" s="11"/>
      <c r="K17" s="19">
        <v>0</v>
      </c>
      <c r="L17" s="19"/>
      <c r="M17" s="19">
        <f t="shared" si="2"/>
        <v>0</v>
      </c>
      <c r="N17" s="39"/>
      <c r="O17" s="19">
        <f t="shared" si="3"/>
        <v>0</v>
      </c>
    </row>
    <row r="18" spans="2:15" x14ac:dyDescent="0.25">
      <c r="B18" s="9"/>
      <c r="C18" s="10" t="s">
        <v>106</v>
      </c>
      <c r="D18" s="11"/>
      <c r="E18" s="39">
        <v>2404929</v>
      </c>
      <c r="F18" s="19"/>
      <c r="G18" s="19">
        <f t="shared" si="0"/>
        <v>2404929</v>
      </c>
      <c r="H18" s="39"/>
      <c r="I18" s="19">
        <f t="shared" si="1"/>
        <v>2404929</v>
      </c>
      <c r="J18" s="11"/>
      <c r="K18" s="19">
        <v>3074772</v>
      </c>
      <c r="L18" s="19"/>
      <c r="M18" s="19">
        <f t="shared" si="2"/>
        <v>3074772</v>
      </c>
      <c r="N18" s="39"/>
      <c r="O18" s="19">
        <f t="shared" si="3"/>
        <v>3074772</v>
      </c>
    </row>
    <row r="19" spans="2:15" x14ac:dyDescent="0.25">
      <c r="B19" s="9"/>
      <c r="C19" s="10" t="s">
        <v>107</v>
      </c>
      <c r="D19" s="11"/>
      <c r="E19" s="39">
        <v>1293142</v>
      </c>
      <c r="F19" s="19">
        <v>251418</v>
      </c>
      <c r="G19" s="19">
        <f t="shared" si="0"/>
        <v>1544560</v>
      </c>
      <c r="H19" s="39"/>
      <c r="I19" s="19">
        <f t="shared" si="1"/>
        <v>1544560</v>
      </c>
      <c r="J19" s="11"/>
      <c r="K19" s="19">
        <v>1591304</v>
      </c>
      <c r="L19" s="19"/>
      <c r="M19" s="19">
        <f t="shared" si="2"/>
        <v>1591304</v>
      </c>
      <c r="N19" s="39"/>
      <c r="O19" s="19">
        <f t="shared" si="3"/>
        <v>1591304</v>
      </c>
    </row>
    <row r="20" spans="2:15" x14ac:dyDescent="0.25">
      <c r="B20" s="9"/>
      <c r="C20" s="10" t="s">
        <v>326</v>
      </c>
      <c r="D20" s="11"/>
      <c r="E20" s="39">
        <v>7559526</v>
      </c>
      <c r="F20" s="19"/>
      <c r="G20" s="19">
        <f t="shared" si="0"/>
        <v>7559526</v>
      </c>
      <c r="H20" s="39"/>
      <c r="I20" s="19">
        <f t="shared" si="1"/>
        <v>7559526</v>
      </c>
      <c r="J20" s="11"/>
      <c r="K20" s="19">
        <f>1308073+234029</f>
        <v>1542102</v>
      </c>
      <c r="L20" s="19">
        <v>175726</v>
      </c>
      <c r="M20" s="19">
        <f t="shared" si="2"/>
        <v>1717828</v>
      </c>
      <c r="N20" s="39"/>
      <c r="O20" s="19">
        <f t="shared" si="3"/>
        <v>1717828</v>
      </c>
    </row>
    <row r="21" spans="2:15" x14ac:dyDescent="0.25">
      <c r="B21" s="9"/>
      <c r="C21" s="10" t="s">
        <v>271</v>
      </c>
      <c r="D21" s="11"/>
      <c r="E21" s="39">
        <v>251108</v>
      </c>
      <c r="F21" s="19"/>
      <c r="G21" s="19">
        <f t="shared" si="0"/>
        <v>251108</v>
      </c>
      <c r="H21" s="39"/>
      <c r="I21" s="19">
        <f t="shared" si="1"/>
        <v>251108</v>
      </c>
      <c r="J21" s="11"/>
      <c r="K21" s="19"/>
      <c r="L21" s="19"/>
      <c r="M21" s="19">
        <f t="shared" si="2"/>
        <v>0</v>
      </c>
      <c r="N21" s="39"/>
      <c r="O21" s="19">
        <f t="shared" si="3"/>
        <v>0</v>
      </c>
    </row>
    <row r="22" spans="2:15" x14ac:dyDescent="0.25">
      <c r="B22" s="9"/>
      <c r="C22" s="10" t="s">
        <v>242</v>
      </c>
      <c r="D22" s="11"/>
      <c r="E22" s="39">
        <v>-261500</v>
      </c>
      <c r="F22" s="19"/>
      <c r="G22" s="19">
        <f t="shared" si="0"/>
        <v>-261500</v>
      </c>
      <c r="H22" s="39">
        <f>-ER!G34</f>
        <v>555396.59429799998</v>
      </c>
      <c r="I22" s="19">
        <f t="shared" si="1"/>
        <v>293896.59429799998</v>
      </c>
      <c r="J22" s="11"/>
      <c r="K22" s="19">
        <v>476468</v>
      </c>
      <c r="L22" s="19"/>
      <c r="M22" s="19"/>
      <c r="N22" s="39"/>
      <c r="O22" s="19"/>
    </row>
    <row r="23" spans="2:15" x14ac:dyDescent="0.25">
      <c r="B23" s="9"/>
      <c r="C23" s="10"/>
      <c r="D23" s="11"/>
      <c r="E23" s="49">
        <f>SUM(E8:E22)</f>
        <v>49470665.449999988</v>
      </c>
      <c r="F23" s="49">
        <f t="shared" ref="F23:I23" si="4">SUM(F8:F22)</f>
        <v>15821421</v>
      </c>
      <c r="G23" s="49">
        <f t="shared" si="4"/>
        <v>65292086.449999988</v>
      </c>
      <c r="H23" s="49">
        <f t="shared" si="4"/>
        <v>-5531508.4057020005</v>
      </c>
      <c r="I23" s="49">
        <f t="shared" si="4"/>
        <v>59760578.044297986</v>
      </c>
      <c r="J23" s="11"/>
      <c r="K23" s="23">
        <f>SUM(K8:K22)</f>
        <v>37584573</v>
      </c>
      <c r="L23" s="180">
        <f>SUM(L8:L21)</f>
        <v>12250363</v>
      </c>
      <c r="M23" s="23">
        <f>SUM(M8:M21)</f>
        <v>49358468</v>
      </c>
      <c r="N23" s="49">
        <f>SUM(N8:N21)</f>
        <v>-7157121</v>
      </c>
      <c r="O23" s="23">
        <f>SUM(O8:O21)</f>
        <v>42201347</v>
      </c>
    </row>
    <row r="24" spans="2:15" x14ac:dyDescent="0.25">
      <c r="B24" s="35" t="s">
        <v>108</v>
      </c>
      <c r="C24" s="10"/>
      <c r="D24" s="11"/>
      <c r="E24" s="39"/>
      <c r="F24" s="19"/>
      <c r="G24" s="19"/>
      <c r="H24" s="39"/>
      <c r="I24" s="19"/>
      <c r="J24" s="11"/>
      <c r="K24" s="19"/>
      <c r="L24" s="19"/>
      <c r="M24" s="19"/>
      <c r="N24" s="39"/>
      <c r="O24" s="19"/>
    </row>
    <row r="25" spans="2:15" x14ac:dyDescent="0.25">
      <c r="B25" s="9"/>
      <c r="C25" s="10" t="s">
        <v>109</v>
      </c>
      <c r="D25" s="11"/>
      <c r="E25" s="39">
        <v>3944169</v>
      </c>
      <c r="F25" s="39">
        <v>-602469</v>
      </c>
      <c r="G25" s="19">
        <f t="shared" ref="G25:G45" si="5">+E25+F25</f>
        <v>3341700</v>
      </c>
      <c r="H25" s="39"/>
      <c r="I25" s="19">
        <f t="shared" ref="I25:I41" si="6">+G25+H25</f>
        <v>3341700</v>
      </c>
      <c r="J25" s="11"/>
      <c r="K25" s="19">
        <v>2173914</v>
      </c>
      <c r="L25" s="19">
        <v>153450</v>
      </c>
      <c r="M25" s="19">
        <f t="shared" ref="M25:M41" si="7">+K25+L25</f>
        <v>2327364</v>
      </c>
      <c r="N25" s="39"/>
      <c r="O25" s="19">
        <f t="shared" ref="O25:O41" si="8">+M25+N25</f>
        <v>2327364</v>
      </c>
    </row>
    <row r="26" spans="2:15" x14ac:dyDescent="0.25">
      <c r="B26" s="9"/>
      <c r="C26" s="10" t="s">
        <v>110</v>
      </c>
      <c r="D26" s="11"/>
      <c r="E26" s="39">
        <v>-10765719</v>
      </c>
      <c r="F26" s="39">
        <v>-5894109</v>
      </c>
      <c r="G26" s="19">
        <f t="shared" si="5"/>
        <v>-16659828</v>
      </c>
      <c r="H26" s="39"/>
      <c r="I26" s="19">
        <f t="shared" si="6"/>
        <v>-16659828</v>
      </c>
      <c r="J26" s="11"/>
      <c r="K26" s="19">
        <v>-16324141</v>
      </c>
      <c r="L26" s="19"/>
      <c r="M26" s="19">
        <f t="shared" si="7"/>
        <v>-16324141</v>
      </c>
      <c r="N26" s="39"/>
      <c r="O26" s="19">
        <f t="shared" si="8"/>
        <v>-16324141</v>
      </c>
    </row>
    <row r="27" spans="2:15" x14ac:dyDescent="0.25">
      <c r="B27" s="9"/>
      <c r="C27" s="10" t="s">
        <v>20</v>
      </c>
      <c r="D27" s="11"/>
      <c r="E27" s="39">
        <v>-233583</v>
      </c>
      <c r="F27" s="39">
        <f>-8535012-F26-F25</f>
        <v>-2038434</v>
      </c>
      <c r="G27" s="19">
        <f t="shared" si="5"/>
        <v>-2272017</v>
      </c>
      <c r="H27" s="39"/>
      <c r="I27" s="19">
        <f t="shared" si="6"/>
        <v>-2272017</v>
      </c>
      <c r="J27" s="11"/>
      <c r="K27" s="19">
        <v>-6350190</v>
      </c>
      <c r="L27" s="19"/>
      <c r="M27" s="19">
        <f t="shared" si="7"/>
        <v>-6350190</v>
      </c>
      <c r="N27" s="39"/>
      <c r="O27" s="19">
        <f t="shared" si="8"/>
        <v>-6350190</v>
      </c>
    </row>
    <row r="28" spans="2:15" x14ac:dyDescent="0.25">
      <c r="B28" s="9"/>
      <c r="C28" s="10" t="s">
        <v>10</v>
      </c>
      <c r="D28" s="11"/>
      <c r="E28" s="39">
        <v>475548</v>
      </c>
      <c r="F28" s="19"/>
      <c r="G28" s="19">
        <f t="shared" si="5"/>
        <v>475548</v>
      </c>
      <c r="H28" s="39"/>
      <c r="I28" s="19">
        <f t="shared" si="6"/>
        <v>475548</v>
      </c>
      <c r="J28" s="11"/>
      <c r="K28" s="19">
        <v>546462</v>
      </c>
      <c r="L28" s="19"/>
      <c r="M28" s="19">
        <f t="shared" si="7"/>
        <v>546462</v>
      </c>
      <c r="N28" s="39"/>
      <c r="O28" s="19">
        <f t="shared" si="8"/>
        <v>546462</v>
      </c>
    </row>
    <row r="29" spans="2:15" x14ac:dyDescent="0.25">
      <c r="B29" s="9"/>
      <c r="C29" s="10" t="s">
        <v>11</v>
      </c>
      <c r="D29" s="11"/>
      <c r="E29" s="39">
        <v>124930</v>
      </c>
      <c r="F29" s="19"/>
      <c r="G29" s="19">
        <f t="shared" si="5"/>
        <v>124930</v>
      </c>
      <c r="H29" s="39"/>
      <c r="I29" s="19">
        <f t="shared" si="6"/>
        <v>124930</v>
      </c>
      <c r="J29" s="11"/>
      <c r="K29" s="19">
        <v>1692356</v>
      </c>
      <c r="L29" s="19"/>
      <c r="M29" s="19">
        <f t="shared" si="7"/>
        <v>1692356</v>
      </c>
      <c r="N29" s="39"/>
      <c r="O29" s="19">
        <f t="shared" si="8"/>
        <v>1692356</v>
      </c>
    </row>
    <row r="30" spans="2:15" x14ac:dyDescent="0.25">
      <c r="B30" s="9"/>
      <c r="C30" s="10" t="s">
        <v>12</v>
      </c>
      <c r="D30" s="11"/>
      <c r="E30" s="39">
        <v>-9031384</v>
      </c>
      <c r="F30" s="19"/>
      <c r="G30" s="19">
        <f t="shared" si="5"/>
        <v>-9031384</v>
      </c>
      <c r="H30" s="39"/>
      <c r="I30" s="19">
        <f t="shared" si="6"/>
        <v>-9031384</v>
      </c>
      <c r="J30" s="11"/>
      <c r="K30" s="19">
        <v>3855566</v>
      </c>
      <c r="L30" s="19">
        <v>16620</v>
      </c>
      <c r="M30" s="19">
        <f t="shared" si="7"/>
        <v>3872186</v>
      </c>
      <c r="N30" s="39"/>
      <c r="O30" s="19">
        <f t="shared" si="8"/>
        <v>3872186</v>
      </c>
    </row>
    <row r="31" spans="2:15" x14ac:dyDescent="0.25">
      <c r="B31" s="9"/>
      <c r="C31" s="10" t="s">
        <v>13</v>
      </c>
      <c r="D31" s="11"/>
      <c r="E31" s="39"/>
      <c r="F31" s="19"/>
      <c r="G31" s="19">
        <f t="shared" si="5"/>
        <v>0</v>
      </c>
      <c r="H31" s="39"/>
      <c r="I31" s="19">
        <f t="shared" si="6"/>
        <v>0</v>
      </c>
      <c r="J31" s="11"/>
      <c r="K31" s="19">
        <v>0</v>
      </c>
      <c r="L31" s="19"/>
      <c r="M31" s="19">
        <f t="shared" si="7"/>
        <v>0</v>
      </c>
      <c r="N31" s="39"/>
      <c r="O31" s="19">
        <f t="shared" si="8"/>
        <v>0</v>
      </c>
    </row>
    <row r="32" spans="2:15" x14ac:dyDescent="0.25">
      <c r="B32" s="9"/>
      <c r="C32" s="10" t="s">
        <v>50</v>
      </c>
      <c r="D32" s="11"/>
      <c r="E32" s="39"/>
      <c r="F32" s="19">
        <v>-86645</v>
      </c>
      <c r="G32" s="19">
        <f t="shared" si="5"/>
        <v>-86645</v>
      </c>
      <c r="H32" s="39"/>
      <c r="I32" s="19">
        <f t="shared" si="6"/>
        <v>-86645</v>
      </c>
      <c r="J32" s="11"/>
      <c r="K32" s="19">
        <v>-1495</v>
      </c>
      <c r="L32" s="19">
        <v>-97195</v>
      </c>
      <c r="M32" s="19">
        <f t="shared" si="7"/>
        <v>-98690</v>
      </c>
      <c r="N32" s="39"/>
      <c r="O32" s="19">
        <f t="shared" si="8"/>
        <v>-98690</v>
      </c>
    </row>
    <row r="33" spans="2:15" x14ac:dyDescent="0.25">
      <c r="B33" s="9"/>
      <c r="C33" s="10" t="s">
        <v>111</v>
      </c>
      <c r="D33" s="11"/>
      <c r="E33" s="39">
        <v>-2518955</v>
      </c>
      <c r="F33" s="19">
        <v>94649</v>
      </c>
      <c r="G33" s="19">
        <f t="shared" si="5"/>
        <v>-2424306</v>
      </c>
      <c r="H33" s="39"/>
      <c r="I33" s="19">
        <f t="shared" si="6"/>
        <v>-2424306</v>
      </c>
      <c r="J33" s="11"/>
      <c r="K33" s="19">
        <v>-3759434</v>
      </c>
      <c r="L33" s="19">
        <v>-751038</v>
      </c>
      <c r="M33" s="19">
        <f t="shared" si="7"/>
        <v>-4510472</v>
      </c>
      <c r="N33" s="39"/>
      <c r="O33" s="19">
        <f t="shared" si="8"/>
        <v>-4510472</v>
      </c>
    </row>
    <row r="34" spans="2:15" x14ac:dyDescent="0.25">
      <c r="B34" s="9"/>
      <c r="C34" s="10" t="s">
        <v>112</v>
      </c>
      <c r="D34" s="11"/>
      <c r="E34" s="39">
        <v>618571</v>
      </c>
      <c r="F34" s="39">
        <v>5583218</v>
      </c>
      <c r="G34" s="19">
        <f t="shared" si="5"/>
        <v>6201789</v>
      </c>
      <c r="H34" s="39"/>
      <c r="I34" s="19">
        <f t="shared" si="6"/>
        <v>6201789</v>
      </c>
      <c r="J34" s="11"/>
      <c r="K34" s="19">
        <v>1235126</v>
      </c>
      <c r="L34" s="19"/>
      <c r="M34" s="19">
        <f t="shared" si="7"/>
        <v>1235126</v>
      </c>
      <c r="N34" s="39"/>
      <c r="O34" s="19">
        <f t="shared" si="8"/>
        <v>1235126</v>
      </c>
    </row>
    <row r="35" spans="2:15" x14ac:dyDescent="0.25">
      <c r="B35" s="9"/>
      <c r="C35" s="10" t="s">
        <v>113</v>
      </c>
      <c r="D35" s="11"/>
      <c r="E35" s="39">
        <v>2484728</v>
      </c>
      <c r="F35" s="39">
        <v>-1023114</v>
      </c>
      <c r="G35" s="19">
        <f t="shared" si="5"/>
        <v>1461614</v>
      </c>
      <c r="H35" s="39"/>
      <c r="I35" s="19">
        <f t="shared" si="6"/>
        <v>1461614</v>
      </c>
      <c r="J35" s="11"/>
      <c r="K35" s="19">
        <v>64755</v>
      </c>
      <c r="L35" s="19">
        <v>-273465</v>
      </c>
      <c r="M35" s="19">
        <f t="shared" si="7"/>
        <v>-208710</v>
      </c>
      <c r="N35" s="39"/>
      <c r="O35" s="19">
        <f t="shared" si="8"/>
        <v>-208710</v>
      </c>
    </row>
    <row r="36" spans="2:15" x14ac:dyDescent="0.25">
      <c r="B36" s="9"/>
      <c r="C36" s="10" t="s">
        <v>114</v>
      </c>
      <c r="D36" s="11"/>
      <c r="E36" s="39">
        <v>-4641544</v>
      </c>
      <c r="F36" s="39">
        <f>5964089-F34-F33</f>
        <v>286222</v>
      </c>
      <c r="G36" s="19">
        <f t="shared" si="5"/>
        <v>-4355322</v>
      </c>
      <c r="H36" s="39">
        <v>-295764</v>
      </c>
      <c r="I36" s="19">
        <f t="shared" si="6"/>
        <v>-4651086</v>
      </c>
      <c r="J36" s="11"/>
      <c r="K36" s="19">
        <v>4568360</v>
      </c>
      <c r="L36" s="19"/>
      <c r="M36" s="19">
        <f t="shared" si="7"/>
        <v>4568360</v>
      </c>
      <c r="N36" s="39"/>
      <c r="O36" s="19">
        <f t="shared" si="8"/>
        <v>4568360</v>
      </c>
    </row>
    <row r="37" spans="2:15" x14ac:dyDescent="0.25">
      <c r="B37" s="9"/>
      <c r="C37" s="10" t="s">
        <v>35</v>
      </c>
      <c r="D37" s="11"/>
      <c r="E37" s="39">
        <v>-81914</v>
      </c>
      <c r="F37" s="39"/>
      <c r="G37" s="19">
        <f t="shared" si="5"/>
        <v>-81914</v>
      </c>
      <c r="H37" s="39"/>
      <c r="I37" s="19">
        <f t="shared" si="6"/>
        <v>-81914</v>
      </c>
      <c r="J37" s="11"/>
      <c r="K37" s="19">
        <v>-2404770</v>
      </c>
      <c r="L37" s="19"/>
      <c r="M37" s="19">
        <f t="shared" si="7"/>
        <v>-2404770</v>
      </c>
      <c r="N37" s="39"/>
      <c r="O37" s="19">
        <f t="shared" si="8"/>
        <v>-2404770</v>
      </c>
    </row>
    <row r="38" spans="2:15" x14ac:dyDescent="0.25">
      <c r="B38" s="9"/>
      <c r="C38" s="10" t="s">
        <v>36</v>
      </c>
      <c r="D38" s="11"/>
      <c r="E38" s="39">
        <v>577820</v>
      </c>
      <c r="F38" s="19">
        <v>417024</v>
      </c>
      <c r="G38" s="19">
        <f t="shared" si="5"/>
        <v>994844</v>
      </c>
      <c r="H38" s="39"/>
      <c r="I38" s="19">
        <f t="shared" si="6"/>
        <v>994844</v>
      </c>
      <c r="J38" s="11"/>
      <c r="K38" s="19">
        <v>344260</v>
      </c>
      <c r="L38" s="19">
        <v>-620687</v>
      </c>
      <c r="M38" s="19">
        <f t="shared" si="7"/>
        <v>-276427</v>
      </c>
      <c r="N38" s="39"/>
      <c r="O38" s="19">
        <f t="shared" si="8"/>
        <v>-276427</v>
      </c>
    </row>
    <row r="39" spans="2:15" hidden="1" x14ac:dyDescent="0.25">
      <c r="B39" s="9"/>
      <c r="C39" s="10" t="s">
        <v>136</v>
      </c>
      <c r="D39" s="11"/>
      <c r="E39" s="39"/>
      <c r="F39" s="19"/>
      <c r="G39" s="19">
        <f t="shared" si="5"/>
        <v>0</v>
      </c>
      <c r="H39" s="39"/>
      <c r="I39" s="19">
        <f t="shared" si="6"/>
        <v>0</v>
      </c>
      <c r="J39" s="11"/>
      <c r="K39" s="19"/>
      <c r="L39" s="19"/>
      <c r="M39" s="19">
        <f t="shared" si="7"/>
        <v>0</v>
      </c>
      <c r="N39" s="39"/>
      <c r="O39" s="19">
        <f t="shared" si="8"/>
        <v>0</v>
      </c>
    </row>
    <row r="40" spans="2:15" hidden="1" x14ac:dyDescent="0.25">
      <c r="B40" s="9"/>
      <c r="C40" s="10" t="s">
        <v>37</v>
      </c>
      <c r="D40" s="11"/>
      <c r="E40" s="39"/>
      <c r="F40" s="19"/>
      <c r="G40" s="19">
        <f t="shared" si="5"/>
        <v>0</v>
      </c>
      <c r="H40" s="39"/>
      <c r="I40" s="19">
        <f t="shared" si="6"/>
        <v>0</v>
      </c>
      <c r="J40" s="11"/>
      <c r="K40" s="19"/>
      <c r="L40" s="19"/>
      <c r="M40" s="19">
        <f t="shared" si="7"/>
        <v>0</v>
      </c>
      <c r="N40" s="39"/>
      <c r="O40" s="19">
        <f t="shared" si="8"/>
        <v>0</v>
      </c>
    </row>
    <row r="41" spans="2:15" x14ac:dyDescent="0.25">
      <c r="B41" s="9"/>
      <c r="C41" s="10" t="s">
        <v>40</v>
      </c>
      <c r="D41" s="11"/>
      <c r="E41" s="53">
        <v>-992443</v>
      </c>
      <c r="F41" s="27"/>
      <c r="G41" s="19">
        <f t="shared" si="5"/>
        <v>-992443</v>
      </c>
      <c r="H41" s="39"/>
      <c r="I41" s="19">
        <f t="shared" si="6"/>
        <v>-992443</v>
      </c>
      <c r="J41" s="11"/>
      <c r="K41" s="27">
        <v>-2999556</v>
      </c>
      <c r="L41" s="27"/>
      <c r="M41" s="19">
        <f t="shared" si="7"/>
        <v>-2999556</v>
      </c>
      <c r="N41" s="39"/>
      <c r="O41" s="19">
        <f t="shared" si="8"/>
        <v>-2999556</v>
      </c>
    </row>
    <row r="42" spans="2:15" x14ac:dyDescent="0.25">
      <c r="B42" s="35" t="s">
        <v>115</v>
      </c>
      <c r="C42" s="10"/>
      <c r="D42" s="11"/>
      <c r="E42" s="39">
        <f>SUM(E23:E41)</f>
        <v>29430889.449999988</v>
      </c>
      <c r="F42" s="19">
        <f>SUM(F23:F41)</f>
        <v>12557763</v>
      </c>
      <c r="G42" s="23">
        <f>SUM(G23:G41)</f>
        <v>41988652.449999988</v>
      </c>
      <c r="H42" s="49">
        <f>SUM(H23:H41)</f>
        <v>-5827272.4057020005</v>
      </c>
      <c r="I42" s="23">
        <f>SUM(I23:I41)</f>
        <v>36161380.044297986</v>
      </c>
      <c r="J42" s="11"/>
      <c r="K42" s="19">
        <f>SUM(K23:K41)</f>
        <v>20225786</v>
      </c>
      <c r="L42" s="19">
        <f>SUM(L23:L41)</f>
        <v>10678048</v>
      </c>
      <c r="M42" s="23">
        <f>SUM(M23:M41)</f>
        <v>30427366</v>
      </c>
      <c r="N42" s="49">
        <f>SUM(N23:N41)</f>
        <v>-7157121</v>
      </c>
      <c r="O42" s="23">
        <f>SUM(O23:O41)</f>
        <v>23270245</v>
      </c>
    </row>
    <row r="43" spans="2:15" x14ac:dyDescent="0.25">
      <c r="B43" s="9"/>
      <c r="C43" s="10" t="s">
        <v>116</v>
      </c>
      <c r="D43" s="11"/>
      <c r="E43" s="39">
        <v>-4237903</v>
      </c>
      <c r="F43" s="19"/>
      <c r="G43" s="19">
        <f t="shared" si="5"/>
        <v>-4237903</v>
      </c>
      <c r="H43" s="47"/>
      <c r="I43" s="19">
        <f>+G43+H43</f>
        <v>-4237903</v>
      </c>
      <c r="J43" s="11"/>
      <c r="K43" s="19">
        <v>-3550763</v>
      </c>
      <c r="L43" s="19">
        <v>0</v>
      </c>
      <c r="M43" s="19">
        <f t="shared" ref="M43:M45" si="9">+K43+L43</f>
        <v>-3550763</v>
      </c>
      <c r="N43" s="47"/>
      <c r="O43" s="19">
        <f>+M43+N43</f>
        <v>-3550763</v>
      </c>
    </row>
    <row r="44" spans="2:15" x14ac:dyDescent="0.25">
      <c r="B44" s="9"/>
      <c r="C44" s="10" t="s">
        <v>117</v>
      </c>
      <c r="D44" s="11"/>
      <c r="E44" s="39">
        <v>-1591304</v>
      </c>
      <c r="F44" s="19"/>
      <c r="G44" s="19">
        <f t="shared" si="5"/>
        <v>-1591304</v>
      </c>
      <c r="H44" s="47"/>
      <c r="I44" s="19">
        <f>+G44+H44</f>
        <v>-1591304</v>
      </c>
      <c r="J44" s="11"/>
      <c r="K44" s="19">
        <v>-1759101</v>
      </c>
      <c r="L44" s="19"/>
      <c r="M44" s="19">
        <f t="shared" si="9"/>
        <v>-1759101</v>
      </c>
      <c r="N44" s="47"/>
      <c r="O44" s="19">
        <f>+M44+N44</f>
        <v>-1759101</v>
      </c>
    </row>
    <row r="45" spans="2:15" x14ac:dyDescent="0.25">
      <c r="B45" s="9"/>
      <c r="C45" s="10" t="s">
        <v>118</v>
      </c>
      <c r="D45" s="11"/>
      <c r="E45" s="53">
        <v>-207177</v>
      </c>
      <c r="F45" s="27"/>
      <c r="G45" s="19">
        <f t="shared" si="5"/>
        <v>-207177</v>
      </c>
      <c r="H45" s="47"/>
      <c r="I45" s="19">
        <f>+G45+H45</f>
        <v>-207177</v>
      </c>
      <c r="J45" s="11"/>
      <c r="K45" s="27">
        <v>-107410</v>
      </c>
      <c r="L45" s="27"/>
      <c r="M45" s="19">
        <f t="shared" si="9"/>
        <v>-107410</v>
      </c>
      <c r="N45" s="47"/>
      <c r="O45" s="19">
        <f>+M45+N45</f>
        <v>-107410</v>
      </c>
    </row>
    <row r="46" spans="2:15" x14ac:dyDescent="0.25">
      <c r="B46" s="179" t="s">
        <v>119</v>
      </c>
      <c r="C46" s="83"/>
      <c r="D46" s="84"/>
      <c r="E46" s="48">
        <f>SUM(E42:E45)</f>
        <v>23394505.449999988</v>
      </c>
      <c r="F46" s="20">
        <f>SUM(F42:F45)</f>
        <v>12557763</v>
      </c>
      <c r="G46" s="20">
        <f>SUM(G42:G45)</f>
        <v>35952268.449999988</v>
      </c>
      <c r="H46" s="48">
        <f>SUM(H42:H45)</f>
        <v>-5827272.4057020005</v>
      </c>
      <c r="I46" s="20">
        <f>SUM(I42:I45)</f>
        <v>30124996.044297986</v>
      </c>
      <c r="J46" s="13"/>
      <c r="K46" s="20">
        <f>SUM(K42:K45)</f>
        <v>14808512</v>
      </c>
      <c r="L46" s="20">
        <f>SUM(L42:L45)</f>
        <v>10678048</v>
      </c>
      <c r="M46" s="20">
        <f>SUM(M42:M45)</f>
        <v>25010092</v>
      </c>
      <c r="N46" s="48">
        <f>SUM(N42:N45)</f>
        <v>-7157121</v>
      </c>
      <c r="O46" s="20">
        <f>SUM(O42:O45)</f>
        <v>17852971</v>
      </c>
    </row>
    <row r="47" spans="2:15" x14ac:dyDescent="0.25">
      <c r="B47" s="6"/>
      <c r="C47" s="7"/>
      <c r="D47" s="8"/>
      <c r="E47" s="39"/>
      <c r="F47" s="19"/>
      <c r="G47" s="15"/>
      <c r="H47" s="47"/>
      <c r="I47" s="15"/>
      <c r="K47" s="19"/>
      <c r="L47" s="19"/>
      <c r="M47" s="15"/>
      <c r="N47" s="47"/>
      <c r="O47" s="15"/>
    </row>
    <row r="48" spans="2:15" x14ac:dyDescent="0.25">
      <c r="B48" s="35" t="s">
        <v>120</v>
      </c>
      <c r="C48" s="10"/>
      <c r="D48" s="11"/>
      <c r="E48" s="39"/>
      <c r="F48" s="19"/>
      <c r="G48" s="15"/>
      <c r="H48" s="47"/>
      <c r="I48" s="15"/>
      <c r="K48" s="19"/>
      <c r="L48" s="19"/>
      <c r="M48" s="15"/>
      <c r="N48" s="47"/>
      <c r="O48" s="15"/>
    </row>
    <row r="49" spans="2:15" x14ac:dyDescent="0.25">
      <c r="B49" s="9"/>
      <c r="C49" s="176" t="s">
        <v>121</v>
      </c>
      <c r="D49" s="11"/>
      <c r="E49" s="39">
        <v>251011</v>
      </c>
      <c r="F49" s="19"/>
      <c r="G49" s="19">
        <f t="shared" ref="G49:G56" si="10">+E49+F49</f>
        <v>251011</v>
      </c>
      <c r="H49" s="47"/>
      <c r="I49" s="19">
        <f>+G49+H49</f>
        <v>251011</v>
      </c>
      <c r="K49" s="19">
        <v>-593863</v>
      </c>
      <c r="L49" s="19"/>
      <c r="M49" s="19">
        <f t="shared" ref="M49:M54" si="11">+K49+L49</f>
        <v>-593863</v>
      </c>
      <c r="N49" s="47"/>
      <c r="O49" s="19">
        <f>+M49+N49</f>
        <v>-593863</v>
      </c>
    </row>
    <row r="50" spans="2:15" x14ac:dyDescent="0.25">
      <c r="B50" s="9"/>
      <c r="C50" s="176" t="s">
        <v>122</v>
      </c>
      <c r="D50" s="11"/>
      <c r="E50" s="39">
        <v>29809</v>
      </c>
      <c r="F50" s="19">
        <v>-205582</v>
      </c>
      <c r="G50" s="19">
        <f t="shared" si="10"/>
        <v>-175773</v>
      </c>
      <c r="H50" s="47"/>
      <c r="I50" s="19">
        <f>+G50+H50</f>
        <v>-175773</v>
      </c>
      <c r="K50" s="19">
        <v>5828169</v>
      </c>
      <c r="L50" s="19"/>
      <c r="M50" s="19">
        <f t="shared" si="11"/>
        <v>5828169</v>
      </c>
      <c r="N50" s="47"/>
      <c r="O50" s="19">
        <f t="shared" ref="O50:O56" si="12">+M50+N50</f>
        <v>5828169</v>
      </c>
    </row>
    <row r="51" spans="2:15" x14ac:dyDescent="0.25">
      <c r="B51" s="9"/>
      <c r="C51" s="10" t="s">
        <v>189</v>
      </c>
      <c r="D51" s="11"/>
      <c r="E51" s="39"/>
      <c r="F51" s="19"/>
      <c r="G51" s="19">
        <f t="shared" si="10"/>
        <v>0</v>
      </c>
      <c r="H51" s="47"/>
      <c r="I51" s="19"/>
      <c r="K51" s="19">
        <v>0</v>
      </c>
      <c r="L51" s="19"/>
      <c r="M51" s="19">
        <f t="shared" si="11"/>
        <v>0</v>
      </c>
      <c r="N51" s="47"/>
      <c r="O51" s="19"/>
    </row>
    <row r="52" spans="2:15" x14ac:dyDescent="0.25">
      <c r="B52" s="9"/>
      <c r="C52" s="10" t="s">
        <v>123</v>
      </c>
      <c r="D52" s="11"/>
      <c r="E52" s="39">
        <v>1978971</v>
      </c>
      <c r="F52" s="19"/>
      <c r="G52" s="19">
        <f t="shared" si="10"/>
        <v>1978971</v>
      </c>
      <c r="H52" s="47"/>
      <c r="I52" s="19">
        <f>+G52+H52</f>
        <v>1978971</v>
      </c>
      <c r="K52" s="19">
        <v>-962949</v>
      </c>
      <c r="L52" s="19"/>
      <c r="M52" s="19">
        <f t="shared" si="11"/>
        <v>-962949</v>
      </c>
      <c r="N52" s="47"/>
      <c r="O52" s="19">
        <f t="shared" si="12"/>
        <v>-962949</v>
      </c>
    </row>
    <row r="53" spans="2:15" x14ac:dyDescent="0.25">
      <c r="B53" s="9"/>
      <c r="C53" s="10" t="s">
        <v>334</v>
      </c>
      <c r="D53" s="11"/>
      <c r="E53" s="39">
        <v>-10976052</v>
      </c>
      <c r="F53" s="19">
        <v>-6427483</v>
      </c>
      <c r="G53" s="19">
        <f t="shared" si="10"/>
        <v>-17403535</v>
      </c>
      <c r="H53" s="39">
        <f>+AD!H22</f>
        <v>5827272</v>
      </c>
      <c r="I53" s="19">
        <f>+G53+H53</f>
        <v>-11576263</v>
      </c>
      <c r="K53" s="19">
        <v>-13974701</v>
      </c>
      <c r="L53" s="19">
        <v>-7233185</v>
      </c>
      <c r="M53" s="19">
        <f t="shared" si="11"/>
        <v>-21207886</v>
      </c>
      <c r="N53" s="39">
        <f>+AD!J22</f>
        <v>7144181</v>
      </c>
      <c r="O53" s="19">
        <f t="shared" si="12"/>
        <v>-14063705</v>
      </c>
    </row>
    <row r="54" spans="2:15" hidden="1" x14ac:dyDescent="0.25">
      <c r="B54" s="9"/>
      <c r="C54" s="10" t="s">
        <v>124</v>
      </c>
      <c r="D54" s="11"/>
      <c r="E54" s="39"/>
      <c r="F54" s="19"/>
      <c r="G54" s="19">
        <f t="shared" si="10"/>
        <v>0</v>
      </c>
      <c r="H54" s="47"/>
      <c r="I54" s="19">
        <f>+G54+H54</f>
        <v>0</v>
      </c>
      <c r="K54" s="19">
        <v>0</v>
      </c>
      <c r="L54" s="19"/>
      <c r="M54" s="19">
        <f t="shared" si="11"/>
        <v>0</v>
      </c>
      <c r="N54" s="47"/>
      <c r="O54" s="19">
        <f t="shared" si="12"/>
        <v>0</v>
      </c>
    </row>
    <row r="55" spans="2:15" hidden="1" x14ac:dyDescent="0.25">
      <c r="B55" s="9"/>
      <c r="C55" s="177" t="s">
        <v>125</v>
      </c>
      <c r="D55" s="11"/>
      <c r="E55" s="39"/>
      <c r="F55" s="19"/>
      <c r="G55" s="19"/>
      <c r="H55" s="47"/>
      <c r="I55" s="19">
        <f>+G55+H55</f>
        <v>0</v>
      </c>
      <c r="K55" s="19"/>
      <c r="L55" s="19"/>
      <c r="M55" s="19"/>
      <c r="N55" s="47"/>
      <c r="O55" s="19">
        <f t="shared" si="12"/>
        <v>0</v>
      </c>
    </row>
    <row r="56" spans="2:15" x14ac:dyDescent="0.25">
      <c r="B56" s="9"/>
      <c r="C56" s="10" t="s">
        <v>335</v>
      </c>
      <c r="D56" s="11"/>
      <c r="E56" s="53">
        <v>-4862718</v>
      </c>
      <c r="F56" s="27">
        <v>-15600</v>
      </c>
      <c r="G56" s="19">
        <f t="shared" si="10"/>
        <v>-4878318</v>
      </c>
      <c r="H56" s="47"/>
      <c r="I56" s="19">
        <f>+G56+H56</f>
        <v>-4878318</v>
      </c>
      <c r="K56" s="27">
        <v>-1204028</v>
      </c>
      <c r="L56" s="27">
        <v>-261435</v>
      </c>
      <c r="M56" s="19">
        <f t="shared" ref="M56" si="13">+K56+L56</f>
        <v>-1465463</v>
      </c>
      <c r="N56" s="47"/>
      <c r="O56" s="19">
        <f t="shared" si="12"/>
        <v>-1465463</v>
      </c>
    </row>
    <row r="57" spans="2:15" x14ac:dyDescent="0.25">
      <c r="B57" s="179" t="s">
        <v>126</v>
      </c>
      <c r="C57" s="83"/>
      <c r="D57" s="84"/>
      <c r="E57" s="48">
        <f>E49+E50+E51+E52+E53+E54+E56</f>
        <v>-13578979</v>
      </c>
      <c r="F57" s="20">
        <f>SUM(F49:F56)</f>
        <v>-6648665</v>
      </c>
      <c r="G57" s="20">
        <f>SUM(G49:G56)</f>
        <v>-20227644</v>
      </c>
      <c r="H57" s="48">
        <f>SUM(H49:H56)</f>
        <v>5827272</v>
      </c>
      <c r="I57" s="20">
        <f>SUM(I49:I56)</f>
        <v>-14400372</v>
      </c>
      <c r="K57" s="20">
        <f>K49+K50+K51+K52+K53+K54+K56</f>
        <v>-10907372</v>
      </c>
      <c r="L57" s="20">
        <f>SUM(L49:L56)</f>
        <v>-7494620</v>
      </c>
      <c r="M57" s="20">
        <f>SUM(M49:M56)</f>
        <v>-18401992</v>
      </c>
      <c r="N57" s="48">
        <f>SUM(N49:N56)</f>
        <v>7144181</v>
      </c>
      <c r="O57" s="20">
        <f>SUM(O49:O56)</f>
        <v>-11257811</v>
      </c>
    </row>
    <row r="58" spans="2:15" x14ac:dyDescent="0.25">
      <c r="B58" s="6"/>
      <c r="C58" s="7"/>
      <c r="D58" s="8"/>
      <c r="E58" s="39"/>
      <c r="F58" s="19"/>
      <c r="G58" s="15"/>
      <c r="H58" s="47"/>
      <c r="I58" s="15"/>
      <c r="K58" s="19"/>
      <c r="L58" s="19"/>
      <c r="M58" s="15"/>
      <c r="N58" s="47"/>
      <c r="O58" s="15"/>
    </row>
    <row r="59" spans="2:15" x14ac:dyDescent="0.25">
      <c r="B59" s="35" t="s">
        <v>127</v>
      </c>
      <c r="C59" s="10"/>
      <c r="D59" s="11"/>
      <c r="E59" s="39"/>
      <c r="F59" s="39"/>
      <c r="G59" s="19">
        <f t="shared" ref="G59:G65" si="14">+E59+F59</f>
        <v>0</v>
      </c>
      <c r="H59" s="47"/>
      <c r="I59" s="15"/>
      <c r="K59" s="19"/>
      <c r="L59" s="19"/>
      <c r="M59" s="15"/>
      <c r="N59" s="47"/>
      <c r="O59" s="15"/>
    </row>
    <row r="60" spans="2:15" hidden="1" x14ac:dyDescent="0.25">
      <c r="B60" s="9"/>
      <c r="C60" s="10" t="s">
        <v>128</v>
      </c>
      <c r="D60" s="11"/>
      <c r="E60" s="39">
        <v>0</v>
      </c>
      <c r="F60" s="39"/>
      <c r="G60" s="19">
        <f t="shared" si="14"/>
        <v>0</v>
      </c>
      <c r="H60" s="47"/>
      <c r="I60" s="19">
        <f t="shared" ref="I60:I65" si="15">+G60+H60</f>
        <v>0</v>
      </c>
      <c r="K60" s="19">
        <v>0</v>
      </c>
      <c r="L60" s="19"/>
      <c r="M60" s="29">
        <f t="shared" ref="M60:M65" si="16">+K60+L60</f>
        <v>0</v>
      </c>
      <c r="N60" s="47"/>
      <c r="O60" s="19">
        <f t="shared" ref="O60:O65" si="17">+M60+N60</f>
        <v>0</v>
      </c>
    </row>
    <row r="61" spans="2:15" hidden="1" x14ac:dyDescent="0.25">
      <c r="B61" s="9"/>
      <c r="C61" s="10" t="s">
        <v>45</v>
      </c>
      <c r="D61" s="11"/>
      <c r="E61" s="39"/>
      <c r="F61" s="39"/>
      <c r="G61" s="19">
        <f t="shared" si="14"/>
        <v>0</v>
      </c>
      <c r="H61" s="47"/>
      <c r="I61" s="19">
        <f t="shared" si="15"/>
        <v>0</v>
      </c>
      <c r="K61" s="19"/>
      <c r="L61" s="19"/>
      <c r="M61" s="19">
        <f t="shared" si="16"/>
        <v>0</v>
      </c>
      <c r="N61" s="47"/>
      <c r="O61" s="19">
        <f t="shared" si="17"/>
        <v>0</v>
      </c>
    </row>
    <row r="62" spans="2:15" hidden="1" x14ac:dyDescent="0.25">
      <c r="B62" s="9"/>
      <c r="C62" s="10" t="s">
        <v>129</v>
      </c>
      <c r="D62" s="11"/>
      <c r="E62" s="39"/>
      <c r="F62" s="39"/>
      <c r="G62" s="19">
        <f t="shared" si="14"/>
        <v>0</v>
      </c>
      <c r="H62" s="47"/>
      <c r="I62" s="19">
        <f t="shared" si="15"/>
        <v>0</v>
      </c>
      <c r="K62" s="19"/>
      <c r="L62" s="39"/>
      <c r="M62" s="19">
        <f t="shared" si="16"/>
        <v>0</v>
      </c>
      <c r="N62" s="47"/>
      <c r="O62" s="19">
        <f t="shared" si="17"/>
        <v>0</v>
      </c>
    </row>
    <row r="63" spans="2:15" x14ac:dyDescent="0.25">
      <c r="B63" s="9"/>
      <c r="C63" s="10" t="s">
        <v>345</v>
      </c>
      <c r="D63" s="11"/>
      <c r="E63" s="39">
        <v>-7240853</v>
      </c>
      <c r="F63" s="39">
        <v>873161</v>
      </c>
      <c r="G63" s="19">
        <f t="shared" si="14"/>
        <v>-6367692</v>
      </c>
      <c r="H63" s="47"/>
      <c r="I63" s="19">
        <f t="shared" si="15"/>
        <v>-6367692</v>
      </c>
      <c r="K63" s="19">
        <v>-4709384</v>
      </c>
      <c r="L63" s="39">
        <v>-3372028</v>
      </c>
      <c r="M63" s="19">
        <f t="shared" si="16"/>
        <v>-8081412</v>
      </c>
      <c r="N63" s="47"/>
      <c r="O63" s="19">
        <f t="shared" si="17"/>
        <v>-8081412</v>
      </c>
    </row>
    <row r="64" spans="2:15" x14ac:dyDescent="0.25">
      <c r="B64" s="9"/>
      <c r="C64" s="10" t="s">
        <v>281</v>
      </c>
      <c r="D64" s="11"/>
      <c r="E64" s="39">
        <v>-7134782</v>
      </c>
      <c r="F64" s="39"/>
      <c r="G64" s="19">
        <f t="shared" si="14"/>
        <v>-7134782</v>
      </c>
      <c r="H64" s="47"/>
      <c r="I64" s="19">
        <f t="shared" si="15"/>
        <v>-7134782</v>
      </c>
      <c r="K64" s="19">
        <v>-8370991</v>
      </c>
      <c r="L64" s="39">
        <v>0</v>
      </c>
      <c r="M64" s="19">
        <f t="shared" si="16"/>
        <v>-8370991</v>
      </c>
      <c r="N64" s="47"/>
      <c r="O64" s="19">
        <f t="shared" si="17"/>
        <v>-8370991</v>
      </c>
    </row>
    <row r="65" spans="1:15" hidden="1" x14ac:dyDescent="0.25">
      <c r="B65" s="9"/>
      <c r="C65" s="10" t="s">
        <v>130</v>
      </c>
      <c r="D65" s="11"/>
      <c r="E65" s="39"/>
      <c r="F65" s="64"/>
      <c r="G65" s="19">
        <f t="shared" si="14"/>
        <v>0</v>
      </c>
      <c r="H65" s="47"/>
      <c r="I65" s="19">
        <f t="shared" si="15"/>
        <v>0</v>
      </c>
      <c r="K65" s="19"/>
      <c r="L65" s="19"/>
      <c r="M65" s="19">
        <f t="shared" si="16"/>
        <v>0</v>
      </c>
      <c r="N65" s="47"/>
      <c r="O65" s="19">
        <f t="shared" si="17"/>
        <v>0</v>
      </c>
    </row>
    <row r="66" spans="1:15" x14ac:dyDescent="0.25">
      <c r="B66" s="178" t="s">
        <v>131</v>
      </c>
      <c r="C66" s="83"/>
      <c r="D66" s="84"/>
      <c r="E66" s="48">
        <f>SUM(E60:E65)</f>
        <v>-14375635</v>
      </c>
      <c r="F66" s="20">
        <f>SUM(F60:F65)</f>
        <v>873161</v>
      </c>
      <c r="G66" s="20">
        <f>SUM(G60:G65)</f>
        <v>-13502474</v>
      </c>
      <c r="H66" s="48">
        <f>SUM(H60:H65)</f>
        <v>0</v>
      </c>
      <c r="I66" s="20">
        <f>SUM(I60:I65)</f>
        <v>-13502474</v>
      </c>
      <c r="K66" s="20">
        <f>SUM(K60:K65)</f>
        <v>-13080375</v>
      </c>
      <c r="L66" s="20">
        <f>SUM(L60:L65)</f>
        <v>-3372028</v>
      </c>
      <c r="M66" s="20">
        <f>SUM(M60:M65)</f>
        <v>-16452403</v>
      </c>
      <c r="N66" s="48">
        <f>SUM(N60:N65)</f>
        <v>0</v>
      </c>
      <c r="O66" s="20">
        <f>SUM(O60:O65)</f>
        <v>-16452403</v>
      </c>
    </row>
    <row r="67" spans="1:15" x14ac:dyDescent="0.25">
      <c r="B67" s="119" t="s">
        <v>146</v>
      </c>
      <c r="C67" s="83"/>
      <c r="D67" s="84"/>
      <c r="E67" s="174">
        <f>+E66+E57+E46</f>
        <v>-4560108.5500000119</v>
      </c>
      <c r="F67" s="36">
        <f>+F66+F57+F46</f>
        <v>6782259</v>
      </c>
      <c r="G67" s="33">
        <f>+G66+G57+G46</f>
        <v>2222150.4499999881</v>
      </c>
      <c r="H67" s="92">
        <f>+H66+H57+H46</f>
        <v>-0.40570200048387051</v>
      </c>
      <c r="I67" s="33">
        <f>+I66+I57+I46</f>
        <v>2222150.0442979857</v>
      </c>
      <c r="K67" s="36">
        <f>+K66+K57+K46</f>
        <v>-9179235</v>
      </c>
      <c r="L67" s="36">
        <f>+L66+L57+L46</f>
        <v>-188600</v>
      </c>
      <c r="M67" s="33">
        <f>+M66+M57+M46</f>
        <v>-9844303</v>
      </c>
      <c r="N67" s="92">
        <f>+N66+N57+N46</f>
        <v>-12940</v>
      </c>
      <c r="O67" s="33">
        <f>+O66+O57+O46</f>
        <v>-9857243</v>
      </c>
    </row>
    <row r="68" spans="1:15" x14ac:dyDescent="0.25">
      <c r="A68" s="10"/>
      <c r="E68" s="42"/>
      <c r="F68" s="4"/>
      <c r="G68" s="38">
        <f>+F67+E67-G67</f>
        <v>0</v>
      </c>
      <c r="H68" s="40"/>
    </row>
    <row r="69" spans="1:15" x14ac:dyDescent="0.25">
      <c r="A69" s="9"/>
      <c r="B69" s="6" t="s">
        <v>132</v>
      </c>
      <c r="C69" s="7"/>
      <c r="D69" s="7"/>
      <c r="E69" s="49">
        <f>+E67</f>
        <v>-4560108.5500000119</v>
      </c>
      <c r="F69" s="23">
        <f>+F67</f>
        <v>6782259</v>
      </c>
      <c r="G69" s="23">
        <f t="shared" ref="G69:G70" si="18">+E69+F69</f>
        <v>2222150.4499999881</v>
      </c>
      <c r="H69" s="74"/>
      <c r="I69" s="32">
        <f>+G69+H69</f>
        <v>2222150.4499999881</v>
      </c>
      <c r="J69" s="7"/>
      <c r="K69" s="23">
        <f>+K67</f>
        <v>-9179235</v>
      </c>
      <c r="L69" s="23">
        <v>-188600</v>
      </c>
      <c r="M69" s="23">
        <f t="shared" ref="M69:M70" si="19">+K69+L69</f>
        <v>-9367835</v>
      </c>
      <c r="N69" s="74"/>
      <c r="O69" s="32">
        <f>+M69+N69</f>
        <v>-9367835</v>
      </c>
    </row>
    <row r="70" spans="1:15" x14ac:dyDescent="0.25">
      <c r="A70" s="9"/>
      <c r="B70" s="9" t="s">
        <v>133</v>
      </c>
      <c r="C70" s="10"/>
      <c r="D70" s="10"/>
      <c r="E70" s="39">
        <v>1346730</v>
      </c>
      <c r="F70" s="19">
        <v>585324</v>
      </c>
      <c r="G70" s="19">
        <f t="shared" si="18"/>
        <v>1932054</v>
      </c>
      <c r="H70" s="47"/>
      <c r="I70" s="29">
        <f>+G70</f>
        <v>1932054</v>
      </c>
      <c r="J70" s="10"/>
      <c r="K70" s="19">
        <v>10525965</v>
      </c>
      <c r="L70" s="19">
        <v>773924</v>
      </c>
      <c r="M70" s="19">
        <f t="shared" si="19"/>
        <v>11299889</v>
      </c>
      <c r="N70" s="47"/>
      <c r="O70" s="29">
        <f>+M70</f>
        <v>11299889</v>
      </c>
    </row>
    <row r="71" spans="1:15" x14ac:dyDescent="0.25">
      <c r="A71" s="9"/>
      <c r="B71" s="22" t="s">
        <v>134</v>
      </c>
      <c r="C71" s="12"/>
      <c r="D71" s="12"/>
      <c r="E71" s="48">
        <f>E69+E70</f>
        <v>-3213378.5500000119</v>
      </c>
      <c r="F71" s="20">
        <f>F69+F70</f>
        <v>7367583</v>
      </c>
      <c r="G71" s="20">
        <f>+G69+G70</f>
        <v>4154204.4499999881</v>
      </c>
      <c r="H71" s="48">
        <f>+H69+H70</f>
        <v>0</v>
      </c>
      <c r="I71" s="20">
        <f>+I69+I70</f>
        <v>4154204.4499999881</v>
      </c>
      <c r="J71" s="12"/>
      <c r="K71" s="20">
        <f>K69+K70</f>
        <v>1346730</v>
      </c>
      <c r="L71" s="20">
        <f>L69+L70</f>
        <v>585324</v>
      </c>
      <c r="M71" s="20">
        <f>+M69+M70</f>
        <v>1932054</v>
      </c>
      <c r="N71" s="48">
        <f>+N69+N70</f>
        <v>0</v>
      </c>
      <c r="O71" s="20">
        <f>+O69+O70</f>
        <v>1932054</v>
      </c>
    </row>
    <row r="72" spans="1:15" x14ac:dyDescent="0.25">
      <c r="A72" s="10"/>
      <c r="E72" s="42"/>
      <c r="F72" s="4"/>
      <c r="H72" s="40"/>
    </row>
    <row r="73" spans="1:15" x14ac:dyDescent="0.25">
      <c r="E73" s="42"/>
      <c r="F73" s="4"/>
      <c r="H73" s="40"/>
    </row>
    <row r="74" spans="1:15" x14ac:dyDescent="0.25">
      <c r="E74" s="42"/>
      <c r="F74" s="4"/>
      <c r="H74" s="40"/>
      <c r="K74" s="61"/>
      <c r="L74" s="61"/>
      <c r="M74" s="61"/>
      <c r="N74" s="61"/>
      <c r="O74" s="61"/>
    </row>
    <row r="75" spans="1:15" x14ac:dyDescent="0.25">
      <c r="E75" s="175" t="s">
        <v>261</v>
      </c>
      <c r="F75" s="7"/>
      <c r="G75" s="7"/>
      <c r="H75" s="40"/>
      <c r="K75" s="61"/>
      <c r="L75" s="10"/>
      <c r="M75" s="10"/>
    </row>
    <row r="76" spans="1:15" x14ac:dyDescent="0.25">
      <c r="E76" s="42" t="s">
        <v>262</v>
      </c>
      <c r="H76" s="40"/>
      <c r="K76" s="61"/>
      <c r="L76" s="10"/>
      <c r="M76" s="10"/>
    </row>
  </sheetData>
  <mergeCells count="2">
    <mergeCell ref="C14:D14"/>
    <mergeCell ref="B9:D9"/>
  </mergeCells>
  <pageMargins left="0.7" right="0.7" top="0.75" bottom="0.75" header="0.3" footer="0.3"/>
  <pageSetup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L161"/>
  <sheetViews>
    <sheetView topLeftCell="A124" zoomScaleNormal="100" workbookViewId="0">
      <selection activeCell="H155" sqref="H155"/>
    </sheetView>
  </sheetViews>
  <sheetFormatPr defaultColWidth="11.42578125" defaultRowHeight="15" outlineLevelRow="1" x14ac:dyDescent="0.25"/>
  <cols>
    <col min="1" max="1" width="2.85546875" customWidth="1"/>
    <col min="2" max="4" width="11.42578125" style="40"/>
    <col min="5" max="5" width="12.140625" style="40" customWidth="1"/>
    <col min="6" max="6" width="12.7109375" style="4" customWidth="1"/>
    <col min="7" max="7" width="12.7109375" style="4" bestFit="1" customWidth="1"/>
    <col min="8" max="8" width="12.5703125" bestFit="1" customWidth="1"/>
    <col min="9" max="9" width="13.42578125" bestFit="1" customWidth="1"/>
    <col min="10" max="10" width="13.140625" customWidth="1"/>
    <col min="11" max="12" width="12.28515625" bestFit="1" customWidth="1"/>
  </cols>
  <sheetData>
    <row r="1" spans="1:10" x14ac:dyDescent="0.25">
      <c r="A1" s="2" t="s">
        <v>0</v>
      </c>
    </row>
    <row r="2" spans="1:10" x14ac:dyDescent="0.25">
      <c r="A2" s="1" t="s">
        <v>153</v>
      </c>
    </row>
    <row r="3" spans="1:10" x14ac:dyDescent="0.25">
      <c r="A3" s="1" t="s">
        <v>311</v>
      </c>
    </row>
    <row r="4" spans="1:10" x14ac:dyDescent="0.25">
      <c r="A4" s="3" t="s">
        <v>18</v>
      </c>
      <c r="F4" s="23"/>
      <c r="G4" s="23"/>
      <c r="H4" s="14"/>
      <c r="I4" s="14"/>
      <c r="J4" s="14"/>
    </row>
    <row r="5" spans="1:10" x14ac:dyDescent="0.25">
      <c r="F5" s="19"/>
      <c r="G5" s="19"/>
      <c r="H5" s="15"/>
      <c r="I5" s="16" t="s">
        <v>51</v>
      </c>
      <c r="J5" s="16"/>
    </row>
    <row r="6" spans="1:10" x14ac:dyDescent="0.25">
      <c r="F6" s="25" t="s">
        <v>15</v>
      </c>
      <c r="G6" s="25" t="s">
        <v>16</v>
      </c>
      <c r="H6" s="17" t="s">
        <v>17</v>
      </c>
      <c r="I6" s="18" t="s">
        <v>152</v>
      </c>
      <c r="J6" s="17" t="s">
        <v>151</v>
      </c>
    </row>
    <row r="7" spans="1:10" x14ac:dyDescent="0.25">
      <c r="B7" s="138" t="s">
        <v>74</v>
      </c>
      <c r="C7" s="139"/>
      <c r="D7" s="139"/>
      <c r="E7" s="139"/>
      <c r="F7" s="19"/>
      <c r="G7" s="19"/>
      <c r="H7" s="15"/>
      <c r="I7" s="15"/>
      <c r="J7" s="15"/>
    </row>
    <row r="8" spans="1:10" hidden="1" outlineLevel="1" x14ac:dyDescent="0.25">
      <c r="B8" s="26" t="s">
        <v>180</v>
      </c>
      <c r="C8" s="41"/>
      <c r="D8" s="41"/>
      <c r="E8" s="41"/>
      <c r="F8" s="19">
        <v>11061874</v>
      </c>
      <c r="G8" s="19">
        <v>4032283</v>
      </c>
      <c r="H8" s="19">
        <f>+F8+G8</f>
        <v>15094157</v>
      </c>
      <c r="I8" s="19"/>
      <c r="J8" s="19">
        <f>+H8+I8</f>
        <v>15094157</v>
      </c>
    </row>
    <row r="9" spans="1:10" hidden="1" outlineLevel="1" x14ac:dyDescent="0.25">
      <c r="B9" s="26" t="s">
        <v>244</v>
      </c>
      <c r="C9" s="41"/>
      <c r="D9" s="41"/>
      <c r="E9" s="41"/>
      <c r="F9" s="19">
        <f>+F8</f>
        <v>11061874</v>
      </c>
      <c r="G9" s="19">
        <f>+G8</f>
        <v>4032283</v>
      </c>
      <c r="H9" s="19">
        <f t="shared" ref="H9:H129" si="0">+F9+G9</f>
        <v>15094157</v>
      </c>
      <c r="I9" s="19"/>
      <c r="J9" s="19">
        <f t="shared" ref="J9:J15" si="1">+H9+I9</f>
        <v>15094157</v>
      </c>
    </row>
    <row r="10" spans="1:10" hidden="1" outlineLevel="1" x14ac:dyDescent="0.25">
      <c r="B10" s="26" t="s">
        <v>143</v>
      </c>
      <c r="C10" s="41"/>
      <c r="D10" s="41"/>
      <c r="E10" s="41"/>
      <c r="F10" s="19"/>
      <c r="G10" s="19">
        <v>1228319</v>
      </c>
      <c r="H10" s="19">
        <f t="shared" si="0"/>
        <v>1228319</v>
      </c>
      <c r="I10" s="19"/>
      <c r="J10" s="19">
        <f t="shared" si="1"/>
        <v>1228319</v>
      </c>
    </row>
    <row r="11" spans="1:10" hidden="1" outlineLevel="1" x14ac:dyDescent="0.25">
      <c r="B11" s="26" t="s">
        <v>76</v>
      </c>
      <c r="C11" s="41"/>
      <c r="D11" s="41"/>
      <c r="E11" s="41"/>
      <c r="F11" s="19">
        <v>7077000</v>
      </c>
      <c r="G11" s="19"/>
      <c r="H11" s="19">
        <f t="shared" si="0"/>
        <v>7077000</v>
      </c>
      <c r="I11" s="19"/>
      <c r="J11" s="19">
        <f t="shared" si="1"/>
        <v>7077000</v>
      </c>
    </row>
    <row r="12" spans="1:10" hidden="1" outlineLevel="1" x14ac:dyDescent="0.25">
      <c r="B12" s="26" t="s">
        <v>77</v>
      </c>
      <c r="C12" s="41"/>
      <c r="D12" s="41"/>
      <c r="E12" s="41"/>
      <c r="F12" s="19">
        <v>5470478</v>
      </c>
      <c r="G12" s="19"/>
      <c r="H12" s="19">
        <f t="shared" si="0"/>
        <v>5470478</v>
      </c>
      <c r="I12" s="19"/>
      <c r="J12" s="19">
        <f t="shared" si="1"/>
        <v>5470478</v>
      </c>
    </row>
    <row r="13" spans="1:10" hidden="1" outlineLevel="1" x14ac:dyDescent="0.25">
      <c r="B13" s="26" t="s">
        <v>78</v>
      </c>
      <c r="C13" s="41"/>
      <c r="D13" s="41"/>
      <c r="E13" s="41"/>
      <c r="F13" s="19">
        <v>270000</v>
      </c>
      <c r="G13" s="19"/>
      <c r="H13" s="19">
        <f t="shared" si="0"/>
        <v>270000</v>
      </c>
      <c r="I13" s="19"/>
      <c r="J13" s="19">
        <f t="shared" si="1"/>
        <v>270000</v>
      </c>
    </row>
    <row r="14" spans="1:10" hidden="1" outlineLevel="1" x14ac:dyDescent="0.25">
      <c r="B14" s="26" t="s">
        <v>277</v>
      </c>
      <c r="C14" s="41"/>
      <c r="D14" s="41"/>
      <c r="E14" s="41"/>
      <c r="F14" s="19">
        <v>23879352</v>
      </c>
      <c r="G14" s="19">
        <f>+G9+G10</f>
        <v>5260602</v>
      </c>
      <c r="H14" s="19">
        <f t="shared" si="0"/>
        <v>29139954</v>
      </c>
      <c r="I14" s="19"/>
      <c r="J14" s="19">
        <f t="shared" si="1"/>
        <v>29139954</v>
      </c>
    </row>
    <row r="15" spans="1:10" hidden="1" outlineLevel="1" x14ac:dyDescent="0.25">
      <c r="B15" s="26" t="s">
        <v>195</v>
      </c>
      <c r="C15" s="41"/>
      <c r="D15" s="41"/>
      <c r="E15" s="41"/>
      <c r="F15" s="27">
        <v>0</v>
      </c>
      <c r="G15" s="27">
        <v>2340607</v>
      </c>
      <c r="H15" s="27">
        <f t="shared" si="0"/>
        <v>2340607</v>
      </c>
      <c r="I15" s="27"/>
      <c r="J15" s="27">
        <f t="shared" si="1"/>
        <v>2340607</v>
      </c>
    </row>
    <row r="16" spans="1:10" collapsed="1" x14ac:dyDescent="0.25">
      <c r="B16" s="26" t="s">
        <v>314</v>
      </c>
      <c r="C16" s="41"/>
      <c r="D16" s="41"/>
      <c r="E16" s="41"/>
      <c r="F16" s="23">
        <f>+F14+F15</f>
        <v>23879352</v>
      </c>
      <c r="G16" s="23">
        <f>+G14+G15</f>
        <v>7601209</v>
      </c>
      <c r="H16" s="23">
        <f>+H14+H15</f>
        <v>31480561</v>
      </c>
      <c r="I16" s="23">
        <f>+I14+I15</f>
        <v>0</v>
      </c>
      <c r="J16" s="23">
        <f>+J14+J15</f>
        <v>31480561</v>
      </c>
    </row>
    <row r="17" spans="2:10" x14ac:dyDescent="0.25">
      <c r="B17" s="26" t="s">
        <v>265</v>
      </c>
      <c r="C17" s="41"/>
      <c r="D17" s="41"/>
      <c r="E17" s="41"/>
      <c r="F17" s="19">
        <v>6127345</v>
      </c>
      <c r="G17" s="19">
        <v>0</v>
      </c>
      <c r="H17" s="19">
        <f>+F17+G17</f>
        <v>6127345</v>
      </c>
      <c r="I17" s="19"/>
      <c r="J17" s="19">
        <f>+H17+I17</f>
        <v>6127345</v>
      </c>
    </row>
    <row r="18" spans="2:10" x14ac:dyDescent="0.25">
      <c r="B18" s="26" t="s">
        <v>195</v>
      </c>
      <c r="C18" s="41"/>
      <c r="D18" s="41"/>
      <c r="E18" s="41"/>
      <c r="F18" s="27">
        <v>0</v>
      </c>
      <c r="G18" s="27">
        <v>3414354</v>
      </c>
      <c r="H18" s="19">
        <f>+F18+G18</f>
        <v>3414354</v>
      </c>
      <c r="I18" s="27"/>
      <c r="J18" s="19">
        <f>+H18+I18</f>
        <v>3414354</v>
      </c>
    </row>
    <row r="19" spans="2:10" x14ac:dyDescent="0.25">
      <c r="B19" s="26" t="s">
        <v>264</v>
      </c>
      <c r="C19" s="41"/>
      <c r="D19" s="41"/>
      <c r="E19" s="41"/>
      <c r="F19" s="49">
        <f>+F16+F17</f>
        <v>30006697</v>
      </c>
      <c r="G19" s="49">
        <f>+G16+G17+G18</f>
        <v>11015563</v>
      </c>
      <c r="H19" s="49">
        <f>+H16+H17+H18</f>
        <v>41022260</v>
      </c>
      <c r="I19" s="49"/>
      <c r="J19" s="49">
        <f>+J16+J17+J18</f>
        <v>41022260</v>
      </c>
    </row>
    <row r="20" spans="2:10" x14ac:dyDescent="0.25">
      <c r="B20" s="26"/>
      <c r="C20" s="41"/>
      <c r="D20" s="41"/>
      <c r="E20" s="41"/>
      <c r="F20" s="19"/>
      <c r="G20" s="19"/>
      <c r="H20" s="19"/>
      <c r="I20" s="19"/>
      <c r="J20" s="19"/>
    </row>
    <row r="21" spans="2:10" x14ac:dyDescent="0.25">
      <c r="B21" s="26" t="s">
        <v>195</v>
      </c>
      <c r="C21" s="41"/>
      <c r="D21" s="41"/>
      <c r="E21" s="41"/>
      <c r="F21" s="19">
        <v>5035990</v>
      </c>
      <c r="G21" s="19">
        <v>2143739</v>
      </c>
      <c r="H21" s="19">
        <f>+F21+G21</f>
        <v>7179729</v>
      </c>
      <c r="I21" s="19"/>
      <c r="J21" s="19">
        <f>+H21+I21</f>
        <v>7179729</v>
      </c>
    </row>
    <row r="22" spans="2:10" x14ac:dyDescent="0.25">
      <c r="B22" s="26"/>
      <c r="C22" s="41"/>
      <c r="D22" s="41"/>
      <c r="E22" s="41"/>
      <c r="F22" s="27"/>
      <c r="G22" s="27"/>
      <c r="H22" s="27"/>
      <c r="I22" s="27"/>
      <c r="J22" s="27"/>
    </row>
    <row r="23" spans="2:10" ht="15.75" thickBot="1" x14ac:dyDescent="0.3">
      <c r="B23" s="26" t="s">
        <v>313</v>
      </c>
      <c r="C23" s="41"/>
      <c r="D23" s="41"/>
      <c r="E23" s="41"/>
      <c r="F23" s="109">
        <f>SUM(F19:F22)</f>
        <v>35042687</v>
      </c>
      <c r="G23" s="109">
        <f t="shared" ref="G23:J23" si="2">SUM(G19:G22)</f>
        <v>13159302</v>
      </c>
      <c r="H23" s="109">
        <f t="shared" si="2"/>
        <v>48201989</v>
      </c>
      <c r="I23" s="109">
        <f t="shared" si="2"/>
        <v>0</v>
      </c>
      <c r="J23" s="109">
        <f t="shared" si="2"/>
        <v>48201989</v>
      </c>
    </row>
    <row r="24" spans="2:10" ht="15.75" thickTop="1" x14ac:dyDescent="0.25">
      <c r="B24" s="26"/>
      <c r="C24" s="41"/>
      <c r="D24" s="41"/>
      <c r="E24" s="41"/>
      <c r="F24" s="19"/>
      <c r="G24" s="19"/>
      <c r="H24" s="19"/>
      <c r="I24" s="19"/>
      <c r="J24" s="19"/>
    </row>
    <row r="25" spans="2:10" x14ac:dyDescent="0.25">
      <c r="B25" s="43" t="s">
        <v>79</v>
      </c>
      <c r="C25" s="41"/>
      <c r="D25" s="41"/>
      <c r="E25" s="41"/>
      <c r="F25" s="19"/>
      <c r="G25" s="19"/>
      <c r="H25" s="19"/>
      <c r="I25" s="19"/>
      <c r="J25" s="19"/>
    </row>
    <row r="26" spans="2:10" hidden="1" outlineLevel="1" x14ac:dyDescent="0.25">
      <c r="B26" s="26" t="s">
        <v>75</v>
      </c>
      <c r="C26" s="41"/>
      <c r="D26" s="41"/>
      <c r="E26" s="41"/>
      <c r="F26" s="39">
        <v>9572420</v>
      </c>
      <c r="G26" s="39"/>
      <c r="H26" s="39">
        <f t="shared" si="0"/>
        <v>9572420</v>
      </c>
      <c r="I26" s="39"/>
      <c r="J26" s="39">
        <f t="shared" ref="J26:J31" si="3">+H26+I26</f>
        <v>9572420</v>
      </c>
    </row>
    <row r="27" spans="2:10" hidden="1" outlineLevel="1" x14ac:dyDescent="0.25">
      <c r="B27" s="26" t="s">
        <v>147</v>
      </c>
      <c r="C27" s="41"/>
      <c r="D27" s="41"/>
      <c r="E27" s="41"/>
      <c r="F27" s="39">
        <v>1304919</v>
      </c>
      <c r="G27" s="39"/>
      <c r="H27" s="39">
        <f t="shared" si="0"/>
        <v>1304919</v>
      </c>
      <c r="I27" s="39"/>
      <c r="J27" s="39">
        <f t="shared" si="3"/>
        <v>1304919</v>
      </c>
    </row>
    <row r="28" spans="2:10" hidden="1" outlineLevel="1" x14ac:dyDescent="0.25">
      <c r="B28" s="26" t="s">
        <v>244</v>
      </c>
      <c r="C28" s="41"/>
      <c r="D28" s="41"/>
      <c r="E28" s="41"/>
      <c r="F28" s="39">
        <f>+F26+F27</f>
        <v>10877339</v>
      </c>
      <c r="G28" s="39"/>
      <c r="H28" s="39">
        <f t="shared" si="0"/>
        <v>10877339</v>
      </c>
      <c r="I28" s="39"/>
      <c r="J28" s="39">
        <f t="shared" si="3"/>
        <v>10877339</v>
      </c>
    </row>
    <row r="29" spans="2:10" hidden="1" outlineLevel="1" x14ac:dyDescent="0.25">
      <c r="B29" s="26" t="s">
        <v>137</v>
      </c>
      <c r="C29" s="41"/>
      <c r="D29" s="41"/>
      <c r="E29" s="41"/>
      <c r="F29" s="39">
        <v>-3094403</v>
      </c>
      <c r="G29" s="39"/>
      <c r="H29" s="39">
        <f t="shared" si="0"/>
        <v>-3094403</v>
      </c>
      <c r="I29" s="47"/>
      <c r="J29" s="39">
        <f t="shared" si="3"/>
        <v>-3094403</v>
      </c>
    </row>
    <row r="30" spans="2:10" hidden="1" outlineLevel="1" x14ac:dyDescent="0.25">
      <c r="B30" s="26" t="s">
        <v>76</v>
      </c>
      <c r="C30" s="41"/>
      <c r="D30" s="41"/>
      <c r="E30" s="41"/>
      <c r="F30" s="39">
        <v>-7077000</v>
      </c>
      <c r="G30" s="39"/>
      <c r="H30" s="39">
        <f t="shared" si="0"/>
        <v>-7077000</v>
      </c>
      <c r="I30" s="47"/>
      <c r="J30" s="39">
        <f t="shared" si="3"/>
        <v>-7077000</v>
      </c>
    </row>
    <row r="31" spans="2:10" hidden="1" outlineLevel="1" x14ac:dyDescent="0.25">
      <c r="B31" s="26" t="s">
        <v>277</v>
      </c>
      <c r="C31" s="41"/>
      <c r="D31" s="41"/>
      <c r="E31" s="41"/>
      <c r="F31" s="53">
        <f>SUM(F28:F30)</f>
        <v>705936</v>
      </c>
      <c r="G31" s="53">
        <v>0</v>
      </c>
      <c r="H31" s="53">
        <f t="shared" si="0"/>
        <v>705936</v>
      </c>
      <c r="I31" s="72"/>
      <c r="J31" s="53">
        <f t="shared" si="3"/>
        <v>705936</v>
      </c>
    </row>
    <row r="32" spans="2:10" collapsed="1" x14ac:dyDescent="0.25">
      <c r="B32" s="26" t="s">
        <v>314</v>
      </c>
      <c r="C32" s="41"/>
      <c r="D32" s="41"/>
      <c r="E32" s="41"/>
      <c r="F32" s="49">
        <f>+F31</f>
        <v>705936</v>
      </c>
      <c r="G32" s="49">
        <v>0</v>
      </c>
      <c r="H32" s="49">
        <f>+F32+G32</f>
        <v>705936</v>
      </c>
      <c r="I32" s="74"/>
      <c r="J32" s="49">
        <f>+H32+I32</f>
        <v>705936</v>
      </c>
    </row>
    <row r="33" spans="2:10" ht="42.75" customHeight="1" x14ac:dyDescent="0.25">
      <c r="B33" s="197" t="s">
        <v>266</v>
      </c>
      <c r="C33" s="198"/>
      <c r="D33" s="198"/>
      <c r="E33" s="199"/>
      <c r="F33" s="53">
        <v>-705016</v>
      </c>
      <c r="G33" s="53">
        <v>0</v>
      </c>
      <c r="H33" s="53">
        <f t="shared" ref="H33:H34" si="4">+F33+G33</f>
        <v>-705016</v>
      </c>
      <c r="I33" s="72"/>
      <c r="J33" s="53">
        <f t="shared" ref="J33:J34" si="5">+H33+I33</f>
        <v>-705016</v>
      </c>
    </row>
    <row r="34" spans="2:10" x14ac:dyDescent="0.25">
      <c r="B34" s="26" t="s">
        <v>264</v>
      </c>
      <c r="C34" s="41"/>
      <c r="D34" s="41"/>
      <c r="E34" s="41"/>
      <c r="F34" s="49">
        <f>+F32+F33</f>
        <v>920</v>
      </c>
      <c r="G34" s="49">
        <v>0</v>
      </c>
      <c r="H34" s="49">
        <f t="shared" si="4"/>
        <v>920</v>
      </c>
      <c r="I34" s="74"/>
      <c r="J34" s="49">
        <f t="shared" si="5"/>
        <v>920</v>
      </c>
    </row>
    <row r="35" spans="2:10" ht="15.75" thickBot="1" x14ac:dyDescent="0.3">
      <c r="B35" s="26" t="s">
        <v>313</v>
      </c>
      <c r="C35" s="41"/>
      <c r="D35" s="41"/>
      <c r="E35" s="41"/>
      <c r="F35" s="109">
        <f>SUM(F34:F34)</f>
        <v>920</v>
      </c>
      <c r="G35" s="109">
        <f>SUM(G34:G34)</f>
        <v>0</v>
      </c>
      <c r="H35" s="109">
        <f>SUM(H34:H34)</f>
        <v>920</v>
      </c>
      <c r="I35" s="109">
        <f>SUM(I34:I34)</f>
        <v>0</v>
      </c>
      <c r="J35" s="109">
        <f>SUM(J34:J34)</f>
        <v>920</v>
      </c>
    </row>
    <row r="36" spans="2:10" ht="15.75" thickTop="1" x14ac:dyDescent="0.25">
      <c r="B36" s="26"/>
      <c r="C36" s="41"/>
      <c r="D36" s="41"/>
      <c r="E36" s="41"/>
      <c r="F36" s="19"/>
      <c r="G36" s="19"/>
      <c r="H36" s="19"/>
      <c r="I36" s="19"/>
      <c r="J36" s="19"/>
    </row>
    <row r="37" spans="2:10" x14ac:dyDescent="0.25">
      <c r="B37" s="43" t="s">
        <v>138</v>
      </c>
      <c r="C37" s="41"/>
      <c r="D37" s="41"/>
      <c r="E37" s="41"/>
      <c r="F37" s="39"/>
      <c r="G37" s="39"/>
      <c r="H37" s="39"/>
      <c r="I37" s="47"/>
      <c r="J37" s="47"/>
    </row>
    <row r="38" spans="2:10" hidden="1" outlineLevel="1" x14ac:dyDescent="0.25">
      <c r="B38" s="26" t="s">
        <v>75</v>
      </c>
      <c r="C38" s="41"/>
      <c r="D38" s="41"/>
      <c r="E38" s="41"/>
      <c r="F38" s="39">
        <v>570206</v>
      </c>
      <c r="G38" s="39">
        <v>516352</v>
      </c>
      <c r="H38" s="39">
        <f t="shared" si="0"/>
        <v>1086558</v>
      </c>
      <c r="I38" s="47"/>
      <c r="J38" s="93">
        <f t="shared" ref="J38:J45" si="6">+H38+I38</f>
        <v>1086558</v>
      </c>
    </row>
    <row r="39" spans="2:10" hidden="1" outlineLevel="1" x14ac:dyDescent="0.25">
      <c r="B39" s="26" t="s">
        <v>142</v>
      </c>
      <c r="C39" s="41"/>
      <c r="D39" s="41"/>
      <c r="E39" s="41"/>
      <c r="F39" s="39">
        <v>359244</v>
      </c>
      <c r="G39" s="39"/>
      <c r="H39" s="39">
        <f t="shared" si="0"/>
        <v>359244</v>
      </c>
      <c r="I39" s="47"/>
      <c r="J39" s="39">
        <f t="shared" si="6"/>
        <v>359244</v>
      </c>
    </row>
    <row r="40" spans="2:10" hidden="1" outlineLevel="1" x14ac:dyDescent="0.25">
      <c r="B40" s="26" t="s">
        <v>244</v>
      </c>
      <c r="C40" s="41"/>
      <c r="D40" s="41"/>
      <c r="E40" s="41"/>
      <c r="F40" s="39">
        <f>+F39+F38</f>
        <v>929450</v>
      </c>
      <c r="G40" s="39">
        <f>+G38+G39</f>
        <v>516352</v>
      </c>
      <c r="H40" s="39">
        <f t="shared" si="0"/>
        <v>1445802</v>
      </c>
      <c r="I40" s="47"/>
      <c r="J40" s="39">
        <f t="shared" si="6"/>
        <v>1445802</v>
      </c>
    </row>
    <row r="41" spans="2:10" hidden="1" outlineLevel="1" x14ac:dyDescent="0.25">
      <c r="B41" s="26" t="s">
        <v>196</v>
      </c>
      <c r="C41" s="41"/>
      <c r="D41" s="41"/>
      <c r="E41" s="41"/>
      <c r="F41" s="39">
        <v>1710803</v>
      </c>
      <c r="G41" s="39">
        <v>136481</v>
      </c>
      <c r="H41" s="39">
        <f t="shared" si="0"/>
        <v>1847284</v>
      </c>
      <c r="I41" s="47"/>
      <c r="J41" s="39">
        <f t="shared" si="6"/>
        <v>1847284</v>
      </c>
    </row>
    <row r="42" spans="2:10" hidden="1" outlineLevel="1" x14ac:dyDescent="0.25">
      <c r="B42" s="26" t="s">
        <v>277</v>
      </c>
      <c r="C42" s="41"/>
      <c r="D42" s="41"/>
      <c r="E42" s="41"/>
      <c r="F42" s="39">
        <f>+F41+F40</f>
        <v>2640253</v>
      </c>
      <c r="G42" s="39">
        <f>+G41+G40</f>
        <v>652833</v>
      </c>
      <c r="H42" s="39">
        <f t="shared" si="0"/>
        <v>3293086</v>
      </c>
      <c r="I42" s="47"/>
      <c r="J42" s="39">
        <f t="shared" si="6"/>
        <v>3293086</v>
      </c>
    </row>
    <row r="43" spans="2:10" hidden="1" outlineLevel="1" x14ac:dyDescent="0.25">
      <c r="B43" s="26" t="s">
        <v>278</v>
      </c>
      <c r="C43" s="41"/>
      <c r="D43" s="41"/>
      <c r="E43" s="41"/>
      <c r="F43" s="49">
        <f>+F42</f>
        <v>2640253</v>
      </c>
      <c r="G43" s="49">
        <f t="shared" ref="G43:J43" si="7">+G42</f>
        <v>652833</v>
      </c>
      <c r="H43" s="49">
        <f t="shared" si="7"/>
        <v>3293086</v>
      </c>
      <c r="I43" s="49">
        <f t="shared" si="7"/>
        <v>0</v>
      </c>
      <c r="J43" s="49">
        <f t="shared" si="7"/>
        <v>3293086</v>
      </c>
    </row>
    <row r="44" spans="2:10" hidden="1" outlineLevel="1" x14ac:dyDescent="0.25">
      <c r="B44" s="26" t="s">
        <v>196</v>
      </c>
      <c r="C44" s="41"/>
      <c r="D44" s="41"/>
      <c r="E44" s="41"/>
      <c r="F44" s="154">
        <v>1341885</v>
      </c>
      <c r="G44" s="154">
        <v>260067</v>
      </c>
      <c r="H44" s="39">
        <f t="shared" si="0"/>
        <v>1601952</v>
      </c>
      <c r="I44" s="47"/>
      <c r="J44" s="39">
        <f t="shared" si="6"/>
        <v>1601952</v>
      </c>
    </row>
    <row r="45" spans="2:10" hidden="1" outlineLevel="1" x14ac:dyDescent="0.25">
      <c r="B45" s="152" t="s">
        <v>325</v>
      </c>
      <c r="C45" s="41"/>
      <c r="D45" s="41"/>
      <c r="E45" s="41"/>
      <c r="F45" s="39"/>
      <c r="G45" s="153">
        <v>379372</v>
      </c>
      <c r="H45" s="39">
        <f t="shared" si="0"/>
        <v>379372</v>
      </c>
      <c r="I45" s="47"/>
      <c r="J45" s="39">
        <f t="shared" si="6"/>
        <v>379372</v>
      </c>
    </row>
    <row r="46" spans="2:10" collapsed="1" x14ac:dyDescent="0.25">
      <c r="B46" s="26" t="s">
        <v>204</v>
      </c>
      <c r="C46" s="41"/>
      <c r="D46" s="41"/>
      <c r="E46" s="41"/>
      <c r="F46" s="49">
        <f>+F42+F44</f>
        <v>3982138</v>
      </c>
      <c r="G46" s="49">
        <f>+G43+G44+G45</f>
        <v>1292272</v>
      </c>
      <c r="H46" s="49">
        <f>+H43+H44+H45</f>
        <v>5274410</v>
      </c>
      <c r="I46" s="49">
        <f>+I42+I44</f>
        <v>0</v>
      </c>
      <c r="J46" s="49">
        <f>+J43+J44+J45</f>
        <v>5274410</v>
      </c>
    </row>
    <row r="47" spans="2:10" x14ac:dyDescent="0.25">
      <c r="B47" s="26" t="s">
        <v>268</v>
      </c>
      <c r="C47" s="41"/>
      <c r="D47" s="41"/>
      <c r="E47" s="41"/>
      <c r="F47" s="39">
        <v>680816</v>
      </c>
      <c r="G47" s="39">
        <v>259368</v>
      </c>
      <c r="H47" s="39">
        <f>+F47+G47</f>
        <v>940184</v>
      </c>
      <c r="I47" s="39"/>
      <c r="J47" s="39">
        <f>+H47+I47</f>
        <v>940184</v>
      </c>
    </row>
    <row r="48" spans="2:10" x14ac:dyDescent="0.25">
      <c r="B48" s="26" t="s">
        <v>267</v>
      </c>
      <c r="C48" s="41"/>
      <c r="D48" s="41"/>
      <c r="E48" s="41"/>
      <c r="F48" s="49">
        <f>+F46+F47</f>
        <v>4662954</v>
      </c>
      <c r="G48" s="49">
        <f>+G46+G47</f>
        <v>1551640</v>
      </c>
      <c r="H48" s="49">
        <f>+H46+H47</f>
        <v>6214594</v>
      </c>
      <c r="I48" s="49"/>
      <c r="J48" s="49">
        <f>+J46+J47</f>
        <v>6214594</v>
      </c>
    </row>
    <row r="49" spans="2:11" x14ac:dyDescent="0.25">
      <c r="B49" s="26" t="s">
        <v>321</v>
      </c>
      <c r="C49" s="41"/>
      <c r="D49" s="41"/>
      <c r="E49" s="140"/>
      <c r="F49" s="39">
        <v>559554.55999999959</v>
      </c>
      <c r="G49" s="39"/>
      <c r="H49" s="39"/>
      <c r="I49" s="47"/>
      <c r="J49" s="47"/>
    </row>
    <row r="50" spans="2:11" ht="15.75" thickBot="1" x14ac:dyDescent="0.3">
      <c r="B50" s="26" t="s">
        <v>313</v>
      </c>
      <c r="C50" s="41"/>
      <c r="D50" s="41"/>
      <c r="E50" s="41"/>
      <c r="F50" s="109">
        <f>SUM(F48:F49)</f>
        <v>5222508.5599999996</v>
      </c>
      <c r="G50" s="109">
        <f>SUM(G48:G49)</f>
        <v>1551640</v>
      </c>
      <c r="H50" s="109">
        <f>SUM(H48:H49)</f>
        <v>6214594</v>
      </c>
      <c r="I50" s="109">
        <f>SUM(I48:I49)</f>
        <v>0</v>
      </c>
      <c r="J50" s="109">
        <f>SUM(J48:J49)</f>
        <v>6214594</v>
      </c>
      <c r="K50" s="38"/>
    </row>
    <row r="51" spans="2:11" ht="15.75" thickTop="1" x14ac:dyDescent="0.25">
      <c r="B51" s="26"/>
      <c r="C51" s="41"/>
      <c r="D51" s="41"/>
      <c r="E51" s="140"/>
      <c r="F51" s="39"/>
      <c r="G51" s="39"/>
      <c r="H51" s="39"/>
      <c r="I51" s="47"/>
      <c r="J51" s="47"/>
    </row>
    <row r="52" spans="2:11" x14ac:dyDescent="0.25">
      <c r="B52" s="43" t="s">
        <v>139</v>
      </c>
      <c r="C52" s="41"/>
      <c r="D52" s="41"/>
      <c r="E52" s="41"/>
      <c r="F52" s="39"/>
      <c r="G52" s="39"/>
      <c r="H52" s="39">
        <f t="shared" si="0"/>
        <v>0</v>
      </c>
      <c r="I52" s="47"/>
      <c r="J52" s="47"/>
    </row>
    <row r="53" spans="2:11" hidden="1" outlineLevel="1" x14ac:dyDescent="0.25">
      <c r="B53" s="26" t="s">
        <v>275</v>
      </c>
      <c r="C53" s="41"/>
      <c r="D53" s="41"/>
      <c r="E53" s="41"/>
      <c r="F53" s="53">
        <v>34797</v>
      </c>
      <c r="G53" s="53">
        <v>14436</v>
      </c>
      <c r="H53" s="53">
        <f t="shared" si="0"/>
        <v>49233</v>
      </c>
      <c r="I53" s="72"/>
      <c r="J53" s="53">
        <f>+H53+I53</f>
        <v>49233</v>
      </c>
    </row>
    <row r="54" spans="2:11" hidden="1" outlineLevel="1" x14ac:dyDescent="0.25">
      <c r="B54" s="26" t="s">
        <v>276</v>
      </c>
      <c r="C54" s="41"/>
      <c r="D54" s="41"/>
      <c r="E54" s="41"/>
      <c r="F54" s="48">
        <f t="shared" ref="F54:G57" si="8">+F53</f>
        <v>34797</v>
      </c>
      <c r="G54" s="48">
        <f t="shared" si="8"/>
        <v>14436</v>
      </c>
      <c r="H54" s="48">
        <f t="shared" si="0"/>
        <v>49233</v>
      </c>
      <c r="I54" s="73"/>
      <c r="J54" s="48">
        <f>+H54+I54</f>
        <v>49233</v>
      </c>
    </row>
    <row r="55" spans="2:11" collapsed="1" x14ac:dyDescent="0.25">
      <c r="B55" s="26" t="s">
        <v>204</v>
      </c>
      <c r="C55" s="41"/>
      <c r="D55" s="41"/>
      <c r="E55" s="41"/>
      <c r="F55" s="48">
        <f t="shared" si="8"/>
        <v>34797</v>
      </c>
      <c r="G55" s="48">
        <f t="shared" si="8"/>
        <v>14436</v>
      </c>
      <c r="H55" s="48">
        <f t="shared" si="0"/>
        <v>49233</v>
      </c>
      <c r="I55" s="73"/>
      <c r="J55" s="48">
        <f>+H55+I55</f>
        <v>49233</v>
      </c>
    </row>
    <row r="56" spans="2:11" x14ac:dyDescent="0.25">
      <c r="B56" s="26" t="s">
        <v>267</v>
      </c>
      <c r="C56" s="41"/>
      <c r="D56" s="41"/>
      <c r="E56" s="41"/>
      <c r="F56" s="48">
        <f t="shared" si="8"/>
        <v>34797</v>
      </c>
      <c r="G56" s="48">
        <f t="shared" si="8"/>
        <v>14436</v>
      </c>
      <c r="H56" s="48">
        <f t="shared" si="0"/>
        <v>49233</v>
      </c>
      <c r="I56" s="73"/>
      <c r="J56" s="48">
        <f>+H56+I56</f>
        <v>49233</v>
      </c>
    </row>
    <row r="57" spans="2:11" ht="15.75" thickBot="1" x14ac:dyDescent="0.3">
      <c r="B57" s="26" t="s">
        <v>315</v>
      </c>
      <c r="C57" s="41"/>
      <c r="D57" s="41"/>
      <c r="E57" s="41"/>
      <c r="F57" s="110">
        <f t="shared" si="8"/>
        <v>34797</v>
      </c>
      <c r="G57" s="110">
        <f t="shared" si="8"/>
        <v>14436</v>
      </c>
      <c r="H57" s="110">
        <f t="shared" ref="H57" si="9">+F57+G57</f>
        <v>49233</v>
      </c>
      <c r="I57" s="111"/>
      <c r="J57" s="110">
        <f>+H57+I57</f>
        <v>49233</v>
      </c>
    </row>
    <row r="58" spans="2:11" ht="15.75" thickTop="1" x14ac:dyDescent="0.25">
      <c r="B58" s="26"/>
      <c r="C58" s="41"/>
      <c r="D58" s="41"/>
      <c r="E58" s="41"/>
      <c r="F58" s="39"/>
      <c r="G58" s="39"/>
      <c r="H58" s="39"/>
      <c r="I58" s="47"/>
      <c r="J58" s="39"/>
    </row>
    <row r="59" spans="2:11" x14ac:dyDescent="0.25">
      <c r="B59" s="155" t="s">
        <v>327</v>
      </c>
      <c r="C59" s="158"/>
      <c r="D59" s="158"/>
      <c r="E59" s="158"/>
      <c r="F59" s="156">
        <f>+F57+F50</f>
        <v>5257305.5599999996</v>
      </c>
      <c r="G59" s="156">
        <f t="shared" ref="G59:J59" si="10">+G57+G50</f>
        <v>1566076</v>
      </c>
      <c r="H59" s="156">
        <f t="shared" si="10"/>
        <v>6263827</v>
      </c>
      <c r="I59" s="156">
        <f t="shared" si="10"/>
        <v>0</v>
      </c>
      <c r="J59" s="156">
        <f t="shared" si="10"/>
        <v>6263827</v>
      </c>
    </row>
    <row r="60" spans="2:11" x14ac:dyDescent="0.25">
      <c r="B60" s="26"/>
      <c r="C60" s="41"/>
      <c r="D60" s="41"/>
      <c r="E60" s="41"/>
      <c r="F60" s="39"/>
      <c r="G60" s="39"/>
      <c r="H60" s="39">
        <f t="shared" si="0"/>
        <v>0</v>
      </c>
      <c r="I60" s="47"/>
      <c r="J60" s="47"/>
    </row>
    <row r="61" spans="2:11" x14ac:dyDescent="0.25">
      <c r="B61" s="43" t="s">
        <v>197</v>
      </c>
      <c r="C61" s="41"/>
      <c r="D61" s="41"/>
      <c r="E61" s="41"/>
      <c r="F61" s="39"/>
      <c r="G61" s="39"/>
      <c r="H61" s="39">
        <f t="shared" si="0"/>
        <v>0</v>
      </c>
      <c r="I61" s="47"/>
      <c r="J61" s="47"/>
    </row>
    <row r="62" spans="2:11" hidden="1" outlineLevel="1" x14ac:dyDescent="0.25">
      <c r="B62" s="26" t="s">
        <v>275</v>
      </c>
      <c r="C62" s="41"/>
      <c r="D62" s="41"/>
      <c r="E62" s="41"/>
      <c r="F62" s="53">
        <v>227072</v>
      </c>
      <c r="G62" s="53">
        <v>85174</v>
      </c>
      <c r="H62" s="53">
        <f t="shared" si="0"/>
        <v>312246</v>
      </c>
      <c r="I62" s="72"/>
      <c r="J62" s="53">
        <f>+H62+I62</f>
        <v>312246</v>
      </c>
    </row>
    <row r="63" spans="2:11" hidden="1" outlineLevel="1" x14ac:dyDescent="0.25">
      <c r="B63" s="26" t="s">
        <v>276</v>
      </c>
      <c r="C63" s="41"/>
      <c r="D63" s="41"/>
      <c r="E63" s="41"/>
      <c r="F63" s="48">
        <f t="shared" ref="F63:G66" si="11">+F62</f>
        <v>227072</v>
      </c>
      <c r="G63" s="48">
        <f t="shared" si="11"/>
        <v>85174</v>
      </c>
      <c r="H63" s="48">
        <f t="shared" si="0"/>
        <v>312246</v>
      </c>
      <c r="I63" s="73"/>
      <c r="J63" s="48">
        <f>+H63+I63</f>
        <v>312246</v>
      </c>
    </row>
    <row r="64" spans="2:11" collapsed="1" x14ac:dyDescent="0.25">
      <c r="B64" s="26" t="s">
        <v>204</v>
      </c>
      <c r="C64" s="41"/>
      <c r="D64" s="41"/>
      <c r="E64" s="41"/>
      <c r="F64" s="48">
        <f t="shared" si="11"/>
        <v>227072</v>
      </c>
      <c r="G64" s="48">
        <f t="shared" si="11"/>
        <v>85174</v>
      </c>
      <c r="H64" s="48">
        <f t="shared" si="0"/>
        <v>312246</v>
      </c>
      <c r="I64" s="73"/>
      <c r="J64" s="48">
        <f>+H64+I64</f>
        <v>312246</v>
      </c>
    </row>
    <row r="65" spans="2:10" x14ac:dyDescent="0.25">
      <c r="B65" s="26" t="s">
        <v>267</v>
      </c>
      <c r="C65" s="41"/>
      <c r="D65" s="41"/>
      <c r="E65" s="41"/>
      <c r="F65" s="48">
        <f t="shared" si="11"/>
        <v>227072</v>
      </c>
      <c r="G65" s="48">
        <f t="shared" si="11"/>
        <v>85174</v>
      </c>
      <c r="H65" s="48">
        <f t="shared" si="0"/>
        <v>312246</v>
      </c>
      <c r="I65" s="73"/>
      <c r="J65" s="48">
        <f>+H65+I65</f>
        <v>312246</v>
      </c>
    </row>
    <row r="66" spans="2:10" ht="15.75" thickBot="1" x14ac:dyDescent="0.3">
      <c r="B66" s="26" t="s">
        <v>315</v>
      </c>
      <c r="C66" s="41"/>
      <c r="D66" s="41"/>
      <c r="E66" s="41"/>
      <c r="F66" s="107">
        <f t="shared" si="11"/>
        <v>227072</v>
      </c>
      <c r="G66" s="107">
        <f t="shared" si="11"/>
        <v>85174</v>
      </c>
      <c r="H66" s="107">
        <f t="shared" ref="H66" si="12">+F66+G66</f>
        <v>312246</v>
      </c>
      <c r="I66" s="107"/>
      <c r="J66" s="107">
        <f>+H66+I66</f>
        <v>312246</v>
      </c>
    </row>
    <row r="67" spans="2:10" ht="15.75" thickTop="1" x14ac:dyDescent="0.25">
      <c r="B67" s="26"/>
      <c r="C67" s="41"/>
      <c r="D67" s="41"/>
      <c r="E67" s="41"/>
      <c r="F67" s="39"/>
      <c r="G67" s="39"/>
      <c r="H67" s="39"/>
      <c r="I67" s="47"/>
      <c r="J67" s="47"/>
    </row>
    <row r="68" spans="2:10" x14ac:dyDescent="0.25">
      <c r="B68" s="43" t="s">
        <v>237</v>
      </c>
      <c r="C68" s="41"/>
      <c r="D68" s="41"/>
      <c r="E68" s="41"/>
      <c r="F68" s="39"/>
      <c r="G68" s="39"/>
      <c r="H68" s="39">
        <f t="shared" si="0"/>
        <v>0</v>
      </c>
      <c r="I68" s="47"/>
      <c r="J68" s="47"/>
    </row>
    <row r="69" spans="2:10" hidden="1" outlineLevel="1" x14ac:dyDescent="0.25">
      <c r="B69" s="26" t="s">
        <v>180</v>
      </c>
      <c r="C69" s="41"/>
      <c r="D69" s="41"/>
      <c r="E69" s="41"/>
      <c r="F69" s="53">
        <v>-3202431</v>
      </c>
      <c r="G69" s="53">
        <v>-24915</v>
      </c>
      <c r="H69" s="53">
        <f t="shared" si="0"/>
        <v>-3227346</v>
      </c>
      <c r="I69" s="72"/>
      <c r="J69" s="53">
        <f>+H69+I69</f>
        <v>-3227346</v>
      </c>
    </row>
    <row r="70" spans="2:10" hidden="1" outlineLevel="1" x14ac:dyDescent="0.25">
      <c r="B70" s="26" t="s">
        <v>181</v>
      </c>
      <c r="C70" s="41"/>
      <c r="D70" s="41"/>
      <c r="E70" s="41"/>
      <c r="F70" s="48">
        <f t="shared" ref="F70:G73" si="13">+F69</f>
        <v>-3202431</v>
      </c>
      <c r="G70" s="48">
        <f t="shared" si="13"/>
        <v>-24915</v>
      </c>
      <c r="H70" s="48">
        <f t="shared" si="0"/>
        <v>-3227346</v>
      </c>
      <c r="I70" s="73"/>
      <c r="J70" s="48">
        <f>+H70+I70</f>
        <v>-3227346</v>
      </c>
    </row>
    <row r="71" spans="2:10" collapsed="1" x14ac:dyDescent="0.25">
      <c r="B71" s="26" t="s">
        <v>204</v>
      </c>
      <c r="C71" s="41"/>
      <c r="D71" s="41"/>
      <c r="E71" s="41"/>
      <c r="F71" s="48">
        <f t="shared" si="13"/>
        <v>-3202431</v>
      </c>
      <c r="G71" s="48">
        <f t="shared" si="13"/>
        <v>-24915</v>
      </c>
      <c r="H71" s="48">
        <f t="shared" si="0"/>
        <v>-3227346</v>
      </c>
      <c r="I71" s="73"/>
      <c r="J71" s="48">
        <f>+H71+I71</f>
        <v>-3227346</v>
      </c>
    </row>
    <row r="72" spans="2:10" x14ac:dyDescent="0.25">
      <c r="B72" s="26" t="s">
        <v>267</v>
      </c>
      <c r="C72" s="41"/>
      <c r="D72" s="41"/>
      <c r="E72" s="41"/>
      <c r="F72" s="49">
        <f t="shared" si="13"/>
        <v>-3202431</v>
      </c>
      <c r="G72" s="49">
        <f t="shared" si="13"/>
        <v>-24915</v>
      </c>
      <c r="H72" s="48">
        <f t="shared" si="0"/>
        <v>-3227346</v>
      </c>
      <c r="I72" s="74"/>
      <c r="J72" s="48">
        <f>+H72+I72</f>
        <v>-3227346</v>
      </c>
    </row>
    <row r="73" spans="2:10" ht="15.75" thickBot="1" x14ac:dyDescent="0.3">
      <c r="B73" s="26" t="s">
        <v>315</v>
      </c>
      <c r="C73" s="41"/>
      <c r="D73" s="41"/>
      <c r="E73" s="41"/>
      <c r="F73" s="107">
        <f t="shared" si="13"/>
        <v>-3202431</v>
      </c>
      <c r="G73" s="107">
        <f t="shared" si="13"/>
        <v>-24915</v>
      </c>
      <c r="H73" s="107">
        <f t="shared" ref="H73" si="14">+F73+G73</f>
        <v>-3227346</v>
      </c>
      <c r="I73" s="108"/>
      <c r="J73" s="107">
        <f>+H73+I73</f>
        <v>-3227346</v>
      </c>
    </row>
    <row r="74" spans="2:10" ht="15.75" thickTop="1" x14ac:dyDescent="0.25">
      <c r="B74" s="26"/>
      <c r="C74" s="41"/>
      <c r="D74" s="41"/>
      <c r="E74" s="41"/>
      <c r="F74" s="39"/>
      <c r="G74" s="39"/>
      <c r="H74" s="39">
        <f t="shared" si="0"/>
        <v>0</v>
      </c>
      <c r="I74" s="47"/>
      <c r="J74" s="47"/>
    </row>
    <row r="75" spans="2:10" x14ac:dyDescent="0.25">
      <c r="B75" s="43" t="s">
        <v>144</v>
      </c>
      <c r="C75" s="41"/>
      <c r="D75" s="41"/>
      <c r="E75" s="41"/>
      <c r="F75" s="39"/>
      <c r="G75" s="39"/>
      <c r="H75" s="39">
        <f t="shared" si="0"/>
        <v>0</v>
      </c>
      <c r="I75" s="47"/>
      <c r="J75" s="47"/>
    </row>
    <row r="76" spans="2:10" hidden="1" outlineLevel="1" x14ac:dyDescent="0.25">
      <c r="B76" s="26" t="s">
        <v>180</v>
      </c>
      <c r="C76" s="41"/>
      <c r="D76" s="41"/>
      <c r="E76" s="41"/>
      <c r="F76" s="39"/>
      <c r="G76" s="19"/>
      <c r="H76" s="19"/>
      <c r="I76" s="15"/>
      <c r="J76" s="15"/>
    </row>
    <row r="77" spans="2:10" hidden="1" outlineLevel="1" x14ac:dyDescent="0.25">
      <c r="B77" s="26" t="s">
        <v>179</v>
      </c>
      <c r="C77" s="41"/>
      <c r="D77" s="41"/>
      <c r="E77" s="41"/>
      <c r="F77" s="39"/>
      <c r="G77" s="19">
        <v>-164317</v>
      </c>
      <c r="H77" s="19">
        <f>F77+G77</f>
        <v>-164317</v>
      </c>
      <c r="I77" s="15"/>
      <c r="J77" s="15"/>
    </row>
    <row r="78" spans="2:10" hidden="1" outlineLevel="1" x14ac:dyDescent="0.25">
      <c r="B78" s="141" t="s">
        <v>178</v>
      </c>
      <c r="C78" s="41"/>
      <c r="D78" s="41"/>
      <c r="E78" s="41"/>
      <c r="F78" s="39">
        <v>0</v>
      </c>
      <c r="G78" s="39">
        <v>-164317</v>
      </c>
      <c r="H78" s="39">
        <f>F78+G78</f>
        <v>-164317</v>
      </c>
      <c r="I78" s="47"/>
      <c r="J78" s="39">
        <f t="shared" ref="J78:J84" si="15">+H78+I78</f>
        <v>-164317</v>
      </c>
    </row>
    <row r="79" spans="2:10" hidden="1" outlineLevel="1" x14ac:dyDescent="0.25">
      <c r="B79" s="26" t="s">
        <v>182</v>
      </c>
      <c r="C79" s="41"/>
      <c r="D79" s="41"/>
      <c r="E79" s="41"/>
      <c r="F79" s="53">
        <v>0</v>
      </c>
      <c r="G79" s="53">
        <v>44500</v>
      </c>
      <c r="H79" s="53">
        <f t="shared" si="0"/>
        <v>44500</v>
      </c>
      <c r="I79" s="72"/>
      <c r="J79" s="53">
        <f t="shared" si="15"/>
        <v>44500</v>
      </c>
    </row>
    <row r="80" spans="2:10" hidden="1" outlineLevel="1" x14ac:dyDescent="0.25">
      <c r="B80" s="26" t="s">
        <v>275</v>
      </c>
      <c r="C80" s="41"/>
      <c r="D80" s="41"/>
      <c r="E80" s="41"/>
      <c r="F80" s="49">
        <v>0</v>
      </c>
      <c r="G80" s="49">
        <f>G78+G79</f>
        <v>-119817</v>
      </c>
      <c r="H80" s="49">
        <f t="shared" si="0"/>
        <v>-119817</v>
      </c>
      <c r="I80" s="74"/>
      <c r="J80" s="49">
        <f t="shared" si="15"/>
        <v>-119817</v>
      </c>
    </row>
    <row r="81" spans="2:11" hidden="1" outlineLevel="1" x14ac:dyDescent="0.25">
      <c r="B81" s="26" t="s">
        <v>182</v>
      </c>
      <c r="C81" s="41"/>
      <c r="D81" s="41"/>
      <c r="E81" s="41"/>
      <c r="F81" s="53">
        <v>0</v>
      </c>
      <c r="G81" s="53">
        <v>16673</v>
      </c>
      <c r="H81" s="53">
        <v>16673</v>
      </c>
      <c r="I81" s="72"/>
      <c r="J81" s="53">
        <f t="shared" si="15"/>
        <v>16673</v>
      </c>
    </row>
    <row r="82" spans="2:11" collapsed="1" x14ac:dyDescent="0.25">
      <c r="B82" s="26" t="s">
        <v>204</v>
      </c>
      <c r="C82" s="41"/>
      <c r="D82" s="41"/>
      <c r="E82" s="41"/>
      <c r="F82" s="162">
        <v>-495802</v>
      </c>
      <c r="G82" s="49">
        <f>G80+G81</f>
        <v>-103144</v>
      </c>
      <c r="H82" s="49">
        <f>+F82+G82</f>
        <v>-598946</v>
      </c>
      <c r="I82" s="74"/>
      <c r="J82" s="49">
        <f t="shared" si="15"/>
        <v>-598946</v>
      </c>
    </row>
    <row r="83" spans="2:11" x14ac:dyDescent="0.25">
      <c r="B83" s="26" t="s">
        <v>182</v>
      </c>
      <c r="C83" s="41"/>
      <c r="D83" s="41"/>
      <c r="E83" s="41"/>
      <c r="F83" s="160">
        <v>1849659</v>
      </c>
      <c r="G83" s="53">
        <v>-26254</v>
      </c>
      <c r="H83" s="53">
        <f t="shared" ref="H83:H86" si="16">+F83+G83</f>
        <v>1823405</v>
      </c>
      <c r="I83" s="72"/>
      <c r="J83" s="53">
        <f t="shared" si="15"/>
        <v>1823405</v>
      </c>
    </row>
    <row r="84" spans="2:11" x14ac:dyDescent="0.25">
      <c r="B84" s="26" t="s">
        <v>267</v>
      </c>
      <c r="C84" s="41"/>
      <c r="D84" s="41"/>
      <c r="E84" s="41"/>
      <c r="F84" s="162">
        <f>+F82+F83</f>
        <v>1353857</v>
      </c>
      <c r="G84" s="49">
        <f>+G82+G83</f>
        <v>-129398</v>
      </c>
      <c r="H84" s="49">
        <f t="shared" si="16"/>
        <v>1224459</v>
      </c>
      <c r="I84" s="74"/>
      <c r="J84" s="49">
        <f t="shared" si="15"/>
        <v>1224459</v>
      </c>
    </row>
    <row r="85" spans="2:11" x14ac:dyDescent="0.25">
      <c r="B85" s="26" t="s">
        <v>182</v>
      </c>
      <c r="C85" s="41"/>
      <c r="D85" s="41"/>
      <c r="E85" s="41"/>
      <c r="F85" s="160">
        <v>70086</v>
      </c>
      <c r="G85" s="53">
        <v>-16606</v>
      </c>
      <c r="H85" s="53">
        <f t="shared" si="16"/>
        <v>53480</v>
      </c>
      <c r="I85" s="72"/>
      <c r="J85" s="53">
        <f t="shared" ref="J85:J86" si="17">+H85+I85</f>
        <v>53480</v>
      </c>
    </row>
    <row r="86" spans="2:11" ht="15.75" thickBot="1" x14ac:dyDescent="0.3">
      <c r="B86" s="26" t="s">
        <v>315</v>
      </c>
      <c r="C86" s="41"/>
      <c r="D86" s="41"/>
      <c r="E86" s="41"/>
      <c r="F86" s="163">
        <f>+F84+F85</f>
        <v>1423943</v>
      </c>
      <c r="G86" s="110">
        <f>+G84+G85</f>
        <v>-146004</v>
      </c>
      <c r="H86" s="110">
        <f t="shared" si="16"/>
        <v>1277939</v>
      </c>
      <c r="I86" s="111"/>
      <c r="J86" s="110">
        <f t="shared" si="17"/>
        <v>1277939</v>
      </c>
    </row>
    <row r="87" spans="2:11" ht="15.75" thickTop="1" x14ac:dyDescent="0.25">
      <c r="B87" s="26"/>
      <c r="C87" s="41"/>
      <c r="D87" s="41"/>
      <c r="E87" s="41"/>
      <c r="F87" s="39"/>
      <c r="G87" s="39"/>
      <c r="H87" s="39"/>
      <c r="I87" s="47"/>
      <c r="J87" s="47"/>
    </row>
    <row r="88" spans="2:11" x14ac:dyDescent="0.25">
      <c r="B88" s="43" t="s">
        <v>140</v>
      </c>
      <c r="C88" s="41"/>
      <c r="D88" s="41"/>
      <c r="E88" s="41"/>
      <c r="F88" s="39"/>
      <c r="G88" s="39"/>
      <c r="H88" s="39">
        <f t="shared" si="0"/>
        <v>0</v>
      </c>
      <c r="I88" s="47"/>
      <c r="J88" s="47"/>
    </row>
    <row r="89" spans="2:11" hidden="1" outlineLevel="1" x14ac:dyDescent="0.25">
      <c r="B89" s="26" t="s">
        <v>180</v>
      </c>
      <c r="C89" s="41"/>
      <c r="D89" s="41"/>
      <c r="E89" s="41"/>
      <c r="F89" s="39">
        <v>21286279</v>
      </c>
      <c r="G89" s="19">
        <v>801209</v>
      </c>
      <c r="H89" s="19">
        <f t="shared" si="0"/>
        <v>22087488</v>
      </c>
      <c r="I89" s="19"/>
      <c r="J89" s="19">
        <f t="shared" ref="J89:J102" si="18">+H89+I89</f>
        <v>22087488</v>
      </c>
    </row>
    <row r="90" spans="2:11" hidden="1" outlineLevel="1" x14ac:dyDescent="0.25">
      <c r="B90" s="26" t="s">
        <v>141</v>
      </c>
      <c r="C90" s="41"/>
      <c r="D90" s="41"/>
      <c r="E90" s="41"/>
      <c r="F90" s="39">
        <v>-10113380</v>
      </c>
      <c r="G90" s="19"/>
      <c r="H90" s="19">
        <f t="shared" si="0"/>
        <v>-10113380</v>
      </c>
      <c r="I90" s="19"/>
      <c r="J90" s="19">
        <f t="shared" si="18"/>
        <v>-10113380</v>
      </c>
    </row>
    <row r="91" spans="2:11" hidden="1" outlineLevel="1" x14ac:dyDescent="0.25">
      <c r="B91" s="26" t="s">
        <v>198</v>
      </c>
      <c r="C91" s="41"/>
      <c r="D91" s="41"/>
      <c r="E91" s="41"/>
      <c r="F91" s="49">
        <f>+F89+F90</f>
        <v>11172899</v>
      </c>
      <c r="G91" s="49">
        <f>+G89+G90</f>
        <v>801209</v>
      </c>
      <c r="H91" s="49">
        <f>+H89+H90</f>
        <v>11974108</v>
      </c>
      <c r="I91" s="49">
        <f>+I89+I90</f>
        <v>0</v>
      </c>
      <c r="J91" s="49">
        <f>+J89+J90</f>
        <v>11974108</v>
      </c>
    </row>
    <row r="92" spans="2:11" hidden="1" outlineLevel="1" x14ac:dyDescent="0.25">
      <c r="B92" s="26" t="s">
        <v>194</v>
      </c>
      <c r="C92" s="41"/>
      <c r="D92" s="41"/>
      <c r="E92" s="41"/>
      <c r="F92" s="39">
        <v>-359244</v>
      </c>
      <c r="G92" s="39"/>
      <c r="H92" s="39">
        <f>+F92+G92</f>
        <v>-359244</v>
      </c>
      <c r="I92" s="47"/>
      <c r="J92" s="39">
        <f t="shared" si="18"/>
        <v>-359244</v>
      </c>
    </row>
    <row r="93" spans="2:11" hidden="1" outlineLevel="1" x14ac:dyDescent="0.25">
      <c r="B93" s="26" t="s">
        <v>58</v>
      </c>
      <c r="C93" s="41"/>
      <c r="D93" s="41"/>
      <c r="E93" s="41"/>
      <c r="F93" s="39">
        <v>24778671</v>
      </c>
      <c r="G93" s="39"/>
      <c r="H93" s="39">
        <f>+F93+G93</f>
        <v>24778671</v>
      </c>
      <c r="I93" s="39"/>
      <c r="J93" s="39">
        <f t="shared" si="18"/>
        <v>24778671</v>
      </c>
    </row>
    <row r="94" spans="2:11" hidden="1" outlineLevel="1" x14ac:dyDescent="0.25">
      <c r="B94" s="26" t="s">
        <v>180</v>
      </c>
      <c r="C94" s="41"/>
      <c r="D94" s="41"/>
      <c r="E94" s="41"/>
      <c r="F94" s="39">
        <f>SUM(F91:F93)</f>
        <v>35592326</v>
      </c>
      <c r="G94" s="39">
        <f>SUM(G91:G93)</f>
        <v>801209</v>
      </c>
      <c r="H94" s="39">
        <f>SUM(H91:H93)</f>
        <v>36393535</v>
      </c>
      <c r="I94" s="39">
        <f>-AD!M67</f>
        <v>-2004572</v>
      </c>
      <c r="J94" s="39">
        <f>+H94+I94</f>
        <v>34388963</v>
      </c>
    </row>
    <row r="95" spans="2:11" hidden="1" outlineLevel="1" x14ac:dyDescent="0.25">
      <c r="B95" s="26" t="s">
        <v>183</v>
      </c>
      <c r="C95" s="41"/>
      <c r="D95" s="41"/>
      <c r="E95" s="41"/>
      <c r="F95" s="39">
        <v>0</v>
      </c>
      <c r="G95" s="39">
        <v>10139</v>
      </c>
      <c r="H95" s="39">
        <f>+F95+G95</f>
        <v>10139</v>
      </c>
      <c r="I95" s="47"/>
      <c r="J95" s="39">
        <f t="shared" si="18"/>
        <v>10139</v>
      </c>
    </row>
    <row r="96" spans="2:11" hidden="1" outlineLevel="1" x14ac:dyDescent="0.25">
      <c r="B96" s="26" t="s">
        <v>202</v>
      </c>
      <c r="C96" s="41"/>
      <c r="D96" s="41"/>
      <c r="E96" s="41"/>
      <c r="F96" s="53">
        <v>-5585599</v>
      </c>
      <c r="G96" s="53">
        <v>0</v>
      </c>
      <c r="H96" s="53">
        <f>+F96+G96</f>
        <v>-5585599</v>
      </c>
      <c r="I96" s="53"/>
      <c r="J96" s="53">
        <f t="shared" si="18"/>
        <v>-5585599</v>
      </c>
      <c r="K96" s="44"/>
    </row>
    <row r="97" spans="2:12" hidden="1" outlineLevel="1" x14ac:dyDescent="0.25">
      <c r="B97" s="26" t="s">
        <v>243</v>
      </c>
      <c r="C97" s="41"/>
      <c r="D97" s="41"/>
      <c r="E97" s="41"/>
      <c r="F97" s="39">
        <f>+F94+F96+F95</f>
        <v>30006727</v>
      </c>
      <c r="G97" s="39">
        <f>+G94+G96+G95</f>
        <v>811348</v>
      </c>
      <c r="H97" s="39">
        <f>+H94+H96+H95</f>
        <v>30818075</v>
      </c>
      <c r="I97" s="39">
        <f>+I94+I96+I95</f>
        <v>-2004572</v>
      </c>
      <c r="J97" s="39">
        <f>+J94+J96+J95</f>
        <v>28813503</v>
      </c>
      <c r="K97" s="40"/>
    </row>
    <row r="98" spans="2:12" hidden="1" outlineLevel="1" x14ac:dyDescent="0.25">
      <c r="B98" s="26" t="s">
        <v>184</v>
      </c>
      <c r="C98" s="41"/>
      <c r="D98" s="41"/>
      <c r="E98" s="41"/>
      <c r="F98" s="39">
        <v>0</v>
      </c>
      <c r="G98" s="39">
        <v>-1228319</v>
      </c>
      <c r="H98" s="39">
        <f t="shared" ref="H98:H102" si="19">+F98+G98</f>
        <v>-1228319</v>
      </c>
      <c r="I98" s="47"/>
      <c r="J98" s="39">
        <f t="shared" si="18"/>
        <v>-1228319</v>
      </c>
      <c r="K98" s="40"/>
    </row>
    <row r="99" spans="2:12" hidden="1" outlineLevel="1" x14ac:dyDescent="0.25">
      <c r="B99" s="26" t="s">
        <v>77</v>
      </c>
      <c r="C99" s="41"/>
      <c r="D99" s="41"/>
      <c r="E99" s="41"/>
      <c r="F99" s="39">
        <v>-5470478</v>
      </c>
      <c r="G99" s="39">
        <v>0</v>
      </c>
      <c r="H99" s="39">
        <f t="shared" si="19"/>
        <v>-5470478</v>
      </c>
      <c r="I99" s="47"/>
      <c r="J99" s="39">
        <f t="shared" si="18"/>
        <v>-5470478</v>
      </c>
      <c r="K99" s="40"/>
    </row>
    <row r="100" spans="2:12" hidden="1" outlineLevel="1" x14ac:dyDescent="0.25">
      <c r="B100" s="26" t="s">
        <v>78</v>
      </c>
      <c r="C100" s="41"/>
      <c r="D100" s="41"/>
      <c r="E100" s="41"/>
      <c r="F100" s="39">
        <v>-270000</v>
      </c>
      <c r="G100" s="39">
        <v>0</v>
      </c>
      <c r="H100" s="39">
        <f t="shared" si="19"/>
        <v>-270000</v>
      </c>
      <c r="I100" s="47"/>
      <c r="J100" s="39">
        <f t="shared" si="18"/>
        <v>-270000</v>
      </c>
      <c r="K100" s="40"/>
    </row>
    <row r="101" spans="2:12" hidden="1" outlineLevel="1" x14ac:dyDescent="0.25">
      <c r="B101" s="26" t="str">
        <f>+B92</f>
        <v>Transferencia a Reserva Legal</v>
      </c>
      <c r="C101" s="41"/>
      <c r="D101" s="41"/>
      <c r="E101" s="41"/>
      <c r="F101" s="39">
        <f>-F41</f>
        <v>-1710803</v>
      </c>
      <c r="G101" s="39">
        <v>-136481</v>
      </c>
      <c r="H101" s="39">
        <f t="shared" si="19"/>
        <v>-1847284</v>
      </c>
      <c r="I101" s="47"/>
      <c r="J101" s="39">
        <f t="shared" si="18"/>
        <v>-1847284</v>
      </c>
      <c r="K101" s="40"/>
    </row>
    <row r="102" spans="2:12" hidden="1" outlineLevel="1" x14ac:dyDescent="0.25">
      <c r="B102" s="26" t="s">
        <v>206</v>
      </c>
      <c r="C102" s="41"/>
      <c r="D102" s="41"/>
      <c r="E102" s="41"/>
      <c r="F102" s="53">
        <v>13423797</v>
      </c>
      <c r="G102" s="53">
        <v>2558818</v>
      </c>
      <c r="H102" s="53">
        <f t="shared" si="19"/>
        <v>15982615</v>
      </c>
      <c r="I102" s="53">
        <f>-AD!K67+AD!M67</f>
        <v>-5514531</v>
      </c>
      <c r="J102" s="53">
        <f t="shared" si="18"/>
        <v>10468084</v>
      </c>
      <c r="K102" s="44"/>
    </row>
    <row r="103" spans="2:12" hidden="1" outlineLevel="1" x14ac:dyDescent="0.25">
      <c r="B103" s="26" t="s">
        <v>181</v>
      </c>
      <c r="C103" s="41"/>
      <c r="D103" s="41"/>
      <c r="E103" s="41"/>
      <c r="F103" s="49">
        <v>35993633</v>
      </c>
      <c r="G103" s="49">
        <f>SUM(G97:G102)</f>
        <v>2005366</v>
      </c>
      <c r="H103" s="49">
        <f>SUM(H97:H102)</f>
        <v>37984609</v>
      </c>
      <c r="I103" s="49">
        <f>-AD!I16-AD!I45</f>
        <v>-16446314.003400002</v>
      </c>
      <c r="J103" s="49">
        <f>SUM(J97:J102)</f>
        <v>30465506</v>
      </c>
      <c r="K103" s="44"/>
      <c r="L103" s="4"/>
    </row>
    <row r="104" spans="2:12" hidden="1" outlineLevel="1" x14ac:dyDescent="0.25">
      <c r="B104" s="26" t="s">
        <v>273</v>
      </c>
      <c r="C104" s="41"/>
      <c r="D104" s="41"/>
      <c r="E104" s="41"/>
      <c r="F104" s="39">
        <v>-2936828</v>
      </c>
      <c r="G104" s="39">
        <v>0</v>
      </c>
      <c r="H104" s="39">
        <f>+F104+G104</f>
        <v>-2936828</v>
      </c>
      <c r="I104" s="39"/>
      <c r="J104" s="39">
        <f>+H104+I104</f>
        <v>-2936828</v>
      </c>
      <c r="K104" s="44"/>
      <c r="L104" s="4"/>
    </row>
    <row r="105" spans="2:12" hidden="1" outlineLevel="1" x14ac:dyDescent="0.25">
      <c r="B105" s="26" t="s">
        <v>274</v>
      </c>
      <c r="C105" s="41"/>
      <c r="D105" s="41"/>
      <c r="E105" s="41"/>
      <c r="F105" s="49">
        <f>+F103+F104</f>
        <v>33056805</v>
      </c>
      <c r="G105" s="49">
        <f t="shared" ref="G105:J105" si="20">+G103+G104</f>
        <v>2005366</v>
      </c>
      <c r="H105" s="161">
        <f t="shared" si="20"/>
        <v>35047781</v>
      </c>
      <c r="I105" s="49">
        <f t="shared" si="20"/>
        <v>-16446314.003400002</v>
      </c>
      <c r="J105" s="49">
        <f t="shared" si="20"/>
        <v>27528678</v>
      </c>
      <c r="K105" s="44"/>
      <c r="L105" s="4"/>
    </row>
    <row r="106" spans="2:12" hidden="1" outlineLevel="1" x14ac:dyDescent="0.25">
      <c r="B106" s="26" t="s">
        <v>205</v>
      </c>
      <c r="C106" s="41"/>
      <c r="D106" s="41"/>
      <c r="E106" s="41"/>
      <c r="F106" s="39">
        <v>0</v>
      </c>
      <c r="G106" s="39">
        <v>-2340607</v>
      </c>
      <c r="H106" s="39">
        <f>+F106+G106</f>
        <v>-2340607</v>
      </c>
      <c r="I106" s="47"/>
      <c r="J106" s="39">
        <f>+H106+I106</f>
        <v>-2340607</v>
      </c>
      <c r="L106" s="4"/>
    </row>
    <row r="107" spans="2:12" hidden="1" outlineLevel="1" x14ac:dyDescent="0.25">
      <c r="B107" s="26" t="s">
        <v>194</v>
      </c>
      <c r="C107" s="41"/>
      <c r="D107" s="41"/>
      <c r="E107" s="41"/>
      <c r="F107" s="39">
        <v>-1341885</v>
      </c>
      <c r="G107" s="39">
        <v>-260067</v>
      </c>
      <c r="H107" s="39">
        <f>+F107+G107</f>
        <v>-1601952</v>
      </c>
      <c r="I107" s="39"/>
      <c r="J107" s="39">
        <f>+H107+I107</f>
        <v>-1601952</v>
      </c>
      <c r="L107" s="4"/>
    </row>
    <row r="108" spans="2:12" hidden="1" outlineLevel="1" x14ac:dyDescent="0.25">
      <c r="B108" s="26" t="s">
        <v>58</v>
      </c>
      <c r="C108" s="41"/>
      <c r="D108" s="41"/>
      <c r="E108" s="41"/>
      <c r="F108" s="39">
        <v>6808164</v>
      </c>
      <c r="G108" s="39">
        <v>3793728</v>
      </c>
      <c r="H108" s="39">
        <f>+F108+G108</f>
        <v>10601892</v>
      </c>
      <c r="I108" s="39"/>
      <c r="J108" s="39">
        <f>+H108+I108</f>
        <v>10601892</v>
      </c>
      <c r="L108" s="4"/>
    </row>
    <row r="109" spans="2:12" collapsed="1" x14ac:dyDescent="0.25">
      <c r="B109" s="26" t="s">
        <v>204</v>
      </c>
      <c r="C109" s="41"/>
      <c r="D109" s="41"/>
      <c r="E109" s="41"/>
      <c r="F109" s="48">
        <f>SUM(F105:F108)</f>
        <v>38523084</v>
      </c>
      <c r="G109" s="48">
        <f>SUM(G105:G108)</f>
        <v>3198420</v>
      </c>
      <c r="H109" s="48">
        <f>+F109+G109</f>
        <v>41721504</v>
      </c>
      <c r="I109" s="48">
        <f>SUM(I105:I108)</f>
        <v>-16446314.003400002</v>
      </c>
      <c r="J109" s="48">
        <f>SUM(J105:J108)</f>
        <v>34188011</v>
      </c>
      <c r="K109" s="38"/>
      <c r="L109" s="4"/>
    </row>
    <row r="110" spans="2:12" x14ac:dyDescent="0.25">
      <c r="B110" s="26" t="s">
        <v>269</v>
      </c>
      <c r="C110" s="41"/>
      <c r="D110" s="41"/>
      <c r="E110" s="41"/>
      <c r="F110" s="39">
        <v>-6127345</v>
      </c>
      <c r="G110" s="39"/>
      <c r="H110" s="39">
        <f>+F110+G110</f>
        <v>-6127345</v>
      </c>
      <c r="I110" s="39"/>
      <c r="J110" s="39">
        <f>+H110+I110</f>
        <v>-6127345</v>
      </c>
      <c r="K110" s="38"/>
      <c r="L110" s="4"/>
    </row>
    <row r="111" spans="2:12" x14ac:dyDescent="0.25">
      <c r="B111" s="26" t="s">
        <v>268</v>
      </c>
      <c r="C111" s="41"/>
      <c r="D111" s="41"/>
      <c r="E111" s="41"/>
      <c r="F111" s="39">
        <v>-680816</v>
      </c>
      <c r="G111" s="39">
        <f>-259368-379372</f>
        <v>-638740</v>
      </c>
      <c r="H111" s="39">
        <f t="shared" ref="H111:J114" si="21">+F111+G111</f>
        <v>-1319556</v>
      </c>
      <c r="I111" s="39"/>
      <c r="J111" s="39">
        <f t="shared" si="21"/>
        <v>-1319556</v>
      </c>
      <c r="L111" s="4"/>
    </row>
    <row r="112" spans="2:12" x14ac:dyDescent="0.25">
      <c r="B112" s="26" t="s">
        <v>270</v>
      </c>
      <c r="C112" s="41"/>
      <c r="D112" s="41"/>
      <c r="E112" s="41"/>
      <c r="F112" s="39">
        <f>446968</f>
        <v>446968</v>
      </c>
      <c r="G112" s="39"/>
      <c r="H112" s="39">
        <f t="shared" si="21"/>
        <v>446968</v>
      </c>
      <c r="I112" s="39"/>
      <c r="J112" s="39">
        <f t="shared" si="21"/>
        <v>446968</v>
      </c>
      <c r="L112" s="4"/>
    </row>
    <row r="113" spans="2:12" x14ac:dyDescent="0.25">
      <c r="B113" s="26" t="s">
        <v>58</v>
      </c>
      <c r="C113" s="41"/>
      <c r="D113" s="41"/>
      <c r="E113" s="41"/>
      <c r="F113" s="39">
        <v>5595545</v>
      </c>
      <c r="G113" s="39">
        <v>2593677</v>
      </c>
      <c r="H113" s="39">
        <f t="shared" si="21"/>
        <v>8189222</v>
      </c>
      <c r="I113" s="39">
        <f>+ER!M39</f>
        <v>1836936.4151480002</v>
      </c>
      <c r="J113" s="39">
        <f t="shared" si="21"/>
        <v>10026158.415148001</v>
      </c>
      <c r="K113" s="38">
        <f>+F113-5595545</f>
        <v>0</v>
      </c>
      <c r="L113" s="4"/>
    </row>
    <row r="114" spans="2:12" x14ac:dyDescent="0.25">
      <c r="B114" s="26" t="s">
        <v>205</v>
      </c>
      <c r="C114" s="41"/>
      <c r="D114" s="41"/>
      <c r="E114" s="41"/>
      <c r="F114" s="39"/>
      <c r="G114" s="39">
        <v>-3414354</v>
      </c>
      <c r="H114" s="39">
        <f t="shared" si="21"/>
        <v>-3414354</v>
      </c>
      <c r="I114" s="39"/>
      <c r="J114" s="39">
        <f t="shared" si="21"/>
        <v>-3414354</v>
      </c>
      <c r="L114" s="4"/>
    </row>
    <row r="115" spans="2:12" x14ac:dyDescent="0.25">
      <c r="B115" s="26" t="s">
        <v>267</v>
      </c>
      <c r="C115" s="41"/>
      <c r="D115" s="41"/>
      <c r="E115" s="41"/>
      <c r="F115" s="48">
        <f>SUM(F109:F114)</f>
        <v>37757436</v>
      </c>
      <c r="G115" s="164">
        <f>SUM(G109:G114)</f>
        <v>1739003</v>
      </c>
      <c r="H115" s="164">
        <f>+F115+G115</f>
        <v>39496439</v>
      </c>
      <c r="I115" s="48">
        <f>SUM(I109:I114)</f>
        <v>-14609377.588252001</v>
      </c>
      <c r="J115" s="48">
        <f>+H115+I115</f>
        <v>24887061.411747999</v>
      </c>
      <c r="K115" s="38"/>
      <c r="L115" s="4"/>
    </row>
    <row r="116" spans="2:12" x14ac:dyDescent="0.25">
      <c r="B116" s="26" t="s">
        <v>270</v>
      </c>
      <c r="C116" s="41"/>
      <c r="D116" s="41"/>
      <c r="E116" s="41"/>
      <c r="F116" s="39">
        <v>251108</v>
      </c>
      <c r="G116" s="165">
        <v>-48910</v>
      </c>
      <c r="H116" s="165">
        <f>+F116+G116</f>
        <v>202198</v>
      </c>
      <c r="I116" s="39"/>
      <c r="J116" s="39">
        <f>+H116+I116</f>
        <v>202198</v>
      </c>
      <c r="L116" s="4"/>
    </row>
    <row r="117" spans="2:12" x14ac:dyDescent="0.25">
      <c r="B117" s="26" t="s">
        <v>322</v>
      </c>
      <c r="C117" s="41"/>
      <c r="D117" s="41"/>
      <c r="E117" s="41"/>
      <c r="F117" s="39">
        <v>854455</v>
      </c>
      <c r="G117" s="165">
        <v>-334309</v>
      </c>
      <c r="H117" s="165">
        <f t="shared" ref="H117:H121" si="22">+F117+G117</f>
        <v>520146</v>
      </c>
      <c r="I117" s="39"/>
      <c r="J117" s="39">
        <f t="shared" ref="J117:J121" si="23">+H117+I117</f>
        <v>520146</v>
      </c>
      <c r="L117" s="4"/>
    </row>
    <row r="118" spans="2:12" x14ac:dyDescent="0.25">
      <c r="B118" s="26" t="s">
        <v>205</v>
      </c>
      <c r="C118" s="41"/>
      <c r="D118" s="41"/>
      <c r="E118" s="154"/>
      <c r="F118" s="39">
        <v>-5035990</v>
      </c>
      <c r="G118" s="165">
        <v>-2143739</v>
      </c>
      <c r="H118" s="165">
        <f t="shared" si="22"/>
        <v>-7179729</v>
      </c>
      <c r="I118" s="39"/>
      <c r="J118" s="39">
        <f t="shared" si="23"/>
        <v>-7179729</v>
      </c>
      <c r="L118" s="4"/>
    </row>
    <row r="119" spans="2:12" x14ac:dyDescent="0.25">
      <c r="B119" s="26" t="s">
        <v>268</v>
      </c>
      <c r="C119" s="41"/>
      <c r="D119" s="41"/>
      <c r="E119" s="75"/>
      <c r="F119" s="39">
        <v>-559555</v>
      </c>
      <c r="G119" s="165"/>
      <c r="H119" s="165">
        <f t="shared" si="22"/>
        <v>-559555</v>
      </c>
      <c r="I119" s="39"/>
      <c r="J119" s="39"/>
      <c r="L119" s="4"/>
    </row>
    <row r="120" spans="2:12" x14ac:dyDescent="0.25">
      <c r="B120" s="26" t="s">
        <v>323</v>
      </c>
      <c r="C120" s="41"/>
      <c r="D120" s="41"/>
      <c r="E120" s="41"/>
      <c r="F120" s="39"/>
      <c r="G120" s="165">
        <v>-190570</v>
      </c>
      <c r="H120" s="165">
        <f t="shared" si="22"/>
        <v>-190570</v>
      </c>
      <c r="I120" s="39"/>
      <c r="J120" s="39">
        <f t="shared" si="23"/>
        <v>-190570</v>
      </c>
      <c r="L120" s="4"/>
    </row>
    <row r="121" spans="2:12" x14ac:dyDescent="0.25">
      <c r="B121" s="26" t="s">
        <v>324</v>
      </c>
      <c r="C121" s="41"/>
      <c r="D121" s="41"/>
      <c r="E121" s="41"/>
      <c r="F121" s="39">
        <f>ER!D35</f>
        <v>9390028.4499999881</v>
      </c>
      <c r="G121" s="165">
        <f>ER!E35</f>
        <v>3747805</v>
      </c>
      <c r="H121" s="165">
        <f t="shared" si="22"/>
        <v>13137833.449999988</v>
      </c>
      <c r="I121" s="39">
        <f>+ER!G35</f>
        <v>3084140.405702</v>
      </c>
      <c r="J121" s="39">
        <f t="shared" si="23"/>
        <v>16221973.855701989</v>
      </c>
      <c r="L121" s="4"/>
    </row>
    <row r="122" spans="2:12" ht="15.75" thickBot="1" x14ac:dyDescent="0.3">
      <c r="B122" s="26" t="s">
        <v>315</v>
      </c>
      <c r="C122" s="41"/>
      <c r="D122" s="41"/>
      <c r="E122" s="41"/>
      <c r="F122" s="107">
        <f>SUM(F115:F121)</f>
        <v>42657482.449999988</v>
      </c>
      <c r="G122" s="166">
        <f>SUM(G115:G121)</f>
        <v>2769280</v>
      </c>
      <c r="H122" s="166">
        <f>+F122+G122</f>
        <v>45426762.449999988</v>
      </c>
      <c r="I122" s="107">
        <f>SUM(I115:I121)</f>
        <v>-11525237.18255</v>
      </c>
      <c r="J122" s="107">
        <f>+H122+I122</f>
        <v>33901525.26744999</v>
      </c>
      <c r="K122" s="38"/>
      <c r="L122" s="4"/>
    </row>
    <row r="123" spans="2:12" ht="15.75" thickTop="1" x14ac:dyDescent="0.25">
      <c r="B123" s="26"/>
      <c r="C123" s="41"/>
      <c r="D123" s="41"/>
      <c r="E123" s="41"/>
      <c r="F123" s="39"/>
      <c r="G123" s="39"/>
      <c r="H123" s="39"/>
      <c r="I123" s="39"/>
      <c r="J123" s="39"/>
      <c r="K123" s="38"/>
      <c r="L123" s="4"/>
    </row>
    <row r="124" spans="2:12" x14ac:dyDescent="0.25">
      <c r="B124" s="155" t="s">
        <v>328</v>
      </c>
      <c r="C124" s="158"/>
      <c r="D124" s="158"/>
      <c r="E124" s="158"/>
      <c r="F124" s="156">
        <f>+F122+F86+F73+F66</f>
        <v>41106066.449999988</v>
      </c>
      <c r="G124" s="156">
        <f>+G122+G86+G73+G66</f>
        <v>2683535</v>
      </c>
      <c r="H124" s="156">
        <f>+H122+H86+H73+H66</f>
        <v>43789601.449999988</v>
      </c>
      <c r="I124" s="156">
        <f>+I122+I86+I73+I66</f>
        <v>-11525237.18255</v>
      </c>
      <c r="J124" s="156">
        <f>+J122+J86+J73+J66</f>
        <v>32264364.26744999</v>
      </c>
      <c r="K124" s="38">
        <f>+I124-'BG '!G69</f>
        <v>0</v>
      </c>
      <c r="L124" s="4"/>
    </row>
    <row r="125" spans="2:12" x14ac:dyDescent="0.25">
      <c r="B125" s="26"/>
      <c r="C125" s="41"/>
      <c r="D125" s="41"/>
      <c r="E125" s="41"/>
      <c r="F125" s="39"/>
      <c r="G125" s="39"/>
      <c r="H125" s="39">
        <f>+H124-'BG '!F69</f>
        <v>0</v>
      </c>
      <c r="I125" s="39"/>
      <c r="J125" s="39"/>
      <c r="L125" s="4"/>
    </row>
    <row r="126" spans="2:12" ht="13.15" customHeight="1" x14ac:dyDescent="0.25">
      <c r="B126" s="43" t="s">
        <v>329</v>
      </c>
      <c r="C126" s="41"/>
      <c r="D126" s="41"/>
      <c r="E126" s="41"/>
      <c r="F126" s="39"/>
      <c r="G126" s="39"/>
      <c r="H126" s="39"/>
      <c r="I126" s="47"/>
      <c r="J126" s="47"/>
      <c r="L126" s="4"/>
    </row>
    <row r="127" spans="2:12" hidden="1" outlineLevel="1" x14ac:dyDescent="0.25">
      <c r="B127" s="26" t="s">
        <v>75</v>
      </c>
      <c r="C127" s="41"/>
      <c r="D127" s="41"/>
      <c r="E127" s="41"/>
      <c r="F127" s="39">
        <f>+F8+F26+F38+F53+F62+F69+F89</f>
        <v>39550217</v>
      </c>
      <c r="G127" s="39">
        <f>+G8+G26+G38+G53+G62+G69+G89</f>
        <v>5424539</v>
      </c>
      <c r="H127" s="39">
        <f t="shared" si="0"/>
        <v>44974756</v>
      </c>
      <c r="I127" s="47"/>
      <c r="J127" s="39">
        <f t="shared" ref="J127:J137" si="24">+H127+I127</f>
        <v>44974756</v>
      </c>
      <c r="L127" s="4"/>
    </row>
    <row r="128" spans="2:12" hidden="1" outlineLevel="1" x14ac:dyDescent="0.25">
      <c r="B128" s="26" t="s">
        <v>183</v>
      </c>
      <c r="C128" s="41"/>
      <c r="D128" s="41"/>
      <c r="E128" s="41"/>
      <c r="F128" s="39"/>
      <c r="G128" s="39">
        <v>-154178</v>
      </c>
      <c r="H128" s="39"/>
      <c r="I128" s="47"/>
      <c r="J128" s="39"/>
      <c r="L128" s="4"/>
    </row>
    <row r="129" spans="2:12" hidden="1" outlineLevel="1" x14ac:dyDescent="0.25">
      <c r="B129" s="26" t="s">
        <v>141</v>
      </c>
      <c r="C129" s="41"/>
      <c r="D129" s="41"/>
      <c r="E129" s="41"/>
      <c r="F129" s="39">
        <f>+F90</f>
        <v>-10113380</v>
      </c>
      <c r="G129" s="39"/>
      <c r="H129" s="39">
        <f t="shared" si="0"/>
        <v>-10113380</v>
      </c>
      <c r="I129" s="47"/>
      <c r="J129" s="39">
        <f t="shared" si="24"/>
        <v>-10113380</v>
      </c>
      <c r="L129" s="4"/>
    </row>
    <row r="130" spans="2:12" hidden="1" outlineLevel="1" x14ac:dyDescent="0.25">
      <c r="B130" s="26" t="s">
        <v>243</v>
      </c>
      <c r="C130" s="41"/>
      <c r="D130" s="41"/>
      <c r="E130" s="41"/>
      <c r="F130" s="39">
        <f>+F94+F69+F62+F53+F40+F28+F9</f>
        <v>55520427</v>
      </c>
      <c r="G130" s="39">
        <f>+G127+G128</f>
        <v>5270361</v>
      </c>
      <c r="H130" s="39">
        <f t="shared" ref="H130:H137" si="25">+F130+G130</f>
        <v>60790788</v>
      </c>
      <c r="I130" s="93">
        <f>+I94</f>
        <v>-2004572</v>
      </c>
      <c r="J130" s="39">
        <f t="shared" si="24"/>
        <v>58786216</v>
      </c>
      <c r="L130" s="4"/>
    </row>
    <row r="131" spans="2:12" hidden="1" outlineLevel="1" x14ac:dyDescent="0.25">
      <c r="B131" s="26" t="s">
        <v>202</v>
      </c>
      <c r="C131" s="41"/>
      <c r="D131" s="41"/>
      <c r="E131" s="41"/>
      <c r="F131" s="39">
        <f>+F96</f>
        <v>-5585599</v>
      </c>
      <c r="G131" s="39">
        <f>+G96</f>
        <v>0</v>
      </c>
      <c r="H131" s="39">
        <f>+H96</f>
        <v>-5585599</v>
      </c>
      <c r="I131" s="39">
        <f>+I96</f>
        <v>0</v>
      </c>
      <c r="J131" s="39">
        <f>+J96</f>
        <v>-5585599</v>
      </c>
      <c r="L131" s="4"/>
    </row>
    <row r="132" spans="2:12" hidden="1" outlineLevel="1" x14ac:dyDescent="0.25">
      <c r="B132" s="26" t="s">
        <v>243</v>
      </c>
      <c r="C132" s="41"/>
      <c r="D132" s="41"/>
      <c r="E132" s="41"/>
      <c r="F132" s="39">
        <f>SUM(F130:F131)</f>
        <v>49934828</v>
      </c>
      <c r="G132" s="39">
        <f>SUM(G130:G131)</f>
        <v>5270361</v>
      </c>
      <c r="H132" s="39">
        <f>SUM(H130:H131)</f>
        <v>55205189</v>
      </c>
      <c r="I132" s="39">
        <f>SUM(I130:I131)</f>
        <v>-2004572</v>
      </c>
      <c r="J132" s="39">
        <f>SUM(J130:J131)</f>
        <v>53200617</v>
      </c>
      <c r="L132" s="4"/>
    </row>
    <row r="133" spans="2:12" hidden="1" outlineLevel="1" x14ac:dyDescent="0.25">
      <c r="B133" s="26" t="str">
        <f>+B29</f>
        <v>Devolución de aporte de accionistas 13 enero 2015</v>
      </c>
      <c r="C133" s="41"/>
      <c r="D133" s="41"/>
      <c r="E133" s="41"/>
      <c r="F133" s="93">
        <f>+F29</f>
        <v>-3094403</v>
      </c>
      <c r="G133" s="39"/>
      <c r="H133" s="39">
        <f>+F133+G133</f>
        <v>-3094403</v>
      </c>
      <c r="I133" s="47"/>
      <c r="J133" s="39">
        <f>+H133+I133</f>
        <v>-3094403</v>
      </c>
      <c r="L133" s="4"/>
    </row>
    <row r="134" spans="2:12" hidden="1" outlineLevel="1" x14ac:dyDescent="0.25">
      <c r="B134" s="26" t="s">
        <v>76</v>
      </c>
      <c r="C134" s="41"/>
      <c r="D134" s="41"/>
      <c r="E134" s="41"/>
      <c r="F134" s="39"/>
      <c r="G134" s="39"/>
      <c r="H134" s="39">
        <f t="shared" si="25"/>
        <v>0</v>
      </c>
      <c r="I134" s="47"/>
      <c r="J134" s="39">
        <f t="shared" si="24"/>
        <v>0</v>
      </c>
      <c r="L134" s="4"/>
    </row>
    <row r="135" spans="2:12" hidden="1" outlineLevel="1" x14ac:dyDescent="0.25">
      <c r="B135" s="26" t="s">
        <v>77</v>
      </c>
      <c r="C135" s="41"/>
      <c r="D135" s="41"/>
      <c r="E135" s="41"/>
      <c r="F135" s="39"/>
      <c r="G135" s="39"/>
      <c r="H135" s="39">
        <f t="shared" si="25"/>
        <v>0</v>
      </c>
      <c r="I135" s="47"/>
      <c r="J135" s="39">
        <f t="shared" si="24"/>
        <v>0</v>
      </c>
      <c r="L135" s="4"/>
    </row>
    <row r="136" spans="2:12" hidden="1" outlineLevel="1" x14ac:dyDescent="0.25">
      <c r="B136" s="26" t="s">
        <v>78</v>
      </c>
      <c r="C136" s="41"/>
      <c r="D136" s="41"/>
      <c r="E136" s="41"/>
      <c r="F136" s="39"/>
      <c r="G136" s="39"/>
      <c r="H136" s="39">
        <f t="shared" si="25"/>
        <v>0</v>
      </c>
      <c r="I136" s="47"/>
      <c r="J136" s="39">
        <f t="shared" si="24"/>
        <v>0</v>
      </c>
      <c r="L136" s="4"/>
    </row>
    <row r="137" spans="2:12" hidden="1" outlineLevel="1" x14ac:dyDescent="0.25">
      <c r="B137" s="26" t="s">
        <v>142</v>
      </c>
      <c r="C137" s="41"/>
      <c r="D137" s="41"/>
      <c r="E137" s="41"/>
      <c r="F137" s="39"/>
      <c r="G137" s="39"/>
      <c r="H137" s="39">
        <f t="shared" si="25"/>
        <v>0</v>
      </c>
      <c r="I137" s="47"/>
      <c r="J137" s="39">
        <f t="shared" si="24"/>
        <v>0</v>
      </c>
      <c r="L137" s="4"/>
    </row>
    <row r="138" spans="2:12" hidden="1" outlineLevel="1" x14ac:dyDescent="0.25">
      <c r="B138" s="26" t="s">
        <v>203</v>
      </c>
      <c r="C138" s="41"/>
      <c r="D138" s="41"/>
      <c r="E138" s="41"/>
      <c r="F138" s="39">
        <v>14390</v>
      </c>
      <c r="G138" s="39">
        <v>0</v>
      </c>
      <c r="H138" s="39">
        <f>+F138+G138</f>
        <v>14390</v>
      </c>
      <c r="I138" s="47"/>
      <c r="J138" s="39">
        <f>+H138+I138</f>
        <v>14390</v>
      </c>
      <c r="K138" s="40"/>
      <c r="L138" s="4"/>
    </row>
    <row r="139" spans="2:12" hidden="1" outlineLevel="1" x14ac:dyDescent="0.25">
      <c r="B139" s="26" t="s">
        <v>58</v>
      </c>
      <c r="C139" s="41"/>
      <c r="D139" s="41"/>
      <c r="E139" s="41"/>
      <c r="F139" s="39">
        <f>+F102+F79</f>
        <v>13423797</v>
      </c>
      <c r="G139" s="39">
        <f>+G102+G79</f>
        <v>2603318</v>
      </c>
      <c r="H139" s="39">
        <f>+H102+H79</f>
        <v>16027115</v>
      </c>
      <c r="I139" s="39">
        <f>+I102+I79</f>
        <v>-5514531</v>
      </c>
      <c r="J139" s="39">
        <f>+J102+J79</f>
        <v>10512584</v>
      </c>
      <c r="L139" s="4"/>
    </row>
    <row r="140" spans="2:12" hidden="1" outlineLevel="1" x14ac:dyDescent="0.25">
      <c r="B140" s="26" t="s">
        <v>245</v>
      </c>
      <c r="C140" s="41"/>
      <c r="D140" s="41"/>
      <c r="E140" s="41"/>
      <c r="F140" s="39">
        <f>SUM(F132:F139)</f>
        <v>60278612</v>
      </c>
      <c r="G140" s="39">
        <f>SUM(G132:G139)</f>
        <v>7873679</v>
      </c>
      <c r="H140" s="39">
        <f>+F140+G140</f>
        <v>68152291</v>
      </c>
      <c r="I140" s="39">
        <f>+I103</f>
        <v>-16446314.003400002</v>
      </c>
      <c r="J140" s="39">
        <f>+H140+I140</f>
        <v>51705976.996600002</v>
      </c>
      <c r="L140" s="4"/>
    </row>
    <row r="141" spans="2:12" hidden="1" outlineLevel="1" x14ac:dyDescent="0.25">
      <c r="B141" s="142" t="s">
        <v>273</v>
      </c>
      <c r="C141" s="143"/>
      <c r="D141" s="143"/>
      <c r="E141" s="143"/>
      <c r="F141" s="53">
        <v>-2936828</v>
      </c>
      <c r="G141" s="53">
        <v>0</v>
      </c>
      <c r="H141" s="53">
        <f>+F141+G141</f>
        <v>-2936828</v>
      </c>
      <c r="I141" s="53"/>
      <c r="J141" s="53">
        <f t="shared" ref="J141:J150" si="26">+H141+I141</f>
        <v>-2936828</v>
      </c>
      <c r="K141" s="44"/>
      <c r="L141" s="4"/>
    </row>
    <row r="142" spans="2:12" hidden="1" outlineLevel="1" x14ac:dyDescent="0.25">
      <c r="B142" s="26" t="s">
        <v>274</v>
      </c>
      <c r="C142" s="41"/>
      <c r="D142" s="41"/>
      <c r="E142" s="41"/>
      <c r="F142" s="39">
        <f>+F140+F141</f>
        <v>57341784</v>
      </c>
      <c r="G142" s="39">
        <f t="shared" ref="G142:I142" si="27">+G140+G141</f>
        <v>7873679</v>
      </c>
      <c r="H142" s="39">
        <f t="shared" si="27"/>
        <v>65215463</v>
      </c>
      <c r="I142" s="39">
        <f t="shared" si="27"/>
        <v>-16446314.003400002</v>
      </c>
      <c r="J142" s="39">
        <f t="shared" si="26"/>
        <v>48769148.996600002</v>
      </c>
      <c r="K142" s="44"/>
      <c r="L142" s="4"/>
    </row>
    <row r="143" spans="2:12" hidden="1" outlineLevel="1" x14ac:dyDescent="0.25">
      <c r="B143" s="26" t="s">
        <v>141</v>
      </c>
      <c r="C143" s="41"/>
      <c r="D143" s="41"/>
      <c r="E143" s="41"/>
      <c r="F143" s="39">
        <v>0</v>
      </c>
      <c r="G143" s="39">
        <v>0</v>
      </c>
      <c r="H143" s="39">
        <f>+F143+G143</f>
        <v>0</v>
      </c>
      <c r="I143" s="39"/>
      <c r="J143" s="39">
        <f t="shared" si="26"/>
        <v>0</v>
      </c>
      <c r="K143" s="44"/>
      <c r="L143" s="4"/>
    </row>
    <row r="144" spans="2:12" hidden="1" outlineLevel="1" x14ac:dyDescent="0.25">
      <c r="B144" s="26" t="s">
        <v>58</v>
      </c>
      <c r="C144" s="41"/>
      <c r="D144" s="41"/>
      <c r="E144" s="41"/>
      <c r="F144" s="39">
        <v>6312362</v>
      </c>
      <c r="G144" s="39">
        <f>+G108+G81</f>
        <v>3810401</v>
      </c>
      <c r="H144" s="39">
        <f>+F144+G144</f>
        <v>10122763</v>
      </c>
      <c r="I144" s="39">
        <f>+I108+I81</f>
        <v>0</v>
      </c>
      <c r="J144" s="39">
        <f t="shared" si="26"/>
        <v>10122763</v>
      </c>
      <c r="L144" s="4"/>
    </row>
    <row r="145" spans="2:12" collapsed="1" x14ac:dyDescent="0.25">
      <c r="B145" s="26" t="s">
        <v>204</v>
      </c>
      <c r="C145" s="41"/>
      <c r="D145" s="41"/>
      <c r="E145" s="115"/>
      <c r="F145" s="48">
        <f>SUM(F142:F144)</f>
        <v>63654146</v>
      </c>
      <c r="G145" s="48">
        <f>SUM(G142:G144)</f>
        <v>11684080</v>
      </c>
      <c r="H145" s="48">
        <f>SUM(H142:H144)</f>
        <v>75338226</v>
      </c>
      <c r="I145" s="48">
        <f>SUM(I142:I144)</f>
        <v>-16446314.003400002</v>
      </c>
      <c r="J145" s="48">
        <f t="shared" si="26"/>
        <v>58891911.996600002</v>
      </c>
      <c r="L145" s="4"/>
    </row>
    <row r="146" spans="2:12" x14ac:dyDescent="0.25">
      <c r="B146" s="26" t="s">
        <v>270</v>
      </c>
      <c r="C146" s="41"/>
      <c r="D146" s="41"/>
      <c r="E146" s="41"/>
      <c r="F146" s="39">
        <f>128916+446968</f>
        <v>575884</v>
      </c>
      <c r="G146" s="39">
        <v>0</v>
      </c>
      <c r="H146" s="39">
        <f t="shared" ref="H146:H148" si="28">+F146+G146</f>
        <v>575884</v>
      </c>
      <c r="I146" s="39"/>
      <c r="J146" s="39">
        <f t="shared" si="26"/>
        <v>575884</v>
      </c>
      <c r="L146" s="4"/>
    </row>
    <row r="147" spans="2:12" ht="24.75" customHeight="1" x14ac:dyDescent="0.25">
      <c r="B147" s="194" t="s">
        <v>266</v>
      </c>
      <c r="C147" s="195"/>
      <c r="D147" s="195"/>
      <c r="E147" s="196"/>
      <c r="F147" s="39">
        <v>-705016</v>
      </c>
      <c r="G147" s="39">
        <v>0</v>
      </c>
      <c r="H147" s="39">
        <f t="shared" si="28"/>
        <v>-705016</v>
      </c>
      <c r="I147" s="39"/>
      <c r="J147" s="39">
        <f t="shared" si="26"/>
        <v>-705016</v>
      </c>
      <c r="L147" s="4"/>
    </row>
    <row r="148" spans="2:12" x14ac:dyDescent="0.25">
      <c r="B148" s="26" t="s">
        <v>58</v>
      </c>
      <c r="C148" s="41"/>
      <c r="D148" s="41"/>
      <c r="E148" s="41"/>
      <c r="F148" s="39">
        <v>7316288</v>
      </c>
      <c r="G148" s="53">
        <v>2567422</v>
      </c>
      <c r="H148" s="53">
        <f t="shared" si="28"/>
        <v>9883710</v>
      </c>
      <c r="I148" s="53">
        <f>+I113</f>
        <v>1836936.4151480002</v>
      </c>
      <c r="J148" s="53">
        <f t="shared" si="26"/>
        <v>11720646.415148001</v>
      </c>
      <c r="L148" s="4"/>
    </row>
    <row r="149" spans="2:12" x14ac:dyDescent="0.25">
      <c r="B149" s="26" t="s">
        <v>267</v>
      </c>
      <c r="C149" s="41"/>
      <c r="D149" s="41"/>
      <c r="E149" s="115"/>
      <c r="F149" s="49">
        <f>SUM(F145:F148)</f>
        <v>70841302</v>
      </c>
      <c r="G149" s="49">
        <f>SUM(G145:G148)+1</f>
        <v>14251503</v>
      </c>
      <c r="H149" s="49">
        <f>+G149+F149</f>
        <v>85092805</v>
      </c>
      <c r="I149" s="49">
        <f>SUM(I145:I148)</f>
        <v>-14609377.588252001</v>
      </c>
      <c r="J149" s="49">
        <f t="shared" si="26"/>
        <v>70483427.411747992</v>
      </c>
      <c r="K149" s="38">
        <f>+F149-70841302</f>
        <v>0</v>
      </c>
      <c r="L149" s="4"/>
    </row>
    <row r="150" spans="2:12" x14ac:dyDescent="0.25">
      <c r="B150" s="26" t="s">
        <v>330</v>
      </c>
      <c r="C150" s="41"/>
      <c r="D150" s="41"/>
      <c r="E150" s="41"/>
      <c r="F150" s="39">
        <v>70086</v>
      </c>
      <c r="G150" s="39">
        <v>-16606</v>
      </c>
      <c r="H150" s="39">
        <f t="shared" ref="H150" si="29">+F150+G150</f>
        <v>53480</v>
      </c>
      <c r="I150" s="47"/>
      <c r="J150" s="39">
        <f t="shared" si="26"/>
        <v>53480</v>
      </c>
    </row>
    <row r="151" spans="2:12" x14ac:dyDescent="0.25">
      <c r="B151" s="26" t="s">
        <v>270</v>
      </c>
      <c r="C151" s="41"/>
      <c r="D151" s="41"/>
      <c r="E151" s="41"/>
      <c r="F151" s="39">
        <v>251108</v>
      </c>
      <c r="G151" s="165">
        <v>-48910</v>
      </c>
      <c r="H151" s="165">
        <f>+F151+G151</f>
        <v>202198</v>
      </c>
      <c r="I151" s="39"/>
      <c r="J151" s="39">
        <f>+H151+I151</f>
        <v>202198</v>
      </c>
      <c r="L151" s="4"/>
    </row>
    <row r="152" spans="2:12" x14ac:dyDescent="0.25">
      <c r="B152" s="26" t="s">
        <v>322</v>
      </c>
      <c r="C152" s="41"/>
      <c r="D152" s="41"/>
      <c r="E152" s="41"/>
      <c r="F152" s="39">
        <v>854455</v>
      </c>
      <c r="G152" s="165">
        <v>-334309</v>
      </c>
      <c r="H152" s="165">
        <f t="shared" ref="H152:H153" si="30">+F152+G152</f>
        <v>520146</v>
      </c>
      <c r="I152" s="39"/>
      <c r="J152" s="39">
        <f t="shared" ref="J152" si="31">+H152+I152</f>
        <v>520146</v>
      </c>
      <c r="L152" s="4"/>
    </row>
    <row r="153" spans="2:12" x14ac:dyDescent="0.25">
      <c r="B153" s="26" t="s">
        <v>323</v>
      </c>
      <c r="C153" s="41"/>
      <c r="D153" s="41"/>
      <c r="E153" s="41"/>
      <c r="F153" s="39"/>
      <c r="G153" s="165">
        <v>-190570</v>
      </c>
      <c r="H153" s="165">
        <f t="shared" si="30"/>
        <v>-190570</v>
      </c>
      <c r="I153" s="39"/>
      <c r="J153" s="39">
        <f t="shared" ref="J153" si="32">+H153+I153</f>
        <v>-190570</v>
      </c>
      <c r="L153" s="4"/>
    </row>
    <row r="154" spans="2:12" x14ac:dyDescent="0.25">
      <c r="B154" s="26" t="s">
        <v>324</v>
      </c>
      <c r="C154" s="41"/>
      <c r="D154" s="41"/>
      <c r="E154" s="41"/>
      <c r="F154" s="39">
        <f>+F121</f>
        <v>9390028.4499999881</v>
      </c>
      <c r="G154" s="165">
        <f t="shared" ref="G154:J154" si="33">+G121</f>
        <v>3747805</v>
      </c>
      <c r="H154" s="165">
        <f t="shared" si="33"/>
        <v>13137833.449999988</v>
      </c>
      <c r="I154" s="165">
        <f t="shared" si="33"/>
        <v>3084140.405702</v>
      </c>
      <c r="J154" s="165">
        <f t="shared" si="33"/>
        <v>16221973.855701989</v>
      </c>
      <c r="L154" s="4"/>
    </row>
    <row r="155" spans="2:12" ht="15.75" thickBot="1" x14ac:dyDescent="0.3">
      <c r="B155" s="142" t="s">
        <v>315</v>
      </c>
      <c r="C155" s="143"/>
      <c r="D155" s="143"/>
      <c r="E155" s="145"/>
      <c r="F155" s="167">
        <f>SUM(F149:F154)</f>
        <v>81406979.449999988</v>
      </c>
      <c r="G155" s="146">
        <f>SUM(G149:G154)</f>
        <v>17408913</v>
      </c>
      <c r="H155" s="146">
        <f>SUM(H149:H154)</f>
        <v>98815892.449999988</v>
      </c>
      <c r="I155" s="146">
        <f>SUM(I149:I154)</f>
        <v>-11525237.18255</v>
      </c>
      <c r="J155" s="109">
        <f>SUM(J149:J154)</f>
        <v>87290655.267449975</v>
      </c>
    </row>
    <row r="156" spans="2:12" ht="15.75" thickTop="1" x14ac:dyDescent="0.25">
      <c r="F156" s="75">
        <f>+F115+F84+F72+F65+F56+F48+F34+F19-F149</f>
        <v>0</v>
      </c>
      <c r="G156" s="75">
        <f>+G115+G84+G72+G65+G56+G48+G34+G19-G149</f>
        <v>0</v>
      </c>
      <c r="H156" s="75">
        <f>+H115+H84+H72+H65+H56+H48+H34+H19-H149</f>
        <v>0</v>
      </c>
      <c r="I156" s="75">
        <f>+I115+I84+I72+I65+I56+I48+I34+I19-I149</f>
        <v>0</v>
      </c>
      <c r="J156" s="75">
        <f>+J115+J84+J72+J65+J56+J48+J34+J19-J149</f>
        <v>0</v>
      </c>
    </row>
    <row r="159" spans="2:12" x14ac:dyDescent="0.25">
      <c r="J159" s="38"/>
    </row>
    <row r="160" spans="2:12" x14ac:dyDescent="0.25">
      <c r="F160" s="63" t="s">
        <v>261</v>
      </c>
      <c r="G160" s="7"/>
      <c r="H160" s="7"/>
    </row>
    <row r="161" spans="6:7" x14ac:dyDescent="0.25">
      <c r="F161" s="4" t="s">
        <v>262</v>
      </c>
      <c r="G161"/>
    </row>
  </sheetData>
  <mergeCells count="2">
    <mergeCell ref="B147:E147"/>
    <mergeCell ref="B33:E33"/>
  </mergeCells>
  <pageMargins left="0.7" right="0.7" top="0.75" bottom="0.75" header="0.3" footer="0.3"/>
  <pageSetup scale="81" orientation="portrait" r:id="rId1"/>
  <rowBreaks count="1" manualBreakCount="1">
    <brk id="87"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sheetPr>
  <dimension ref="A1:S74"/>
  <sheetViews>
    <sheetView tabSelected="1" topLeftCell="A4" zoomScaleNormal="100" workbookViewId="0">
      <pane xSplit="6" ySplit="2" topLeftCell="G22" activePane="bottomRight" state="frozen"/>
      <selection activeCell="A4" sqref="A4"/>
      <selection pane="topRight" activeCell="G4" sqref="G4"/>
      <selection pane="bottomLeft" activeCell="A6" sqref="A6"/>
      <selection pane="bottomRight" activeCell="B42" sqref="B42:F42"/>
    </sheetView>
  </sheetViews>
  <sheetFormatPr defaultColWidth="11.42578125" defaultRowHeight="15" outlineLevelRow="1" x14ac:dyDescent="0.25"/>
  <cols>
    <col min="1" max="1" width="2.7109375" customWidth="1"/>
    <col min="6" max="6" width="12.140625" customWidth="1"/>
    <col min="7" max="8" width="12.5703125" bestFit="1" customWidth="1"/>
    <col min="9" max="10" width="11.42578125" customWidth="1"/>
    <col min="11" max="11" width="12" hidden="1" customWidth="1"/>
    <col min="12" max="14" width="11.42578125" hidden="1" customWidth="1"/>
    <col min="15" max="15" width="3.5703125" hidden="1" customWidth="1"/>
    <col min="16" max="17" width="11.42578125" hidden="1" customWidth="1"/>
    <col min="18" max="18" width="14.28515625" bestFit="1" customWidth="1"/>
    <col min="19" max="19" width="13.28515625" bestFit="1" customWidth="1"/>
  </cols>
  <sheetData>
    <row r="1" spans="1:18" x14ac:dyDescent="0.25">
      <c r="A1" s="2" t="s">
        <v>0</v>
      </c>
    </row>
    <row r="2" spans="1:18" x14ac:dyDescent="0.25">
      <c r="A2" s="1" t="s">
        <v>154</v>
      </c>
      <c r="O2" s="40"/>
      <c r="Q2" s="40"/>
      <c r="R2" s="44"/>
    </row>
    <row r="3" spans="1:18" x14ac:dyDescent="0.25">
      <c r="A3" s="1" t="s">
        <v>263</v>
      </c>
      <c r="O3" s="40"/>
      <c r="P3" s="40"/>
      <c r="Q3" s="40"/>
      <c r="R3" s="40"/>
    </row>
    <row r="4" spans="1:18" x14ac:dyDescent="0.25">
      <c r="A4" s="3" t="s">
        <v>18</v>
      </c>
      <c r="G4" s="191">
        <v>2018</v>
      </c>
      <c r="H4" s="191"/>
      <c r="I4" s="191">
        <v>2017</v>
      </c>
      <c r="J4" s="191"/>
      <c r="K4" s="191">
        <v>2016</v>
      </c>
      <c r="L4" s="191"/>
      <c r="M4" s="191">
        <v>2015</v>
      </c>
      <c r="N4" s="191"/>
      <c r="O4" s="40"/>
      <c r="P4" s="192">
        <v>2014</v>
      </c>
      <c r="Q4" s="192"/>
      <c r="R4" s="40"/>
    </row>
    <row r="5" spans="1:18" x14ac:dyDescent="0.25">
      <c r="G5" s="137" t="s">
        <v>80</v>
      </c>
      <c r="H5" s="137" t="s">
        <v>81</v>
      </c>
      <c r="I5" s="100" t="s">
        <v>80</v>
      </c>
      <c r="J5" s="100" t="s">
        <v>81</v>
      </c>
      <c r="K5" s="65" t="s">
        <v>80</v>
      </c>
      <c r="L5" s="65" t="s">
        <v>81</v>
      </c>
      <c r="M5" s="37" t="s">
        <v>80</v>
      </c>
      <c r="N5" s="37" t="s">
        <v>81</v>
      </c>
      <c r="O5" s="45"/>
      <c r="P5" s="46" t="s">
        <v>80</v>
      </c>
      <c r="Q5" s="46" t="s">
        <v>81</v>
      </c>
      <c r="R5" s="40"/>
    </row>
    <row r="6" spans="1:18" x14ac:dyDescent="0.25">
      <c r="B6" s="6"/>
      <c r="C6" s="21" t="s">
        <v>82</v>
      </c>
      <c r="D6" s="7"/>
      <c r="E6" s="7"/>
      <c r="F6" s="7"/>
      <c r="G6" s="14"/>
      <c r="H6" s="14"/>
      <c r="I6" s="14"/>
      <c r="J6" s="14"/>
      <c r="K6" s="15"/>
      <c r="L6" s="15"/>
      <c r="M6" s="15"/>
      <c r="N6" s="15"/>
      <c r="O6" s="40"/>
      <c r="P6" s="47"/>
      <c r="Q6" s="47"/>
      <c r="R6" s="40"/>
    </row>
    <row r="7" spans="1:18" x14ac:dyDescent="0.25">
      <c r="B7" s="9" t="s">
        <v>83</v>
      </c>
      <c r="C7" s="10"/>
      <c r="D7" s="10"/>
      <c r="E7" s="10"/>
      <c r="F7" s="10"/>
      <c r="G7" s="19">
        <v>443374</v>
      </c>
      <c r="H7" s="19"/>
      <c r="I7" s="19">
        <v>386373</v>
      </c>
      <c r="J7" s="19"/>
      <c r="K7" s="19">
        <v>323638</v>
      </c>
      <c r="L7" s="19"/>
      <c r="M7" s="19">
        <v>942254</v>
      </c>
      <c r="N7" s="19"/>
      <c r="O7" s="42"/>
      <c r="P7" s="39">
        <v>679872</v>
      </c>
      <c r="Q7" s="39"/>
      <c r="R7" s="40"/>
    </row>
    <row r="8" spans="1:18" hidden="1" x14ac:dyDescent="0.25">
      <c r="B8" s="24" t="s">
        <v>190</v>
      </c>
      <c r="C8" s="10"/>
      <c r="D8" s="10"/>
      <c r="E8" s="10"/>
      <c r="F8" s="10"/>
      <c r="G8" s="19"/>
      <c r="H8" s="19"/>
      <c r="I8" s="19"/>
      <c r="J8" s="19"/>
      <c r="K8" s="19"/>
      <c r="L8" s="19"/>
      <c r="M8" s="19">
        <f>+N9-M7</f>
        <v>113005</v>
      </c>
      <c r="N8" s="19"/>
      <c r="O8" s="42"/>
      <c r="P8" s="39"/>
      <c r="Q8" s="39">
        <f>+P7-Q9</f>
        <v>16101</v>
      </c>
      <c r="R8" s="40"/>
    </row>
    <row r="9" spans="1:18" x14ac:dyDescent="0.25">
      <c r="B9" s="9" t="s">
        <v>84</v>
      </c>
      <c r="C9" s="10"/>
      <c r="D9" s="10"/>
      <c r="E9" s="10"/>
      <c r="F9" s="10"/>
      <c r="G9" s="19"/>
      <c r="H9" s="19">
        <f>+G7</f>
        <v>443374</v>
      </c>
      <c r="I9" s="19"/>
      <c r="J9" s="19">
        <f>+I7</f>
        <v>386373</v>
      </c>
      <c r="K9" s="19"/>
      <c r="L9" s="19">
        <f>+K7</f>
        <v>323638</v>
      </c>
      <c r="M9" s="19"/>
      <c r="N9" s="19">
        <v>1055259</v>
      </c>
      <c r="O9" s="42"/>
      <c r="P9" s="39"/>
      <c r="Q9" s="39">
        <v>663771</v>
      </c>
      <c r="R9" s="40"/>
    </row>
    <row r="10" spans="1:18" x14ac:dyDescent="0.25">
      <c r="B10" s="9" t="s">
        <v>85</v>
      </c>
      <c r="C10" s="10"/>
      <c r="D10" s="10"/>
      <c r="E10" s="10"/>
      <c r="F10" s="10"/>
      <c r="G10" s="19"/>
      <c r="H10" s="19"/>
      <c r="I10" s="19"/>
      <c r="J10" s="19"/>
      <c r="K10" s="19"/>
      <c r="L10" s="19"/>
      <c r="M10" s="19"/>
      <c r="N10" s="19"/>
      <c r="O10" s="42"/>
      <c r="P10" s="39"/>
      <c r="Q10" s="39"/>
      <c r="R10" s="40"/>
    </row>
    <row r="11" spans="1:18" x14ac:dyDescent="0.25">
      <c r="B11" s="22"/>
      <c r="C11" s="12"/>
      <c r="D11" s="12"/>
      <c r="E11" s="12"/>
      <c r="F11" s="12" t="s">
        <v>156</v>
      </c>
      <c r="G11" s="20">
        <f t="shared" ref="G11:H11" si="0">SUM(G7:G10)</f>
        <v>443374</v>
      </c>
      <c r="H11" s="20">
        <f t="shared" si="0"/>
        <v>443374</v>
      </c>
      <c r="I11" s="20">
        <f t="shared" ref="I11:J11" si="1">SUM(I7:I10)</f>
        <v>386373</v>
      </c>
      <c r="J11" s="20">
        <f t="shared" si="1"/>
        <v>386373</v>
      </c>
      <c r="K11" s="20">
        <f t="shared" ref="K11:N11" si="2">SUM(K7:K10)</f>
        <v>323638</v>
      </c>
      <c r="L11" s="20">
        <f t="shared" si="2"/>
        <v>323638</v>
      </c>
      <c r="M11" s="20">
        <f t="shared" si="2"/>
        <v>1055259</v>
      </c>
      <c r="N11" s="20">
        <f t="shared" si="2"/>
        <v>1055259</v>
      </c>
      <c r="O11" s="42"/>
      <c r="P11" s="48">
        <f>SUM(P7:P10)</f>
        <v>679872</v>
      </c>
      <c r="Q11" s="48">
        <f>SUM(Q7:Q10)</f>
        <v>679872</v>
      </c>
      <c r="R11" s="40"/>
    </row>
    <row r="12" spans="1:18" x14ac:dyDescent="0.25">
      <c r="B12" s="6"/>
      <c r="C12" s="21" t="s">
        <v>86</v>
      </c>
      <c r="D12" s="7"/>
      <c r="E12" s="7"/>
      <c r="F12" s="7"/>
      <c r="G12" s="14"/>
      <c r="H12" s="14"/>
      <c r="I12" s="14"/>
      <c r="J12" s="14"/>
      <c r="K12" s="23"/>
      <c r="L12" s="23"/>
      <c r="M12" s="23"/>
      <c r="N12" s="23"/>
      <c r="O12" s="42"/>
      <c r="P12" s="49"/>
      <c r="Q12" s="49"/>
      <c r="R12" s="40"/>
    </row>
    <row r="13" spans="1:18" x14ac:dyDescent="0.25">
      <c r="B13" s="9" t="s">
        <v>87</v>
      </c>
      <c r="C13" s="10"/>
      <c r="D13" s="10"/>
      <c r="E13" s="10"/>
      <c r="F13" s="10"/>
      <c r="G13" s="19">
        <v>10682418</v>
      </c>
      <c r="H13" s="19"/>
      <c r="I13" s="19">
        <v>5099200</v>
      </c>
      <c r="J13" s="19"/>
      <c r="K13" s="19">
        <v>7790426</v>
      </c>
      <c r="L13" s="19"/>
      <c r="M13" s="19">
        <v>2148793</v>
      </c>
      <c r="N13" s="19"/>
      <c r="O13" s="42"/>
      <c r="P13" s="39">
        <v>1912184</v>
      </c>
      <c r="Q13" s="39"/>
      <c r="R13" s="40"/>
    </row>
    <row r="14" spans="1:18" hidden="1" x14ac:dyDescent="0.25">
      <c r="B14" s="24" t="s">
        <v>190</v>
      </c>
      <c r="C14" s="10"/>
      <c r="D14" s="10"/>
      <c r="E14" s="10"/>
      <c r="F14" s="10"/>
      <c r="G14" s="19"/>
      <c r="H14" s="19"/>
      <c r="I14" s="19"/>
      <c r="J14" s="19"/>
      <c r="K14" s="19">
        <f>-K13-K16+L17</f>
        <v>470203</v>
      </c>
      <c r="L14" s="19"/>
      <c r="M14" s="19">
        <f>+N17-M13</f>
        <v>138060</v>
      </c>
      <c r="N14" s="19"/>
      <c r="O14" s="42"/>
      <c r="P14" s="39">
        <f>+Q17-P13</f>
        <v>890196</v>
      </c>
      <c r="Q14" s="39"/>
      <c r="R14" s="40"/>
    </row>
    <row r="15" spans="1:18" x14ac:dyDescent="0.25">
      <c r="B15" s="43" t="s">
        <v>336</v>
      </c>
      <c r="C15" s="10"/>
      <c r="D15" s="10"/>
      <c r="E15" s="10"/>
      <c r="F15" s="10"/>
      <c r="G15" s="19"/>
      <c r="H15" s="19">
        <f>10820478-10764779</f>
        <v>55699</v>
      </c>
      <c r="I15" s="19">
        <f>-I13-I16+J17</f>
        <v>12940</v>
      </c>
      <c r="J15" s="19"/>
      <c r="K15" s="19"/>
      <c r="L15" s="19"/>
      <c r="M15" s="19"/>
      <c r="N15" s="19"/>
      <c r="O15" s="42"/>
      <c r="P15" s="39"/>
      <c r="Q15" s="39"/>
      <c r="R15" s="40"/>
    </row>
    <row r="16" spans="1:18" x14ac:dyDescent="0.25">
      <c r="B16" s="24" t="s">
        <v>191</v>
      </c>
      <c r="C16" s="10"/>
      <c r="D16" s="10"/>
      <c r="E16" s="10"/>
      <c r="F16" s="10"/>
      <c r="G16" s="19">
        <v>138060</v>
      </c>
      <c r="H16" s="19"/>
      <c r="I16" s="19">
        <v>138060</v>
      </c>
      <c r="J16" s="19"/>
      <c r="K16" s="19">
        <f>+M14</f>
        <v>138060</v>
      </c>
      <c r="L16" s="19"/>
      <c r="M16" s="19"/>
      <c r="N16" s="19"/>
      <c r="O16" s="42"/>
      <c r="P16" s="39"/>
      <c r="Q16" s="39"/>
      <c r="R16" s="40"/>
    </row>
    <row r="17" spans="2:19" x14ac:dyDescent="0.25">
      <c r="B17" s="9" t="s">
        <v>88</v>
      </c>
      <c r="C17" s="10"/>
      <c r="D17" s="10"/>
      <c r="E17" s="10"/>
      <c r="F17" s="10"/>
      <c r="G17" s="19"/>
      <c r="H17" s="39">
        <v>10764779</v>
      </c>
      <c r="I17" s="19"/>
      <c r="J17" s="19">
        <v>5250200</v>
      </c>
      <c r="K17" s="19"/>
      <c r="L17" s="19">
        <v>8398689</v>
      </c>
      <c r="M17" s="19"/>
      <c r="N17" s="19">
        <v>2286853</v>
      </c>
      <c r="O17" s="42"/>
      <c r="P17" s="39"/>
      <c r="Q17" s="39">
        <v>2802380</v>
      </c>
      <c r="R17" s="40"/>
    </row>
    <row r="18" spans="2:19" x14ac:dyDescent="0.25">
      <c r="B18" s="9" t="s">
        <v>89</v>
      </c>
      <c r="C18" s="10"/>
      <c r="D18" s="10"/>
      <c r="E18" s="10"/>
      <c r="F18" s="10"/>
      <c r="G18" s="19"/>
      <c r="H18" s="19"/>
      <c r="I18" s="19"/>
      <c r="J18" s="19"/>
      <c r="K18" s="19"/>
      <c r="L18" s="19"/>
      <c r="M18" s="19"/>
      <c r="N18" s="19"/>
      <c r="O18" s="42"/>
      <c r="P18" s="39"/>
      <c r="Q18" s="39"/>
      <c r="R18" s="40"/>
    </row>
    <row r="19" spans="2:19" x14ac:dyDescent="0.25">
      <c r="B19" s="22"/>
      <c r="C19" s="12"/>
      <c r="D19" s="12"/>
      <c r="E19" s="12"/>
      <c r="F19" s="12" t="s">
        <v>156</v>
      </c>
      <c r="G19" s="20">
        <f t="shared" ref="G19:H19" si="3">SUM(G12:G17)</f>
        <v>10820478</v>
      </c>
      <c r="H19" s="20">
        <f t="shared" si="3"/>
        <v>10820478</v>
      </c>
      <c r="I19" s="20">
        <f t="shared" ref="I19:J19" si="4">SUM(I12:I17)</f>
        <v>5250200</v>
      </c>
      <c r="J19" s="20">
        <f t="shared" si="4"/>
        <v>5250200</v>
      </c>
      <c r="K19" s="20">
        <f t="shared" ref="K19:N19" si="5">SUM(K12:K17)</f>
        <v>8398689</v>
      </c>
      <c r="L19" s="20">
        <f t="shared" si="5"/>
        <v>8398689</v>
      </c>
      <c r="M19" s="20">
        <f t="shared" si="5"/>
        <v>2286853</v>
      </c>
      <c r="N19" s="20">
        <f t="shared" si="5"/>
        <v>2286853</v>
      </c>
      <c r="O19" s="42"/>
      <c r="P19" s="48">
        <f>SUM(P12:P17)</f>
        <v>2802380</v>
      </c>
      <c r="Q19" s="48">
        <f>SUM(Q12:Q17)</f>
        <v>2802380</v>
      </c>
      <c r="R19" s="40"/>
    </row>
    <row r="20" spans="2:19" x14ac:dyDescent="0.25">
      <c r="B20" s="6"/>
      <c r="C20" s="21" t="s">
        <v>90</v>
      </c>
      <c r="D20" s="7"/>
      <c r="E20" s="7"/>
      <c r="F20" s="7"/>
      <c r="G20" s="14"/>
      <c r="H20" s="14"/>
      <c r="I20" s="14"/>
      <c r="J20" s="14"/>
      <c r="K20" s="23"/>
      <c r="L20" s="23"/>
      <c r="M20" s="23"/>
      <c r="N20" s="23"/>
      <c r="O20" s="42"/>
      <c r="P20" s="49"/>
      <c r="Q20" s="49"/>
      <c r="R20" s="44"/>
    </row>
    <row r="21" spans="2:19" x14ac:dyDescent="0.25">
      <c r="B21" s="9" t="s">
        <v>92</v>
      </c>
      <c r="C21" s="10"/>
      <c r="D21" s="10"/>
      <c r="E21" s="10"/>
      <c r="F21" s="10"/>
      <c r="G21" s="19">
        <v>74521538</v>
      </c>
      <c r="H21" s="19"/>
      <c r="I21" s="19">
        <v>51723340</v>
      </c>
      <c r="J21" s="19"/>
      <c r="K21" s="19">
        <f>+L22+L23+L24</f>
        <v>42471624</v>
      </c>
      <c r="L21" s="19"/>
      <c r="M21" s="19">
        <v>20619081</v>
      </c>
      <c r="N21" s="19"/>
      <c r="O21" s="42"/>
      <c r="P21" s="39">
        <v>13229677</v>
      </c>
      <c r="Q21" s="39"/>
      <c r="R21" s="42"/>
      <c r="S21" s="38"/>
    </row>
    <row r="22" spans="2:19" x14ac:dyDescent="0.25">
      <c r="B22" s="77" t="s">
        <v>211</v>
      </c>
      <c r="C22" s="10"/>
      <c r="D22" s="10"/>
      <c r="E22" s="10"/>
      <c r="F22" s="10"/>
      <c r="G22" s="19"/>
      <c r="H22" s="19">
        <v>5827272</v>
      </c>
      <c r="I22" s="19"/>
      <c r="J22" s="19">
        <v>7144181</v>
      </c>
      <c r="K22" s="19"/>
      <c r="L22" s="19">
        <v>15846166</v>
      </c>
      <c r="M22" s="19"/>
      <c r="N22" s="19">
        <v>5738082</v>
      </c>
      <c r="O22" s="42"/>
      <c r="P22" s="39"/>
      <c r="Q22" s="39">
        <v>1475332</v>
      </c>
      <c r="R22" s="40"/>
      <c r="S22" s="38"/>
    </row>
    <row r="23" spans="2:19" x14ac:dyDescent="0.25">
      <c r="B23" s="9" t="s">
        <v>93</v>
      </c>
      <c r="C23" s="10"/>
      <c r="D23" s="10"/>
      <c r="E23" s="10"/>
      <c r="F23" s="10"/>
      <c r="G23" s="39"/>
      <c r="H23" s="39">
        <f>+G21-H22</f>
        <v>68694266</v>
      </c>
      <c r="I23" s="39"/>
      <c r="J23" s="39">
        <f>+I21-J22</f>
        <v>44579159</v>
      </c>
      <c r="K23" s="19"/>
      <c r="L23" s="19">
        <f>7436996+18578188+610274</f>
        <v>26625458</v>
      </c>
      <c r="M23" s="19"/>
      <c r="N23" s="19">
        <f>+M21-N22-N24</f>
        <v>11460999</v>
      </c>
      <c r="O23" s="42"/>
      <c r="P23" s="39"/>
      <c r="Q23" s="39">
        <f>+P21-Q22-Q24</f>
        <v>11337419</v>
      </c>
      <c r="R23" s="40"/>
      <c r="S23" s="38"/>
    </row>
    <row r="24" spans="2:19" hidden="1" x14ac:dyDescent="0.25">
      <c r="B24" s="26" t="s">
        <v>94</v>
      </c>
      <c r="C24" s="41"/>
      <c r="D24" s="41"/>
      <c r="E24" s="41"/>
      <c r="F24" s="41"/>
      <c r="G24" s="39"/>
      <c r="H24" s="39"/>
      <c r="I24" s="39"/>
      <c r="J24" s="39"/>
      <c r="K24" s="19"/>
      <c r="L24" s="39">
        <v>0</v>
      </c>
      <c r="M24" s="19"/>
      <c r="N24" s="19">
        <v>3420000</v>
      </c>
      <c r="O24" s="42"/>
      <c r="P24" s="39"/>
      <c r="Q24" s="39">
        <v>416926</v>
      </c>
      <c r="R24" s="44"/>
    </row>
    <row r="25" spans="2:19" x14ac:dyDescent="0.25">
      <c r="B25" s="9" t="s">
        <v>95</v>
      </c>
      <c r="C25" s="10"/>
      <c r="D25" s="10"/>
      <c r="E25" s="10"/>
      <c r="F25" s="10"/>
      <c r="G25" s="19"/>
      <c r="H25" s="19"/>
      <c r="I25" s="19"/>
      <c r="J25" s="19"/>
      <c r="K25" s="19"/>
      <c r="L25" s="19"/>
      <c r="M25" s="19"/>
      <c r="N25" s="19"/>
      <c r="O25" s="42"/>
      <c r="P25" s="39"/>
      <c r="Q25" s="39"/>
      <c r="R25" s="40"/>
      <c r="S25" s="4"/>
    </row>
    <row r="26" spans="2:19" x14ac:dyDescent="0.25">
      <c r="B26" s="22"/>
      <c r="C26" s="12"/>
      <c r="D26" s="12"/>
      <c r="E26" s="12"/>
      <c r="F26" s="12" t="s">
        <v>156</v>
      </c>
      <c r="G26" s="20">
        <f>SUM(G20:G23)</f>
        <v>74521538</v>
      </c>
      <c r="H26" s="20">
        <f>SUM(H20:H24)</f>
        <v>74521538</v>
      </c>
      <c r="I26" s="20">
        <f>SUM(I20:I23)</f>
        <v>51723340</v>
      </c>
      <c r="J26" s="20">
        <f>SUM(J20:J24)</f>
        <v>51723340</v>
      </c>
      <c r="K26" s="20">
        <f>SUM(K20:K23)</f>
        <v>42471624</v>
      </c>
      <c r="L26" s="20">
        <f>SUM(L20:L24)</f>
        <v>42471624</v>
      </c>
      <c r="M26" s="20">
        <f>SUM(M20:M23)</f>
        <v>20619081</v>
      </c>
      <c r="N26" s="20">
        <f>SUM(N20:N24)</f>
        <v>20619081</v>
      </c>
      <c r="O26" s="42"/>
      <c r="P26" s="48">
        <f>SUM(P20:P23)</f>
        <v>13229677</v>
      </c>
      <c r="Q26" s="48">
        <f>SUM(Q20:Q24)</f>
        <v>13229677</v>
      </c>
      <c r="R26" s="40"/>
    </row>
    <row r="27" spans="2:19" x14ac:dyDescent="0.25">
      <c r="B27" s="6"/>
      <c r="C27" s="21" t="s">
        <v>96</v>
      </c>
      <c r="D27" s="7"/>
      <c r="E27" s="7"/>
      <c r="F27" s="7"/>
      <c r="G27" s="14"/>
      <c r="H27" s="14"/>
      <c r="I27" s="14"/>
      <c r="J27" s="14"/>
      <c r="K27" s="23"/>
      <c r="L27" s="23"/>
      <c r="M27" s="23"/>
      <c r="N27" s="23"/>
      <c r="O27" s="42"/>
      <c r="P27" s="49"/>
      <c r="Q27" s="49"/>
      <c r="R27" s="40"/>
    </row>
    <row r="28" spans="2:19" x14ac:dyDescent="0.25">
      <c r="B28" s="24" t="s">
        <v>91</v>
      </c>
      <c r="C28" s="10"/>
      <c r="D28" s="10"/>
      <c r="E28" s="10"/>
      <c r="F28" s="10"/>
      <c r="G28" s="19">
        <f>5360186+727881</f>
        <v>6088067</v>
      </c>
      <c r="H28" s="19"/>
      <c r="I28" s="19">
        <v>656393</v>
      </c>
      <c r="J28" s="19"/>
      <c r="K28" s="19">
        <v>352755</v>
      </c>
      <c r="L28" s="19"/>
      <c r="M28" s="19">
        <v>5642042</v>
      </c>
      <c r="N28" s="19"/>
      <c r="O28" s="42"/>
      <c r="P28" s="39">
        <v>1187953</v>
      </c>
      <c r="Q28" s="39"/>
      <c r="R28" s="40"/>
    </row>
    <row r="29" spans="2:19" hidden="1" x14ac:dyDescent="0.25">
      <c r="B29" s="43" t="s">
        <v>213</v>
      </c>
      <c r="C29" s="41"/>
      <c r="D29" s="41"/>
      <c r="E29" s="41"/>
      <c r="F29" s="41"/>
      <c r="G29" s="39"/>
      <c r="H29" s="19"/>
      <c r="I29" s="39"/>
      <c r="J29" s="19"/>
      <c r="K29" s="39"/>
      <c r="L29" s="19"/>
      <c r="M29" s="19">
        <v>202251</v>
      </c>
      <c r="N29" s="19"/>
      <c r="O29" s="42"/>
      <c r="P29" s="39">
        <v>682574</v>
      </c>
      <c r="Q29" s="39"/>
      <c r="R29" s="40"/>
    </row>
    <row r="30" spans="2:19" hidden="1" x14ac:dyDescent="0.25">
      <c r="B30" s="24" t="s">
        <v>249</v>
      </c>
      <c r="C30" s="10"/>
      <c r="D30" s="10"/>
      <c r="E30" s="10"/>
      <c r="F30" s="10"/>
      <c r="G30" s="19"/>
      <c r="H30" s="19"/>
      <c r="I30" s="19"/>
      <c r="J30" s="19"/>
      <c r="K30" s="19"/>
      <c r="L30" s="19"/>
      <c r="M30" s="19"/>
      <c r="N30" s="19"/>
      <c r="O30" s="42"/>
      <c r="P30" s="39"/>
      <c r="Q30" s="39"/>
      <c r="R30" s="40"/>
    </row>
    <row r="31" spans="2:19" s="40" customFormat="1" x14ac:dyDescent="0.25">
      <c r="B31" s="26" t="s">
        <v>99</v>
      </c>
      <c r="C31" s="41"/>
      <c r="D31" s="41"/>
      <c r="E31" s="41"/>
      <c r="F31" s="41"/>
      <c r="G31" s="39">
        <v>4546528</v>
      </c>
      <c r="H31" s="39"/>
      <c r="I31" s="39">
        <v>2251425</v>
      </c>
      <c r="J31" s="39"/>
      <c r="K31" s="39">
        <v>4279500</v>
      </c>
      <c r="L31" s="39"/>
      <c r="M31" s="39">
        <v>1260000</v>
      </c>
      <c r="N31" s="39"/>
      <c r="O31" s="42"/>
      <c r="P31" s="39">
        <v>0</v>
      </c>
      <c r="Q31" s="39"/>
    </row>
    <row r="32" spans="2:19" s="40" customFormat="1" x14ac:dyDescent="0.25">
      <c r="B32" s="26" t="s">
        <v>272</v>
      </c>
      <c r="C32" s="41"/>
      <c r="D32" s="41"/>
      <c r="E32" s="41"/>
      <c r="F32" s="41"/>
      <c r="G32" s="39"/>
      <c r="H32" s="39"/>
      <c r="I32" s="39">
        <v>2148000</v>
      </c>
      <c r="J32" s="39"/>
      <c r="K32" s="39">
        <v>2627700</v>
      </c>
      <c r="L32" s="39"/>
      <c r="M32" s="39"/>
      <c r="N32" s="39"/>
      <c r="O32" s="42"/>
      <c r="P32" s="39"/>
      <c r="Q32" s="39"/>
    </row>
    <row r="33" spans="2:18" s="40" customFormat="1" hidden="1" x14ac:dyDescent="0.25">
      <c r="B33" s="9" t="s">
        <v>192</v>
      </c>
      <c r="C33" s="41"/>
      <c r="D33" s="41"/>
      <c r="E33" s="41"/>
      <c r="F33" s="41"/>
      <c r="G33" s="39"/>
      <c r="H33" s="39"/>
      <c r="I33" s="39"/>
      <c r="J33" s="39"/>
      <c r="K33" s="39">
        <f>+M34</f>
        <v>167629</v>
      </c>
      <c r="L33" s="39"/>
      <c r="M33" s="39"/>
      <c r="N33" s="39"/>
      <c r="O33" s="42"/>
      <c r="P33" s="39"/>
      <c r="Q33" s="39"/>
    </row>
    <row r="34" spans="2:18" s="40" customFormat="1" hidden="1" x14ac:dyDescent="0.25">
      <c r="B34" s="43" t="s">
        <v>238</v>
      </c>
      <c r="C34" s="41"/>
      <c r="D34" s="41"/>
      <c r="E34" s="41"/>
      <c r="F34" s="41"/>
      <c r="G34" s="39"/>
      <c r="H34" s="39"/>
      <c r="I34" s="39"/>
      <c r="J34" s="39"/>
      <c r="K34" s="39"/>
      <c r="L34" s="39"/>
      <c r="M34" s="39">
        <f>+N36-7104293</f>
        <v>167629</v>
      </c>
      <c r="N34" s="39"/>
      <c r="O34" s="42"/>
      <c r="P34" s="39"/>
      <c r="Q34" s="39">
        <f>1870527-Q36</f>
        <v>777882</v>
      </c>
    </row>
    <row r="35" spans="2:18" s="40" customFormat="1" x14ac:dyDescent="0.25">
      <c r="B35" s="43" t="s">
        <v>239</v>
      </c>
      <c r="C35" s="41"/>
      <c r="D35" s="41"/>
      <c r="E35" s="41"/>
      <c r="F35" s="41"/>
      <c r="G35" s="39">
        <f>+H36-G28-G31</f>
        <v>315332</v>
      </c>
      <c r="H35" s="39"/>
      <c r="I35" s="39"/>
      <c r="J35" s="39"/>
      <c r="K35" s="39">
        <f>7447200-7427584</f>
        <v>19616</v>
      </c>
      <c r="L35" s="39"/>
      <c r="M35" s="39"/>
      <c r="N35" s="39"/>
      <c r="O35" s="42"/>
      <c r="P35" s="39"/>
      <c r="Q35" s="39"/>
      <c r="R35" s="44"/>
    </row>
    <row r="36" spans="2:18" x14ac:dyDescent="0.25">
      <c r="B36" s="9" t="s">
        <v>97</v>
      </c>
      <c r="C36" s="10"/>
      <c r="D36" s="10"/>
      <c r="E36" s="10"/>
      <c r="F36" s="10"/>
      <c r="G36" s="19"/>
      <c r="H36" s="19">
        <v>10949927</v>
      </c>
      <c r="I36" s="19"/>
      <c r="J36" s="19">
        <v>5055818</v>
      </c>
      <c r="K36" s="19"/>
      <c r="L36" s="19">
        <f>7177200+270000</f>
        <v>7447200</v>
      </c>
      <c r="M36" s="19"/>
      <c r="N36" s="19">
        <v>7271922</v>
      </c>
      <c r="O36" s="42"/>
      <c r="P36" s="39"/>
      <c r="Q36" s="39">
        <v>1092645</v>
      </c>
      <c r="R36" s="44"/>
    </row>
    <row r="37" spans="2:18" x14ac:dyDescent="0.25">
      <c r="B37" s="9" t="s">
        <v>89</v>
      </c>
      <c r="C37" s="10"/>
      <c r="D37" s="10"/>
      <c r="E37" s="10"/>
      <c r="F37" s="10"/>
      <c r="G37" s="19"/>
      <c r="H37" s="19"/>
      <c r="I37" s="19"/>
      <c r="J37" s="19"/>
      <c r="K37" s="19"/>
      <c r="L37" s="19"/>
      <c r="M37" s="19"/>
      <c r="N37" s="19"/>
      <c r="O37" s="42"/>
      <c r="P37" s="39"/>
      <c r="Q37" s="39"/>
      <c r="R37" s="40"/>
    </row>
    <row r="38" spans="2:18" x14ac:dyDescent="0.25">
      <c r="B38" s="22"/>
      <c r="C38" s="12"/>
      <c r="D38" s="12"/>
      <c r="E38" s="12"/>
      <c r="F38" s="13" t="s">
        <v>156</v>
      </c>
      <c r="G38" s="20">
        <f t="shared" ref="G38:H38" si="6">SUM(G27:G36)</f>
        <v>10949927</v>
      </c>
      <c r="H38" s="20">
        <f t="shared" si="6"/>
        <v>10949927</v>
      </c>
      <c r="I38" s="20">
        <f t="shared" ref="I38:J38" si="7">SUM(I27:I36)</f>
        <v>5055818</v>
      </c>
      <c r="J38" s="20">
        <f t="shared" si="7"/>
        <v>5055818</v>
      </c>
      <c r="K38" s="20">
        <f t="shared" ref="K38:N38" si="8">SUM(K27:K36)</f>
        <v>7447200</v>
      </c>
      <c r="L38" s="20">
        <f t="shared" si="8"/>
        <v>7447200</v>
      </c>
      <c r="M38" s="20">
        <f t="shared" si="8"/>
        <v>7271922</v>
      </c>
      <c r="N38" s="20">
        <f t="shared" si="8"/>
        <v>7271922</v>
      </c>
      <c r="O38" s="42"/>
      <c r="P38" s="48">
        <f>SUM(P27:P36)</f>
        <v>1870527</v>
      </c>
      <c r="Q38" s="48">
        <f>SUM(Q27:Q36)</f>
        <v>1870527</v>
      </c>
      <c r="R38" s="40"/>
    </row>
    <row r="39" spans="2:18" x14ac:dyDescent="0.25">
      <c r="B39" s="9"/>
      <c r="C39" s="76" t="s">
        <v>98</v>
      </c>
      <c r="D39" s="10"/>
      <c r="E39" s="10"/>
      <c r="F39" s="10"/>
      <c r="G39" s="15"/>
      <c r="H39" s="15"/>
      <c r="I39" s="15"/>
      <c r="J39" s="15"/>
      <c r="K39" s="23"/>
      <c r="L39" s="23"/>
      <c r="M39" s="23"/>
      <c r="N39" s="23"/>
      <c r="O39" s="75"/>
      <c r="P39" s="50"/>
      <c r="Q39" s="49"/>
      <c r="R39" s="40"/>
    </row>
    <row r="40" spans="2:18" x14ac:dyDescent="0.25">
      <c r="B40" s="26" t="s">
        <v>200</v>
      </c>
      <c r="C40" s="41"/>
      <c r="D40" s="41"/>
      <c r="E40" s="41"/>
      <c r="F40" s="41"/>
      <c r="G40" s="39">
        <v>9726442</v>
      </c>
      <c r="H40" s="39"/>
      <c r="I40" s="39">
        <f>+J41</f>
        <v>8402210</v>
      </c>
      <c r="J40" s="39"/>
      <c r="K40" s="39">
        <f>+'PP&amp;E'!J18</f>
        <v>3922517.4766000002</v>
      </c>
      <c r="L40" s="39"/>
      <c r="M40" s="19"/>
      <c r="N40" s="19"/>
      <c r="O40" s="75"/>
      <c r="P40" s="51"/>
      <c r="Q40" s="39"/>
      <c r="R40" s="40"/>
    </row>
    <row r="41" spans="2:18" x14ac:dyDescent="0.25">
      <c r="B41" s="26" t="s">
        <v>208</v>
      </c>
      <c r="C41" s="41"/>
      <c r="D41" s="41"/>
      <c r="E41" s="41"/>
      <c r="F41" s="41"/>
      <c r="G41" s="39"/>
      <c r="H41" s="39">
        <f>+G40</f>
        <v>9726442</v>
      </c>
      <c r="I41" s="39"/>
      <c r="J41" s="39">
        <v>8402210</v>
      </c>
      <c r="K41" s="39"/>
      <c r="L41" s="39">
        <f>+K40</f>
        <v>3922517.4766000002</v>
      </c>
      <c r="M41" s="19"/>
      <c r="N41" s="19"/>
      <c r="O41" s="75"/>
      <c r="P41" s="51"/>
      <c r="Q41" s="39"/>
      <c r="R41" s="40"/>
    </row>
    <row r="42" spans="2:18" ht="29.45" customHeight="1" x14ac:dyDescent="0.25">
      <c r="B42" s="193" t="s">
        <v>235</v>
      </c>
      <c r="C42" s="184"/>
      <c r="D42" s="184"/>
      <c r="E42" s="184"/>
      <c r="F42" s="184"/>
      <c r="G42" s="19"/>
      <c r="H42" s="19"/>
      <c r="I42" s="19"/>
      <c r="J42" s="19"/>
      <c r="K42" s="19"/>
      <c r="L42" s="19"/>
      <c r="M42" s="19"/>
      <c r="N42" s="19"/>
      <c r="O42" s="75"/>
      <c r="P42" s="51"/>
      <c r="Q42" s="39"/>
      <c r="R42" s="40"/>
    </row>
    <row r="43" spans="2:18" x14ac:dyDescent="0.25">
      <c r="B43" s="9"/>
      <c r="C43" s="10"/>
      <c r="D43" s="10"/>
      <c r="E43" s="10"/>
      <c r="F43" s="10" t="s">
        <v>156</v>
      </c>
      <c r="G43" s="20">
        <f>+G40</f>
        <v>9726442</v>
      </c>
      <c r="H43" s="20">
        <f>+H41</f>
        <v>9726442</v>
      </c>
      <c r="I43" s="20">
        <f>+I40</f>
        <v>8402210</v>
      </c>
      <c r="J43" s="20">
        <f>+J41</f>
        <v>8402210</v>
      </c>
      <c r="K43" s="20">
        <f>+K40</f>
        <v>3922517.4766000002</v>
      </c>
      <c r="L43" s="20">
        <f>+L41</f>
        <v>3922517.4766000002</v>
      </c>
      <c r="M43" s="23"/>
      <c r="N43" s="23"/>
      <c r="O43" s="42"/>
      <c r="P43" s="50"/>
      <c r="Q43" s="49"/>
      <c r="R43" s="40"/>
    </row>
    <row r="44" spans="2:18" x14ac:dyDescent="0.25">
      <c r="B44" s="144"/>
      <c r="C44" s="147" t="s">
        <v>199</v>
      </c>
      <c r="D44" s="139"/>
      <c r="E44" s="139"/>
      <c r="F44" s="139"/>
      <c r="G44" s="74"/>
      <c r="H44" s="74"/>
      <c r="I44" s="74"/>
      <c r="J44" s="74"/>
      <c r="K44" s="49"/>
      <c r="L44" s="49"/>
      <c r="M44" s="23"/>
      <c r="N44" s="23"/>
      <c r="O44" s="42"/>
      <c r="P44" s="50"/>
      <c r="Q44" s="49"/>
      <c r="R44" s="40"/>
    </row>
    <row r="45" spans="2:18" x14ac:dyDescent="0.25">
      <c r="B45" s="43" t="s">
        <v>201</v>
      </c>
      <c r="C45" s="41"/>
      <c r="D45" s="41"/>
      <c r="E45" s="41"/>
      <c r="F45" s="41"/>
      <c r="G45" s="39">
        <f>+I45-1836936</f>
        <v>14471318.003400002</v>
      </c>
      <c r="H45" s="39"/>
      <c r="I45" s="39">
        <f>+J52-I46-I47</f>
        <v>16308254.003400002</v>
      </c>
      <c r="J45" s="39"/>
      <c r="K45" s="39">
        <f>+L52-K48</f>
        <v>7213414</v>
      </c>
      <c r="L45" s="39"/>
      <c r="M45" s="39">
        <f>+N50+N52+N49</f>
        <v>2004572</v>
      </c>
      <c r="N45" s="39"/>
      <c r="O45" s="42"/>
      <c r="P45" s="51">
        <v>0</v>
      </c>
      <c r="Q45" s="39"/>
      <c r="R45" s="42"/>
    </row>
    <row r="46" spans="2:18" x14ac:dyDescent="0.25">
      <c r="B46" s="26" t="s">
        <v>200</v>
      </c>
      <c r="C46" s="41"/>
      <c r="D46" s="41"/>
      <c r="E46" s="41"/>
      <c r="F46" s="41"/>
      <c r="G46" s="39"/>
      <c r="H46" s="75"/>
      <c r="I46" s="39">
        <f>+K40</f>
        <v>3922517.4766000002</v>
      </c>
      <c r="J46" s="39"/>
      <c r="K46" s="39"/>
      <c r="L46" s="39"/>
      <c r="M46" s="39"/>
      <c r="N46" s="39"/>
      <c r="O46" s="42"/>
      <c r="P46" s="51"/>
      <c r="Q46" s="39"/>
      <c r="R46" s="44"/>
    </row>
    <row r="47" spans="2:18" x14ac:dyDescent="0.25">
      <c r="B47" s="26" t="s">
        <v>240</v>
      </c>
      <c r="C47" s="41"/>
      <c r="D47" s="41"/>
      <c r="E47" s="41"/>
      <c r="F47" s="41"/>
      <c r="G47" s="39">
        <f>+I47+I61</f>
        <v>4078003.9351480003</v>
      </c>
      <c r="H47" s="75"/>
      <c r="I47" s="39">
        <f>+K61</f>
        <v>3486156.52</v>
      </c>
      <c r="J47" s="39"/>
      <c r="K47" s="39"/>
      <c r="L47" s="39"/>
      <c r="M47" s="39"/>
      <c r="N47" s="39"/>
      <c r="O47" s="42"/>
      <c r="P47" s="51"/>
      <c r="Q47" s="39"/>
      <c r="R47" s="44"/>
    </row>
    <row r="48" spans="2:18" hidden="1" outlineLevel="1" x14ac:dyDescent="0.25">
      <c r="B48" s="26" t="s">
        <v>193</v>
      </c>
      <c r="C48" s="41"/>
      <c r="D48" s="41"/>
      <c r="E48" s="41"/>
      <c r="F48" s="41"/>
      <c r="G48" s="39"/>
      <c r="H48" s="40"/>
      <c r="I48" s="19"/>
      <c r="K48" s="19"/>
      <c r="L48" s="15"/>
      <c r="M48" s="19"/>
      <c r="N48" s="19"/>
      <c r="O48" s="42"/>
      <c r="P48" s="39"/>
      <c r="Q48" s="39"/>
      <c r="R48" s="40"/>
    </row>
    <row r="49" spans="1:18" hidden="1" outlineLevel="1" x14ac:dyDescent="0.25">
      <c r="B49" s="43" t="s">
        <v>159</v>
      </c>
      <c r="C49" s="41"/>
      <c r="D49" s="41"/>
      <c r="E49" s="41"/>
      <c r="F49" s="41"/>
      <c r="G49" s="39"/>
      <c r="H49" s="39"/>
      <c r="I49" s="39"/>
      <c r="J49" s="39"/>
      <c r="K49" s="39"/>
      <c r="L49" s="39"/>
      <c r="M49" s="39"/>
      <c r="N49" s="39">
        <f>+P67+16101</f>
        <v>112314</v>
      </c>
      <c r="O49" s="42"/>
      <c r="P49" s="51"/>
      <c r="Q49" s="39">
        <v>0</v>
      </c>
      <c r="R49" s="40"/>
    </row>
    <row r="50" spans="1:18" hidden="1" outlineLevel="1" x14ac:dyDescent="0.25">
      <c r="A50" s="40"/>
      <c r="B50" s="26" t="s">
        <v>282</v>
      </c>
      <c r="C50" s="41"/>
      <c r="D50" s="41"/>
      <c r="E50" s="41"/>
      <c r="F50" s="41"/>
      <c r="G50" s="39"/>
      <c r="H50" s="39">
        <v>0</v>
      </c>
      <c r="I50" s="64"/>
      <c r="J50" s="64">
        <v>0</v>
      </c>
      <c r="K50" s="39"/>
      <c r="L50" s="15"/>
      <c r="M50" s="39"/>
      <c r="N50" s="39">
        <f>+Q24</f>
        <v>416926</v>
      </c>
      <c r="O50" s="42"/>
      <c r="P50" s="51"/>
      <c r="Q50" s="39">
        <v>0</v>
      </c>
      <c r="R50" s="40"/>
    </row>
    <row r="51" spans="1:18" s="40" customFormat="1" hidden="1" outlineLevel="1" x14ac:dyDescent="0.25">
      <c r="B51" s="26" t="s">
        <v>283</v>
      </c>
      <c r="C51" s="41"/>
      <c r="D51" s="41"/>
      <c r="E51" s="41"/>
      <c r="F51" s="41"/>
      <c r="G51" s="39"/>
      <c r="H51" s="39"/>
      <c r="I51" s="39"/>
      <c r="J51" s="39"/>
      <c r="K51" s="39"/>
      <c r="L51" s="39">
        <v>0</v>
      </c>
      <c r="M51" s="39"/>
      <c r="N51" s="39"/>
      <c r="O51" s="42"/>
      <c r="P51" s="51"/>
      <c r="Q51" s="39"/>
    </row>
    <row r="52" spans="1:18" collapsed="1" x14ac:dyDescent="0.25">
      <c r="B52" s="26" t="s">
        <v>210</v>
      </c>
      <c r="C52" s="41"/>
      <c r="D52" s="41"/>
      <c r="E52" s="41"/>
      <c r="F52" s="41"/>
      <c r="G52" s="39"/>
      <c r="H52" s="39">
        <f>+G45+G47</f>
        <v>18549321.938548002</v>
      </c>
      <c r="I52" s="39"/>
      <c r="J52" s="39">
        <f>+L52+L22+795508-138160</f>
        <v>23716928</v>
      </c>
      <c r="K52" s="19"/>
      <c r="L52" s="19">
        <f>+N52+N22</f>
        <v>7213414</v>
      </c>
      <c r="M52" s="19"/>
      <c r="N52" s="19">
        <f>+Q22</f>
        <v>1475332</v>
      </c>
      <c r="O52" s="42"/>
      <c r="P52" s="51"/>
      <c r="Q52" s="39">
        <v>0</v>
      </c>
      <c r="R52" s="40"/>
    </row>
    <row r="53" spans="1:18" x14ac:dyDescent="0.25">
      <c r="B53" s="26" t="s">
        <v>158</v>
      </c>
      <c r="C53" s="41"/>
      <c r="D53" s="41"/>
      <c r="E53" s="41"/>
      <c r="F53" s="41"/>
      <c r="G53" s="47"/>
      <c r="H53" s="47"/>
      <c r="I53" s="47"/>
      <c r="J53" s="47"/>
      <c r="K53" s="39"/>
      <c r="L53" s="53"/>
      <c r="M53" s="19"/>
      <c r="N53" s="19"/>
      <c r="O53" s="40"/>
      <c r="P53" s="26"/>
      <c r="Q53" s="47"/>
      <c r="R53" s="40"/>
    </row>
    <row r="54" spans="1:18" x14ac:dyDescent="0.25">
      <c r="B54" s="142"/>
      <c r="C54" s="143"/>
      <c r="D54" s="143"/>
      <c r="E54" s="143"/>
      <c r="F54" s="143" t="s">
        <v>156</v>
      </c>
      <c r="G54" s="48">
        <f t="shared" ref="G54:H54" si="9">SUM(G44:G52)</f>
        <v>18549321.938548002</v>
      </c>
      <c r="H54" s="48">
        <f t="shared" si="9"/>
        <v>18549321.938548002</v>
      </c>
      <c r="I54" s="48">
        <f t="shared" ref="I54:N54" si="10">SUM(I44:I52)</f>
        <v>23716928</v>
      </c>
      <c r="J54" s="48">
        <f t="shared" si="10"/>
        <v>23716928</v>
      </c>
      <c r="K54" s="48">
        <f t="shared" si="10"/>
        <v>7213414</v>
      </c>
      <c r="L54" s="48">
        <f t="shared" si="10"/>
        <v>7213414</v>
      </c>
      <c r="M54" s="20">
        <f t="shared" si="10"/>
        <v>2004572</v>
      </c>
      <c r="N54" s="20">
        <f t="shared" si="10"/>
        <v>2004572</v>
      </c>
      <c r="O54" s="40"/>
      <c r="P54" s="48">
        <f>SUM(P44:P52)</f>
        <v>0</v>
      </c>
      <c r="Q54" s="48">
        <f>SUM(Q44:Q52)</f>
        <v>0</v>
      </c>
      <c r="R54" s="40"/>
    </row>
    <row r="55" spans="1:18" x14ac:dyDescent="0.25">
      <c r="B55" s="26"/>
      <c r="C55" s="157" t="s">
        <v>337</v>
      </c>
      <c r="D55" s="41"/>
      <c r="E55" s="41"/>
      <c r="F55" s="41"/>
      <c r="G55" s="47"/>
      <c r="H55" s="47"/>
      <c r="I55" s="47"/>
      <c r="J55" s="47"/>
      <c r="K55" s="49"/>
      <c r="L55" s="49"/>
      <c r="M55" s="23"/>
      <c r="N55" s="23"/>
      <c r="O55" s="41"/>
      <c r="P55" s="50"/>
      <c r="Q55" s="39"/>
      <c r="R55" s="40"/>
    </row>
    <row r="56" spans="1:18" x14ac:dyDescent="0.25">
      <c r="B56" s="26" t="s">
        <v>240</v>
      </c>
      <c r="C56" s="41"/>
      <c r="D56" s="41"/>
      <c r="E56" s="41"/>
      <c r="F56" s="41"/>
      <c r="G56" s="93">
        <f>-'Impuesto diferido'!G23*0.03</f>
        <v>419395.90570200002</v>
      </c>
      <c r="H56" s="47"/>
      <c r="I56" s="29"/>
      <c r="J56" s="15"/>
      <c r="K56" s="19">
        <f>L17*0.22</f>
        <v>1847711.58</v>
      </c>
      <c r="L56" s="19"/>
      <c r="M56" s="19"/>
      <c r="N56" s="19"/>
      <c r="O56" s="41"/>
      <c r="P56" s="51"/>
      <c r="Q56" s="39"/>
      <c r="R56" s="40"/>
    </row>
    <row r="57" spans="1:18" x14ac:dyDescent="0.25">
      <c r="B57" s="26" t="s">
        <v>241</v>
      </c>
      <c r="C57" s="41"/>
      <c r="D57" s="41"/>
      <c r="E57" s="41"/>
      <c r="F57" s="41"/>
      <c r="G57" s="47"/>
      <c r="H57" s="93">
        <f>+G56</f>
        <v>419395.90570200002</v>
      </c>
      <c r="I57" s="15"/>
      <c r="J57" s="29"/>
      <c r="K57" s="19"/>
      <c r="L57" s="19">
        <f>+K56</f>
        <v>1847711.58</v>
      </c>
      <c r="M57" s="19"/>
      <c r="N57" s="19"/>
      <c r="O57" s="41"/>
      <c r="P57" s="51"/>
      <c r="Q57" s="39"/>
      <c r="R57" s="40"/>
    </row>
    <row r="58" spans="1:18" x14ac:dyDescent="0.25">
      <c r="B58" s="26" t="s">
        <v>339</v>
      </c>
      <c r="C58" s="41"/>
      <c r="D58" s="41"/>
      <c r="E58" s="41"/>
      <c r="F58" s="41"/>
      <c r="G58" s="47"/>
      <c r="H58" s="47"/>
      <c r="I58" s="47"/>
      <c r="J58" s="47"/>
      <c r="K58" s="39"/>
      <c r="L58" s="39"/>
      <c r="M58" s="19"/>
      <c r="N58" s="19"/>
      <c r="O58" s="41"/>
      <c r="P58" s="51"/>
      <c r="Q58" s="39"/>
      <c r="R58" s="40"/>
    </row>
    <row r="59" spans="1:18" x14ac:dyDescent="0.25">
      <c r="B59" s="171" t="s">
        <v>340</v>
      </c>
      <c r="C59" s="143"/>
      <c r="D59" s="143"/>
      <c r="E59" s="143"/>
      <c r="F59" s="143"/>
      <c r="G59" s="72"/>
      <c r="H59" s="72"/>
      <c r="I59" s="72"/>
      <c r="J59" s="72"/>
      <c r="K59" s="53"/>
      <c r="L59" s="53"/>
      <c r="M59" s="27"/>
      <c r="N59" s="27"/>
      <c r="O59" s="41"/>
      <c r="P59" s="89"/>
      <c r="Q59" s="53"/>
      <c r="R59" s="40"/>
    </row>
    <row r="60" spans="1:18" x14ac:dyDescent="0.25">
      <c r="B60" s="26"/>
      <c r="C60" s="157" t="s">
        <v>337</v>
      </c>
      <c r="D60" s="41"/>
      <c r="E60" s="41"/>
      <c r="F60" s="41"/>
      <c r="G60" s="47"/>
      <c r="H60" s="47"/>
      <c r="I60" s="47"/>
      <c r="J60" s="47"/>
      <c r="K60" s="49"/>
      <c r="L60" s="49"/>
      <c r="M60" s="23"/>
      <c r="N60" s="23"/>
      <c r="O60" s="41"/>
      <c r="P60" s="50"/>
      <c r="Q60" s="39"/>
      <c r="R60" s="40"/>
    </row>
    <row r="61" spans="1:18" x14ac:dyDescent="0.25">
      <c r="B61" s="26" t="s">
        <v>240</v>
      </c>
      <c r="C61" s="41"/>
      <c r="D61" s="41"/>
      <c r="E61" s="41"/>
      <c r="F61" s="41"/>
      <c r="G61" s="93">
        <f>(+H22-H41)*0.25</f>
        <v>-974792.5</v>
      </c>
      <c r="H61" s="47"/>
      <c r="I61" s="29">
        <f>(-'BG '!M26-L22)*0.22</f>
        <v>591847.41514800023</v>
      </c>
      <c r="J61" s="15"/>
      <c r="K61" s="19">
        <f>L22*0.22</f>
        <v>3486156.52</v>
      </c>
      <c r="L61" s="19"/>
      <c r="M61" s="19"/>
      <c r="N61" s="19"/>
      <c r="O61" s="41"/>
      <c r="P61" s="51"/>
      <c r="Q61" s="39"/>
      <c r="R61" s="40"/>
    </row>
    <row r="62" spans="1:18" x14ac:dyDescent="0.25">
      <c r="B62" s="26" t="s">
        <v>241</v>
      </c>
      <c r="C62" s="41"/>
      <c r="D62" s="41"/>
      <c r="E62" s="41"/>
      <c r="F62" s="41"/>
      <c r="G62" s="47"/>
      <c r="H62" s="93">
        <f>+G61</f>
        <v>-974792.5</v>
      </c>
      <c r="I62" s="15"/>
      <c r="J62" s="29">
        <f>+I61</f>
        <v>591847.41514800023</v>
      </c>
      <c r="K62" s="19"/>
      <c r="L62" s="19">
        <f>+K61</f>
        <v>3486156.52</v>
      </c>
      <c r="M62" s="19"/>
      <c r="N62" s="19"/>
      <c r="O62" s="41"/>
      <c r="P62" s="51"/>
      <c r="Q62" s="39"/>
      <c r="R62" s="40"/>
    </row>
    <row r="63" spans="1:18" x14ac:dyDescent="0.25">
      <c r="B63" s="26" t="s">
        <v>280</v>
      </c>
      <c r="C63" s="41"/>
      <c r="D63" s="41"/>
      <c r="E63" s="41"/>
      <c r="F63" s="41"/>
      <c r="G63" s="47"/>
      <c r="H63" s="47"/>
      <c r="I63" s="47"/>
      <c r="J63" s="47"/>
      <c r="K63" s="39"/>
      <c r="L63" s="39"/>
      <c r="M63" s="19"/>
      <c r="N63" s="19"/>
      <c r="O63" s="41"/>
      <c r="P63" s="51"/>
      <c r="Q63" s="39"/>
      <c r="R63" s="40"/>
    </row>
    <row r="64" spans="1:18" x14ac:dyDescent="0.25">
      <c r="B64" s="142" t="s">
        <v>317</v>
      </c>
      <c r="C64" s="143"/>
      <c r="D64" s="143"/>
      <c r="E64" s="143"/>
      <c r="F64" s="143"/>
      <c r="G64" s="72"/>
      <c r="H64" s="72"/>
      <c r="I64" s="72"/>
      <c r="J64" s="72"/>
      <c r="K64" s="53"/>
      <c r="L64" s="53"/>
      <c r="M64" s="27"/>
      <c r="N64" s="27"/>
      <c r="O64" s="41"/>
      <c r="P64" s="89"/>
      <c r="Q64" s="53"/>
      <c r="R64" s="40"/>
    </row>
    <row r="65" spans="2:18" x14ac:dyDescent="0.25">
      <c r="B65" s="142"/>
      <c r="C65" s="143"/>
      <c r="D65" s="143"/>
      <c r="E65" s="143"/>
      <c r="F65" s="143" t="s">
        <v>157</v>
      </c>
      <c r="G65" s="48">
        <f>+G11+G19+G26+G38+G54+G43+G61</f>
        <v>124036288.438548</v>
      </c>
      <c r="H65" s="48">
        <f>+H11+H19+H26+H38+H54+H43+H62</f>
        <v>124036288.438548</v>
      </c>
      <c r="I65" s="48">
        <f>+I11+I19+I26+I38+I54+I43+I61</f>
        <v>95126716.415148005</v>
      </c>
      <c r="J65" s="48">
        <f>+J11+J19+J26+J38+J54+J43+J62</f>
        <v>95126716.415148005</v>
      </c>
      <c r="K65" s="48">
        <f>+K11+K19+K26+K38+K54+K43+K61</f>
        <v>73263238.996600002</v>
      </c>
      <c r="L65" s="48">
        <f>+L11+L19+L26+L38+L54+L43+L62</f>
        <v>73263238.996600002</v>
      </c>
      <c r="M65" s="20">
        <f>+M11+M19+M26+M38+M54+M43</f>
        <v>33237687</v>
      </c>
      <c r="N65" s="20">
        <f>+N11+N19+N26+N38+N54+N43</f>
        <v>33237687</v>
      </c>
      <c r="O65" s="42"/>
      <c r="P65" s="52">
        <f>+P11+P19+P26+P38</f>
        <v>18582456</v>
      </c>
      <c r="Q65" s="53">
        <f>+Q11+Q19+Q26+Q38</f>
        <v>18582456</v>
      </c>
      <c r="R65" s="40"/>
    </row>
    <row r="66" spans="2:18" x14ac:dyDescent="0.25">
      <c r="K66" s="38"/>
      <c r="O66" s="40"/>
      <c r="P66" s="40"/>
      <c r="Q66" s="40"/>
      <c r="R66" s="40"/>
    </row>
    <row r="67" spans="2:18" hidden="1" x14ac:dyDescent="0.25">
      <c r="B67" s="6" t="s">
        <v>212</v>
      </c>
      <c r="C67" s="7"/>
      <c r="D67" s="7"/>
      <c r="E67" s="7"/>
      <c r="F67" s="7"/>
      <c r="G67" s="7"/>
      <c r="H67" s="7"/>
      <c r="I67" s="7"/>
      <c r="J67" s="7"/>
      <c r="K67" s="80">
        <f>+K16+K33+K45</f>
        <v>7519103</v>
      </c>
      <c r="L67" s="7"/>
      <c r="M67" s="80">
        <f>+PAT!I93+M45</f>
        <v>2004572</v>
      </c>
      <c r="N67" s="8"/>
      <c r="O67" s="40"/>
      <c r="P67" s="86">
        <f>+P14-Q8-Q34</f>
        <v>96213</v>
      </c>
      <c r="Q67" s="87"/>
      <c r="R67" s="40"/>
    </row>
    <row r="68" spans="2:18" hidden="1" x14ac:dyDescent="0.25">
      <c r="B68" s="9" t="s">
        <v>233</v>
      </c>
      <c r="C68" s="10"/>
      <c r="D68" s="10"/>
      <c r="E68" s="10"/>
      <c r="F68" s="10"/>
      <c r="G68" s="10"/>
      <c r="H68" s="10"/>
      <c r="I68" s="10"/>
      <c r="J68" s="10"/>
      <c r="K68" s="81">
        <f>+K14-L34</f>
        <v>470203</v>
      </c>
      <c r="L68" s="10"/>
      <c r="M68" s="81">
        <f>+M8+M14+M34</f>
        <v>418694</v>
      </c>
      <c r="N68" s="11"/>
      <c r="P68" s="9"/>
      <c r="Q68" s="11"/>
    </row>
    <row r="69" spans="2:18" hidden="1" x14ac:dyDescent="0.25">
      <c r="B69" s="82" t="s">
        <v>234</v>
      </c>
      <c r="C69" s="83"/>
      <c r="D69" s="83"/>
      <c r="E69" s="83"/>
      <c r="F69" s="83"/>
      <c r="G69" s="83"/>
      <c r="H69" s="83"/>
      <c r="I69" s="83"/>
      <c r="J69" s="83"/>
      <c r="K69" s="85">
        <f>+K67+K68</f>
        <v>7989306</v>
      </c>
      <c r="L69" s="83"/>
      <c r="M69" s="85">
        <f>+M67+M68</f>
        <v>2423266</v>
      </c>
      <c r="N69" s="84"/>
      <c r="P69" s="88">
        <f>+P67+P68</f>
        <v>96213</v>
      </c>
      <c r="Q69" s="84"/>
    </row>
    <row r="70" spans="2:18" x14ac:dyDescent="0.25">
      <c r="B70" s="10"/>
      <c r="C70" s="10"/>
      <c r="D70" s="10"/>
      <c r="E70" s="10"/>
      <c r="F70" s="10"/>
      <c r="G70" s="10"/>
      <c r="H70" s="10"/>
      <c r="I70" s="10"/>
      <c r="J70" s="10"/>
      <c r="K70" s="81"/>
      <c r="L70" s="10"/>
      <c r="M70" s="81"/>
      <c r="N70" s="10"/>
      <c r="P70" s="81"/>
      <c r="Q70" s="10"/>
    </row>
    <row r="71" spans="2:18" x14ac:dyDescent="0.25">
      <c r="G71" s="38"/>
    </row>
    <row r="72" spans="2:18" x14ac:dyDescent="0.25">
      <c r="K72" s="10"/>
      <c r="L72" s="10"/>
    </row>
    <row r="73" spans="2:18" x14ac:dyDescent="0.25">
      <c r="F73" s="189" t="s">
        <v>261</v>
      </c>
      <c r="G73" s="189"/>
      <c r="H73" s="189"/>
      <c r="I73" s="189"/>
      <c r="J73" s="189"/>
      <c r="K73" s="10"/>
      <c r="L73" s="10"/>
    </row>
    <row r="74" spans="2:18" x14ac:dyDescent="0.25">
      <c r="F74" s="190" t="s">
        <v>262</v>
      </c>
      <c r="G74" s="190"/>
      <c r="H74" s="190"/>
      <c r="I74" s="190"/>
      <c r="J74" s="190"/>
    </row>
  </sheetData>
  <mergeCells count="8">
    <mergeCell ref="F73:J73"/>
    <mergeCell ref="F74:J74"/>
    <mergeCell ref="M4:N4"/>
    <mergeCell ref="P4:Q4"/>
    <mergeCell ref="K4:L4"/>
    <mergeCell ref="B42:F42"/>
    <mergeCell ref="I4:J4"/>
    <mergeCell ref="G4:H4"/>
  </mergeCells>
  <pageMargins left="0.7" right="0.7" top="0.75" bottom="0.75" header="0.3" footer="0.3"/>
  <pageSetup scale="7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B1:M27"/>
  <sheetViews>
    <sheetView topLeftCell="A4" workbookViewId="0">
      <selection activeCell="I5" sqref="I5"/>
    </sheetView>
  </sheetViews>
  <sheetFormatPr defaultColWidth="9.140625" defaultRowHeight="15" x14ac:dyDescent="0.25"/>
  <cols>
    <col min="5" max="5" width="12.28515625" bestFit="1" customWidth="1"/>
    <col min="6" max="6" width="12.7109375" customWidth="1"/>
    <col min="7" max="9" width="12.28515625" bestFit="1" customWidth="1"/>
    <col min="10" max="10" width="13.28515625" bestFit="1" customWidth="1"/>
    <col min="11" max="11" width="14.28515625" bestFit="1" customWidth="1"/>
    <col min="12" max="12" width="3.28515625" customWidth="1"/>
    <col min="13" max="13" width="78.7109375" bestFit="1" customWidth="1"/>
  </cols>
  <sheetData>
    <row r="1" spans="2:13" x14ac:dyDescent="0.25">
      <c r="B1" s="6"/>
      <c r="C1" s="7"/>
      <c r="D1" s="7"/>
      <c r="E1" s="7"/>
      <c r="F1" s="7"/>
      <c r="G1" s="7"/>
      <c r="H1" s="7"/>
      <c r="I1" s="118">
        <v>2018</v>
      </c>
      <c r="J1" s="118">
        <v>2017</v>
      </c>
      <c r="K1" s="118">
        <v>2016</v>
      </c>
      <c r="M1" s="117" t="s">
        <v>289</v>
      </c>
    </row>
    <row r="2" spans="2:13" x14ac:dyDescent="0.25">
      <c r="B2" s="9" t="s">
        <v>284</v>
      </c>
      <c r="C2" s="10"/>
      <c r="D2" s="10"/>
      <c r="E2" s="10"/>
      <c r="F2" s="10"/>
      <c r="G2" s="10"/>
      <c r="H2" s="10"/>
      <c r="I2" s="15"/>
      <c r="J2" s="15"/>
      <c r="K2" s="15"/>
      <c r="M2" s="14"/>
    </row>
    <row r="3" spans="2:13" x14ac:dyDescent="0.25">
      <c r="B3" s="9" t="s">
        <v>285</v>
      </c>
      <c r="C3" s="10"/>
      <c r="D3" s="10"/>
      <c r="E3" s="10"/>
      <c r="F3" s="10"/>
      <c r="G3" s="10"/>
      <c r="H3" s="10"/>
      <c r="I3" s="19">
        <f>-AD!H22</f>
        <v>-5827272</v>
      </c>
      <c r="J3" s="19">
        <f>-AD!J22</f>
        <v>-7144181</v>
      </c>
      <c r="K3" s="19">
        <f>-AD!L22</f>
        <v>-15846166</v>
      </c>
      <c r="M3" s="15" t="s">
        <v>290</v>
      </c>
    </row>
    <row r="4" spans="2:13" x14ac:dyDescent="0.25">
      <c r="B4" s="9" t="s">
        <v>286</v>
      </c>
      <c r="C4" s="10"/>
      <c r="D4" s="10"/>
      <c r="E4" s="10"/>
      <c r="F4" s="10"/>
      <c r="G4" s="10"/>
      <c r="H4" s="10"/>
      <c r="I4" s="19">
        <f>+AD!H41</f>
        <v>9726442</v>
      </c>
      <c r="J4" s="19">
        <f>+AD!J41</f>
        <v>8402210</v>
      </c>
      <c r="K4" s="19">
        <f>+AD!L41</f>
        <v>3922517.4766000002</v>
      </c>
      <c r="M4" s="15" t="s">
        <v>291</v>
      </c>
    </row>
    <row r="5" spans="2:13" x14ac:dyDescent="0.25">
      <c r="B5" s="9" t="s">
        <v>287</v>
      </c>
      <c r="C5" s="10"/>
      <c r="D5" s="10"/>
      <c r="E5" s="10"/>
      <c r="F5" s="10"/>
      <c r="G5" s="10"/>
      <c r="H5" s="10"/>
      <c r="I5" s="19">
        <f>+ER!G34</f>
        <v>-555396.59429799998</v>
      </c>
      <c r="J5" s="19">
        <f>+AD!J62</f>
        <v>591847.41514800023</v>
      </c>
      <c r="K5" s="19">
        <f>+AD!L62</f>
        <v>3486156.52</v>
      </c>
      <c r="M5" s="15" t="s">
        <v>343</v>
      </c>
    </row>
    <row r="6" spans="2:13" x14ac:dyDescent="0.25">
      <c r="B6" s="9" t="s">
        <v>288</v>
      </c>
      <c r="C6" s="10"/>
      <c r="D6" s="10"/>
      <c r="E6" s="10"/>
      <c r="F6" s="10"/>
      <c r="G6" s="10"/>
      <c r="H6" s="10"/>
      <c r="I6" s="19"/>
      <c r="J6" s="19"/>
      <c r="K6" s="19"/>
      <c r="M6" s="15" t="s">
        <v>344</v>
      </c>
    </row>
    <row r="7" spans="2:13" x14ac:dyDescent="0.25">
      <c r="B7" s="119" t="s">
        <v>156</v>
      </c>
      <c r="C7" s="120"/>
      <c r="D7" s="120"/>
      <c r="E7" s="120"/>
      <c r="F7" s="120"/>
      <c r="G7" s="120"/>
      <c r="H7" s="120"/>
      <c r="I7" s="33">
        <f>SUM(I3:I6)</f>
        <v>3343773.405702</v>
      </c>
      <c r="J7" s="33">
        <f>SUM(J3:J6)</f>
        <v>1849876.4151480002</v>
      </c>
      <c r="K7" s="33">
        <f>SUM(K3:K6)</f>
        <v>-8437492.0033999998</v>
      </c>
      <c r="M7" s="28"/>
    </row>
    <row r="8" spans="2:13" x14ac:dyDescent="0.25">
      <c r="I8" s="4"/>
      <c r="J8" s="4"/>
      <c r="K8" s="4"/>
    </row>
    <row r="9" spans="2:13" hidden="1" x14ac:dyDescent="0.25">
      <c r="B9" s="6" t="s">
        <v>292</v>
      </c>
      <c r="C9" s="7"/>
      <c r="D9" s="7"/>
      <c r="E9" s="7"/>
      <c r="F9" s="7"/>
      <c r="G9" s="7"/>
      <c r="H9" s="7"/>
      <c r="I9" s="23"/>
      <c r="J9" s="23"/>
      <c r="K9" s="23"/>
      <c r="M9" s="121"/>
    </row>
    <row r="10" spans="2:13" hidden="1" x14ac:dyDescent="0.25">
      <c r="B10" s="9" t="s">
        <v>296</v>
      </c>
      <c r="C10" s="10"/>
      <c r="D10" s="10"/>
      <c r="E10" s="10"/>
      <c r="F10" s="10"/>
      <c r="G10" s="10"/>
      <c r="H10" s="10"/>
      <c r="I10" s="19"/>
      <c r="J10" s="19"/>
      <c r="K10" s="19"/>
      <c r="M10" s="121"/>
    </row>
    <row r="11" spans="2:13" s="123" customFormat="1" hidden="1" x14ac:dyDescent="0.25">
      <c r="B11" s="105"/>
      <c r="C11" s="106" t="s">
        <v>293</v>
      </c>
      <c r="D11" s="106"/>
      <c r="E11" s="106"/>
      <c r="F11" s="106"/>
      <c r="G11" s="106"/>
      <c r="H11" s="106"/>
      <c r="I11" s="64"/>
      <c r="J11" s="64">
        <f>+AD!I21</f>
        <v>51723340</v>
      </c>
      <c r="K11" s="64">
        <v>48803746</v>
      </c>
      <c r="M11" s="124" t="s">
        <v>295</v>
      </c>
    </row>
    <row r="12" spans="2:13" hidden="1" x14ac:dyDescent="0.25">
      <c r="B12" s="9" t="s">
        <v>297</v>
      </c>
      <c r="C12" s="10"/>
      <c r="D12" s="10"/>
      <c r="E12" s="10"/>
      <c r="F12" s="10"/>
      <c r="G12" s="10"/>
      <c r="H12" s="10"/>
      <c r="I12" s="19"/>
      <c r="J12" s="19"/>
      <c r="K12" s="19"/>
      <c r="M12" s="121"/>
    </row>
    <row r="13" spans="2:13" hidden="1" x14ac:dyDescent="0.25">
      <c r="B13" s="9"/>
      <c r="C13" s="10" t="s">
        <v>299</v>
      </c>
      <c r="D13" s="10"/>
      <c r="E13" s="10"/>
      <c r="F13" s="10"/>
      <c r="G13" s="10"/>
      <c r="H13" s="10"/>
      <c r="I13" s="19"/>
      <c r="J13" s="19">
        <f>+AD!J22</f>
        <v>7144181</v>
      </c>
      <c r="K13" s="19">
        <f>+AD!L22</f>
        <v>15846166</v>
      </c>
      <c r="M13" s="121" t="s">
        <v>294</v>
      </c>
    </row>
    <row r="14" spans="2:13" hidden="1" x14ac:dyDescent="0.25">
      <c r="B14" s="9"/>
      <c r="C14" s="10" t="s">
        <v>300</v>
      </c>
      <c r="D14" s="10"/>
      <c r="E14" s="10"/>
      <c r="F14" s="10"/>
      <c r="G14" s="10"/>
      <c r="H14" s="10"/>
      <c r="I14" s="19"/>
      <c r="J14" s="19">
        <f>+AD!J23</f>
        <v>44579159</v>
      </c>
      <c r="K14" s="19">
        <f>+AD!L23</f>
        <v>26625458</v>
      </c>
      <c r="M14" s="121"/>
    </row>
    <row r="15" spans="2:13" s="123" customFormat="1" ht="75" hidden="1" x14ac:dyDescent="0.25">
      <c r="B15" s="125"/>
      <c r="C15" s="200" t="s">
        <v>301</v>
      </c>
      <c r="D15" s="200"/>
      <c r="E15" s="200"/>
      <c r="F15" s="200"/>
      <c r="G15" s="200"/>
      <c r="H15" s="201"/>
      <c r="I15" s="126"/>
      <c r="J15" s="126">
        <v>0</v>
      </c>
      <c r="K15" s="126">
        <f>+K11-K13-K14</f>
        <v>6332122</v>
      </c>
      <c r="M15" s="127" t="s">
        <v>298</v>
      </c>
    </row>
    <row r="16" spans="2:13" x14ac:dyDescent="0.25">
      <c r="J16" s="4"/>
      <c r="K16" s="4"/>
    </row>
    <row r="17" spans="2:13" x14ac:dyDescent="0.25">
      <c r="B17" s="1" t="s">
        <v>302</v>
      </c>
      <c r="J17" s="4"/>
      <c r="K17" s="4"/>
    </row>
    <row r="18" spans="2:13" ht="45" x14ac:dyDescent="0.25">
      <c r="B18" s="202" t="s">
        <v>307</v>
      </c>
      <c r="C18" s="203"/>
      <c r="D18" s="204"/>
      <c r="E18" s="128" t="s">
        <v>303</v>
      </c>
      <c r="F18" s="122" t="s">
        <v>304</v>
      </c>
      <c r="G18" s="128" t="s">
        <v>316</v>
      </c>
      <c r="H18" s="128" t="s">
        <v>242</v>
      </c>
      <c r="I18" s="129" t="s">
        <v>305</v>
      </c>
      <c r="K18" s="4"/>
      <c r="M18" s="14"/>
    </row>
    <row r="19" spans="2:13" x14ac:dyDescent="0.25">
      <c r="B19" s="135">
        <v>2015</v>
      </c>
      <c r="C19" s="130"/>
      <c r="D19" s="131"/>
      <c r="E19" s="134">
        <f>-AD!L52</f>
        <v>-7213414</v>
      </c>
      <c r="F19" s="133"/>
      <c r="G19" s="136">
        <f>+E19+F19</f>
        <v>-7213414</v>
      </c>
      <c r="H19" s="132">
        <v>0</v>
      </c>
      <c r="I19" s="134">
        <f>+G19+H19</f>
        <v>-7213414</v>
      </c>
      <c r="K19" s="4"/>
      <c r="M19" s="15"/>
    </row>
    <row r="20" spans="2:13" x14ac:dyDescent="0.25">
      <c r="B20" s="9">
        <v>2016</v>
      </c>
      <c r="C20" s="10"/>
      <c r="D20" s="11"/>
      <c r="E20" s="29">
        <f>+K3</f>
        <v>-15846166</v>
      </c>
      <c r="F20" s="29">
        <f>+K4</f>
        <v>3922517.4766000002</v>
      </c>
      <c r="G20" s="29">
        <f>+E20+F20</f>
        <v>-11923648.523399999</v>
      </c>
      <c r="H20" s="29">
        <f>+K5</f>
        <v>3486156.52</v>
      </c>
      <c r="I20" s="19">
        <f>+G20+H20</f>
        <v>-8437492.0033999998</v>
      </c>
      <c r="J20" s="150"/>
      <c r="K20" s="4"/>
      <c r="M20" s="15" t="s">
        <v>308</v>
      </c>
    </row>
    <row r="21" spans="2:13" x14ac:dyDescent="0.25">
      <c r="B21" s="9">
        <v>2017</v>
      </c>
      <c r="C21" s="10"/>
      <c r="D21" s="11"/>
      <c r="E21" s="29">
        <f>+J3</f>
        <v>-7144181</v>
      </c>
      <c r="F21" s="29">
        <f>+J4</f>
        <v>8402210</v>
      </c>
      <c r="G21" s="29">
        <f t="shared" ref="G21:G22" si="0">+E21+F21</f>
        <v>1258029</v>
      </c>
      <c r="H21" s="29">
        <f>+J5</f>
        <v>591847.41514800023</v>
      </c>
      <c r="I21" s="19">
        <f>+G21+H21</f>
        <v>1849876.4151480002</v>
      </c>
      <c r="J21" s="150"/>
      <c r="K21" s="4"/>
      <c r="M21" s="15" t="s">
        <v>309</v>
      </c>
    </row>
    <row r="22" spans="2:13" x14ac:dyDescent="0.25">
      <c r="B22" s="9">
        <v>2018</v>
      </c>
      <c r="E22" s="29">
        <f>+I3</f>
        <v>-5827272</v>
      </c>
      <c r="F22" s="149">
        <f>+I4</f>
        <v>9726442</v>
      </c>
      <c r="G22" s="29">
        <f t="shared" si="0"/>
        <v>3899170</v>
      </c>
      <c r="H22" s="149">
        <f>+I5</f>
        <v>-555396.59429799998</v>
      </c>
      <c r="I22" s="19">
        <f>+G22+H22</f>
        <v>3343773.405702</v>
      </c>
      <c r="J22" s="150"/>
      <c r="K22" s="4"/>
      <c r="M22" s="15" t="s">
        <v>310</v>
      </c>
    </row>
    <row r="23" spans="2:13" x14ac:dyDescent="0.25">
      <c r="B23" s="9" t="s">
        <v>306</v>
      </c>
      <c r="C23" s="10"/>
      <c r="D23" s="11"/>
      <c r="E23" s="31">
        <f>SUM(E19:E22)</f>
        <v>-36031033</v>
      </c>
      <c r="F23" s="31">
        <f t="shared" ref="F23:H23" si="1">SUM(F19:F22)</f>
        <v>22051169.476599999</v>
      </c>
      <c r="G23" s="31">
        <f t="shared" si="1"/>
        <v>-13979863.523400001</v>
      </c>
      <c r="H23" s="31">
        <f t="shared" si="1"/>
        <v>3522607.3408500003</v>
      </c>
      <c r="I23" s="31">
        <f>SUM(I19:I22)</f>
        <v>-10457256.18255</v>
      </c>
      <c r="J23" s="151"/>
      <c r="K23" s="4"/>
      <c r="M23" s="15" t="s">
        <v>318</v>
      </c>
    </row>
    <row r="24" spans="2:13" x14ac:dyDescent="0.25">
      <c r="B24" s="9">
        <v>2019</v>
      </c>
      <c r="C24" s="10"/>
      <c r="D24" s="11"/>
      <c r="E24" s="15">
        <v>0</v>
      </c>
      <c r="F24" s="19">
        <f>(-E23-F23)/3</f>
        <v>4659954.5078000007</v>
      </c>
      <c r="G24" s="29">
        <f>+E24+F24</f>
        <v>4659954.5078000007</v>
      </c>
      <c r="H24" s="19">
        <f>-G24*0.25</f>
        <v>-1164988.6269500002</v>
      </c>
      <c r="I24" s="19">
        <f>+G24+H24</f>
        <v>3494965.8808500003</v>
      </c>
      <c r="M24" s="15"/>
    </row>
    <row r="25" spans="2:13" x14ac:dyDescent="0.25">
      <c r="B25" s="9">
        <v>2020</v>
      </c>
      <c r="C25" s="10"/>
      <c r="D25" s="11"/>
      <c r="E25" s="15">
        <v>0</v>
      </c>
      <c r="F25" s="29">
        <f>+F24</f>
        <v>4659954.5078000007</v>
      </c>
      <c r="G25" s="29">
        <f>+E25+F25</f>
        <v>4659954.5078000007</v>
      </c>
      <c r="H25" s="19">
        <f>-G25*0.25</f>
        <v>-1164988.6269500002</v>
      </c>
      <c r="I25" s="19">
        <f>+G25+H25</f>
        <v>3494965.8808500003</v>
      </c>
      <c r="M25" s="15"/>
    </row>
    <row r="26" spans="2:13" x14ac:dyDescent="0.25">
      <c r="B26" s="9">
        <v>2021</v>
      </c>
      <c r="C26" s="10"/>
      <c r="D26" s="11"/>
      <c r="E26" s="15">
        <v>0</v>
      </c>
      <c r="F26" s="29">
        <f>+F25</f>
        <v>4659954.5078000007</v>
      </c>
      <c r="G26" s="29">
        <f>+E26+F26</f>
        <v>4659954.5078000007</v>
      </c>
      <c r="H26" s="19">
        <f>-G26*0.25</f>
        <v>-1164988.6269500002</v>
      </c>
      <c r="I26" s="19">
        <f>+G26+H26</f>
        <v>3494965.8808500003</v>
      </c>
      <c r="K26" s="4"/>
      <c r="M26" s="47" t="s">
        <v>341</v>
      </c>
    </row>
    <row r="27" spans="2:13" x14ac:dyDescent="0.25">
      <c r="B27" s="22" t="s">
        <v>17</v>
      </c>
      <c r="C27" s="12"/>
      <c r="D27" s="13"/>
      <c r="E27" s="31">
        <f>SUM(E23:E26)</f>
        <v>-36031033</v>
      </c>
      <c r="F27" s="31">
        <f t="shared" ref="F27:H27" si="2">SUM(F23:F26)</f>
        <v>36031033</v>
      </c>
      <c r="G27" s="31">
        <f t="shared" si="2"/>
        <v>0</v>
      </c>
      <c r="H27" s="31">
        <f t="shared" si="2"/>
        <v>27641.459999999497</v>
      </c>
      <c r="I27" s="31">
        <f>SUM(I23:I26)</f>
        <v>27641.460000000894</v>
      </c>
      <c r="M27" s="72" t="s">
        <v>342</v>
      </c>
    </row>
  </sheetData>
  <mergeCells count="2">
    <mergeCell ref="C15:H15"/>
    <mergeCell ref="B18:D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36"/>
  <sheetViews>
    <sheetView topLeftCell="A11" workbookViewId="0">
      <selection activeCell="F30" sqref="F30"/>
    </sheetView>
  </sheetViews>
  <sheetFormatPr defaultColWidth="11.42578125" defaultRowHeight="15" x14ac:dyDescent="0.25"/>
  <cols>
    <col min="1" max="1" width="2.7109375" customWidth="1"/>
    <col min="6" max="6" width="12.28515625" customWidth="1"/>
    <col min="7" max="7" width="12.28515625" bestFit="1" customWidth="1"/>
    <col min="8" max="8" width="11.28515625" customWidth="1"/>
    <col min="9" max="9" width="12.7109375" bestFit="1" customWidth="1"/>
    <col min="10" max="10" width="13.7109375" customWidth="1"/>
  </cols>
  <sheetData>
    <row r="2" spans="1:10" x14ac:dyDescent="0.25">
      <c r="A2" s="1" t="s">
        <v>161</v>
      </c>
      <c r="F2" s="54">
        <v>2018</v>
      </c>
      <c r="G2" s="54">
        <v>2017</v>
      </c>
      <c r="H2" s="54">
        <v>2016</v>
      </c>
      <c r="I2" s="54">
        <v>2015</v>
      </c>
      <c r="J2" s="54">
        <v>2014</v>
      </c>
    </row>
    <row r="4" spans="1:10" x14ac:dyDescent="0.25">
      <c r="B4" t="s">
        <v>162</v>
      </c>
    </row>
    <row r="6" spans="1:10" x14ac:dyDescent="0.25">
      <c r="B6" t="s">
        <v>163</v>
      </c>
      <c r="F6" s="4">
        <f>+ER!H32</f>
        <v>22482878.449999988</v>
      </c>
      <c r="G6" s="4">
        <f>+ER!N32</f>
        <v>13532502</v>
      </c>
      <c r="H6" s="4">
        <v>2715230.4765999913</v>
      </c>
      <c r="I6" s="4">
        <v>9506438</v>
      </c>
      <c r="J6" s="4">
        <v>26251046</v>
      </c>
    </row>
    <row r="7" spans="1:10" x14ac:dyDescent="0.25">
      <c r="B7" s="116" t="s">
        <v>164</v>
      </c>
      <c r="C7" s="40"/>
      <c r="D7" s="40"/>
      <c r="E7" s="40"/>
      <c r="F7" s="42">
        <v>3489748</v>
      </c>
      <c r="G7" s="4">
        <v>5632050</v>
      </c>
      <c r="H7" s="4">
        <v>5000570</v>
      </c>
      <c r="I7" s="4">
        <v>4403000</v>
      </c>
      <c r="J7" s="4">
        <v>4144396</v>
      </c>
    </row>
    <row r="8" spans="1:10" ht="17.25" x14ac:dyDescent="0.4">
      <c r="B8" s="55" t="s">
        <v>165</v>
      </c>
      <c r="F8" s="57">
        <f>19410412+1818050</f>
        <v>21228462</v>
      </c>
      <c r="G8" s="57">
        <f>+EFE!O12+EFE!O16</f>
        <v>19495936</v>
      </c>
      <c r="H8" s="57">
        <v>20363773.523400001</v>
      </c>
      <c r="I8" s="57">
        <v>19601882</v>
      </c>
      <c r="J8" s="57">
        <v>15975450</v>
      </c>
    </row>
    <row r="9" spans="1:10" x14ac:dyDescent="0.25">
      <c r="B9" t="s">
        <v>166</v>
      </c>
      <c r="F9" s="4">
        <f>SUM(F6:F8)</f>
        <v>47201088.449999988</v>
      </c>
      <c r="G9" s="4">
        <f>SUM(G6:G8)</f>
        <v>38660488</v>
      </c>
      <c r="H9" s="4">
        <f>SUM(H6:H8)</f>
        <v>28079573.999999993</v>
      </c>
      <c r="I9" s="4">
        <v>33511320</v>
      </c>
      <c r="J9" s="4">
        <f>SUM(J6:J8)</f>
        <v>46370892</v>
      </c>
    </row>
    <row r="10" spans="1:10" x14ac:dyDescent="0.25">
      <c r="G10" s="4"/>
      <c r="H10" s="4"/>
      <c r="I10" s="4"/>
      <c r="J10" s="4"/>
    </row>
    <row r="11" spans="1:10" x14ac:dyDescent="0.25">
      <c r="B11" t="s">
        <v>167</v>
      </c>
      <c r="F11" s="4">
        <f>-ER!H31</f>
        <v>3806928</v>
      </c>
      <c r="G11" s="4">
        <f>-ER!N31</f>
        <v>5632050</v>
      </c>
      <c r="H11" s="4">
        <v>4974980</v>
      </c>
      <c r="I11" s="4">
        <v>4323391</v>
      </c>
      <c r="J11" s="4">
        <v>4407118</v>
      </c>
    </row>
    <row r="12" spans="1:10" x14ac:dyDescent="0.25">
      <c r="I12" s="4"/>
      <c r="J12" s="4"/>
    </row>
    <row r="13" spans="1:10" x14ac:dyDescent="0.25">
      <c r="B13" t="s">
        <v>161</v>
      </c>
      <c r="F13" s="114">
        <f>+F9/F11</f>
        <v>12.39873421561952</v>
      </c>
      <c r="G13" s="56">
        <f>+G9/G11</f>
        <v>6.8643722978311628</v>
      </c>
      <c r="H13" s="56">
        <f>+H9/H11</f>
        <v>5.6441581674700183</v>
      </c>
      <c r="I13" s="56">
        <v>7.7511656937806457</v>
      </c>
      <c r="J13" s="56">
        <f>+J9/J11</f>
        <v>10.521817659522618</v>
      </c>
    </row>
    <row r="14" spans="1:10" x14ac:dyDescent="0.25">
      <c r="I14" s="4"/>
      <c r="J14" s="4"/>
    </row>
    <row r="15" spans="1:10" x14ac:dyDescent="0.25">
      <c r="A15" s="1" t="s">
        <v>168</v>
      </c>
      <c r="I15" s="4"/>
      <c r="J15" s="4"/>
    </row>
    <row r="16" spans="1:10" x14ac:dyDescent="0.25">
      <c r="I16" s="4"/>
      <c r="J16" s="4"/>
    </row>
    <row r="17" spans="1:10" x14ac:dyDescent="0.25">
      <c r="B17" t="s">
        <v>169</v>
      </c>
      <c r="F17" s="4">
        <f>+ER!H29</f>
        <v>26289806.449999988</v>
      </c>
      <c r="G17" s="4">
        <f>+ER!N29</f>
        <v>19164552</v>
      </c>
      <c r="H17" s="4">
        <v>7690210.4765999913</v>
      </c>
      <c r="I17" s="4">
        <v>13829829</v>
      </c>
      <c r="J17" s="4">
        <f>+ER!N29</f>
        <v>19164552</v>
      </c>
    </row>
    <row r="18" spans="1:10" x14ac:dyDescent="0.25">
      <c r="I18" s="4"/>
      <c r="J18" s="4"/>
    </row>
    <row r="19" spans="1:10" x14ac:dyDescent="0.25">
      <c r="B19" t="s">
        <v>170</v>
      </c>
      <c r="I19" s="4"/>
      <c r="J19" s="4"/>
    </row>
    <row r="20" spans="1:10" x14ac:dyDescent="0.25">
      <c r="B20" t="s">
        <v>172</v>
      </c>
      <c r="F20" s="4">
        <f>+'BG '!H39+'BG '!H40</f>
        <v>25456599</v>
      </c>
      <c r="G20" s="4">
        <f>+'BG '!N39</f>
        <v>27144668</v>
      </c>
      <c r="H20" s="4">
        <v>35009000</v>
      </c>
      <c r="I20" s="4">
        <v>27571049</v>
      </c>
      <c r="J20" s="4">
        <v>24027809</v>
      </c>
    </row>
    <row r="21" spans="1:10" ht="17.25" x14ac:dyDescent="0.4">
      <c r="B21" s="40" t="s">
        <v>171</v>
      </c>
      <c r="C21" s="40"/>
      <c r="F21" s="94">
        <v>241620</v>
      </c>
      <c r="G21" s="94">
        <v>474206</v>
      </c>
      <c r="H21" s="94">
        <v>468655.79086236435</v>
      </c>
      <c r="I21" s="57">
        <v>369086</v>
      </c>
      <c r="J21" s="57">
        <v>259746</v>
      </c>
    </row>
    <row r="22" spans="1:10" x14ac:dyDescent="0.25">
      <c r="B22" t="s">
        <v>173</v>
      </c>
      <c r="F22" s="4">
        <f>+F20+F21</f>
        <v>25698219</v>
      </c>
      <c r="G22" s="4">
        <f>+G20+G21</f>
        <v>27618874</v>
      </c>
      <c r="H22" s="4">
        <f>+H20+H21</f>
        <v>35477655.790862367</v>
      </c>
      <c r="I22" s="4">
        <v>27940135</v>
      </c>
      <c r="J22" s="4">
        <f>+J20+J21</f>
        <v>24287555</v>
      </c>
    </row>
    <row r="23" spans="1:10" x14ac:dyDescent="0.25">
      <c r="I23" s="4"/>
      <c r="J23" s="4"/>
    </row>
    <row r="24" spans="1:10" x14ac:dyDescent="0.25">
      <c r="B24" t="s">
        <v>174</v>
      </c>
      <c r="F24" s="56">
        <f>+F17/F22</f>
        <v>1.0230205622420756</v>
      </c>
      <c r="G24" s="56">
        <f>+G17/G22</f>
        <v>0.69389331368107188</v>
      </c>
      <c r="H24" s="56">
        <f>+H17/H22</f>
        <v>0.21676208039034767</v>
      </c>
      <c r="I24" s="56">
        <v>0.49498075080882753</v>
      </c>
      <c r="J24" s="56">
        <f>+J17/J22</f>
        <v>0.78906880499086873</v>
      </c>
    </row>
    <row r="25" spans="1:10" x14ac:dyDescent="0.25">
      <c r="I25" s="4"/>
      <c r="J25" s="4"/>
    </row>
    <row r="26" spans="1:10" x14ac:dyDescent="0.25">
      <c r="A26" s="1" t="s">
        <v>175</v>
      </c>
      <c r="I26" s="4"/>
      <c r="J26" s="4"/>
    </row>
    <row r="27" spans="1:10" x14ac:dyDescent="0.25">
      <c r="I27" s="4"/>
      <c r="J27" s="4"/>
    </row>
    <row r="28" spans="1:10" x14ac:dyDescent="0.25">
      <c r="B28" t="s">
        <v>177</v>
      </c>
      <c r="F28" s="38">
        <f>+F20</f>
        <v>25456599</v>
      </c>
      <c r="G28" s="38">
        <f>+G20</f>
        <v>27144668</v>
      </c>
      <c r="H28" s="38">
        <v>35009000</v>
      </c>
      <c r="I28" s="4">
        <v>27571049</v>
      </c>
      <c r="J28" s="4">
        <v>24027809</v>
      </c>
    </row>
    <row r="29" spans="1:10" x14ac:dyDescent="0.25">
      <c r="B29" t="s">
        <v>166</v>
      </c>
      <c r="F29" s="38">
        <f>+F9</f>
        <v>47201088.449999988</v>
      </c>
      <c r="G29" s="38">
        <f>+G9</f>
        <v>38660488</v>
      </c>
      <c r="H29" s="38">
        <v>28079573.999999993</v>
      </c>
      <c r="I29" s="58">
        <v>33511320</v>
      </c>
      <c r="J29" s="58">
        <v>46370892</v>
      </c>
    </row>
    <row r="30" spans="1:10" x14ac:dyDescent="0.25">
      <c r="B30" t="s">
        <v>176</v>
      </c>
      <c r="F30" s="56">
        <f>+F28/F29</f>
        <v>0.53932228759864553</v>
      </c>
      <c r="G30" s="56">
        <f>+G28/G29</f>
        <v>0.70212947130931203</v>
      </c>
      <c r="H30" s="56">
        <f>+H28/H29</f>
        <v>1.2467781740563446</v>
      </c>
      <c r="I30" s="56">
        <v>0.82273837616662071</v>
      </c>
      <c r="J30" s="56">
        <f>+J28/J29</f>
        <v>0.51816577088920346</v>
      </c>
    </row>
    <row r="31" spans="1:10" x14ac:dyDescent="0.25">
      <c r="I31" s="4"/>
      <c r="J31" s="4"/>
    </row>
    <row r="32" spans="1:10" x14ac:dyDescent="0.25">
      <c r="I32" s="4"/>
      <c r="J32" s="4"/>
    </row>
    <row r="35" spans="4:8" x14ac:dyDescent="0.25">
      <c r="D35" s="63" t="s">
        <v>261</v>
      </c>
      <c r="E35" s="7"/>
      <c r="F35" s="7"/>
      <c r="G35" s="7"/>
      <c r="H35" s="10"/>
    </row>
    <row r="36" spans="4:8" x14ac:dyDescent="0.25">
      <c r="D36" s="4" t="s">
        <v>262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32"/>
  <sheetViews>
    <sheetView topLeftCell="A4" workbookViewId="0">
      <selection activeCell="D20" sqref="D20"/>
    </sheetView>
  </sheetViews>
  <sheetFormatPr defaultColWidth="11.42578125" defaultRowHeight="15" x14ac:dyDescent="0.25"/>
  <cols>
    <col min="3" max="3" width="11.5703125" bestFit="1" customWidth="1"/>
    <col min="7" max="7" width="12.7109375" bestFit="1" customWidth="1"/>
    <col min="8" max="8" width="12.5703125" bestFit="1" customWidth="1"/>
    <col min="9" max="9" width="12.7109375" bestFit="1" customWidth="1"/>
    <col min="10" max="10" width="12.5703125" bestFit="1" customWidth="1"/>
  </cols>
  <sheetData>
    <row r="2" spans="2:10" x14ac:dyDescent="0.25">
      <c r="B2" t="s">
        <v>214</v>
      </c>
    </row>
    <row r="4" spans="2:10" x14ac:dyDescent="0.25">
      <c r="C4" s="205" t="s">
        <v>227</v>
      </c>
      <c r="D4" s="205"/>
      <c r="E4" s="205"/>
      <c r="F4" s="79" t="s">
        <v>228</v>
      </c>
      <c r="H4" t="s">
        <v>229</v>
      </c>
    </row>
    <row r="5" spans="2:10" x14ac:dyDescent="0.25">
      <c r="C5">
        <v>2016</v>
      </c>
      <c r="D5">
        <v>2015</v>
      </c>
      <c r="E5">
        <v>2014</v>
      </c>
      <c r="F5" s="79">
        <v>0.33329999999999999</v>
      </c>
      <c r="G5" t="s">
        <v>231</v>
      </c>
      <c r="H5" t="s">
        <v>230</v>
      </c>
      <c r="I5" t="s">
        <v>232</v>
      </c>
      <c r="J5" s="79" t="s">
        <v>157</v>
      </c>
    </row>
    <row r="6" spans="2:10" x14ac:dyDescent="0.25">
      <c r="B6" t="s">
        <v>215</v>
      </c>
      <c r="C6" s="4"/>
      <c r="D6" s="4"/>
      <c r="E6" s="4"/>
      <c r="G6">
        <f>+O21</f>
        <v>0</v>
      </c>
    </row>
    <row r="7" spans="2:10" x14ac:dyDescent="0.25">
      <c r="B7" t="s">
        <v>216</v>
      </c>
      <c r="C7" s="4"/>
      <c r="D7" s="4"/>
      <c r="E7" s="4"/>
      <c r="G7">
        <f t="shared" ref="G7:G17" si="0">+O22</f>
        <v>0</v>
      </c>
    </row>
    <row r="8" spans="2:10" x14ac:dyDescent="0.25">
      <c r="B8" t="s">
        <v>217</v>
      </c>
      <c r="C8" s="4"/>
      <c r="D8" s="4"/>
      <c r="E8" s="4"/>
      <c r="G8">
        <f t="shared" si="0"/>
        <v>0</v>
      </c>
    </row>
    <row r="9" spans="2:10" x14ac:dyDescent="0.25">
      <c r="B9" t="s">
        <v>218</v>
      </c>
      <c r="C9" s="4"/>
      <c r="D9" s="4"/>
      <c r="E9" s="4"/>
      <c r="G9">
        <f t="shared" si="0"/>
        <v>0</v>
      </c>
    </row>
    <row r="10" spans="2:10" x14ac:dyDescent="0.25">
      <c r="B10" t="s">
        <v>219</v>
      </c>
      <c r="C10" s="4"/>
      <c r="D10" s="4"/>
      <c r="E10" s="4"/>
      <c r="G10">
        <f t="shared" si="0"/>
        <v>0</v>
      </c>
    </row>
    <row r="11" spans="2:10" x14ac:dyDescent="0.25">
      <c r="B11" t="s">
        <v>220</v>
      </c>
      <c r="C11" s="4"/>
      <c r="D11" s="4"/>
      <c r="E11" s="4"/>
      <c r="G11">
        <f t="shared" si="0"/>
        <v>0</v>
      </c>
    </row>
    <row r="12" spans="2:10" x14ac:dyDescent="0.25">
      <c r="B12" t="s">
        <v>221</v>
      </c>
      <c r="C12" s="4"/>
      <c r="D12" s="4"/>
      <c r="E12" s="4"/>
      <c r="G12">
        <f t="shared" si="0"/>
        <v>0</v>
      </c>
    </row>
    <row r="13" spans="2:10" x14ac:dyDescent="0.25">
      <c r="B13" t="s">
        <v>222</v>
      </c>
      <c r="C13" s="4"/>
      <c r="D13" s="4"/>
      <c r="E13" s="4"/>
      <c r="G13">
        <f t="shared" si="0"/>
        <v>0</v>
      </c>
    </row>
    <row r="14" spans="2:10" x14ac:dyDescent="0.25">
      <c r="B14" t="s">
        <v>223</v>
      </c>
      <c r="C14" s="4"/>
      <c r="D14" s="4"/>
      <c r="E14" s="4"/>
      <c r="G14">
        <f t="shared" si="0"/>
        <v>0</v>
      </c>
    </row>
    <row r="15" spans="2:10" x14ac:dyDescent="0.25">
      <c r="B15" t="s">
        <v>224</v>
      </c>
      <c r="C15" s="4"/>
      <c r="D15" s="4"/>
      <c r="E15" s="4"/>
      <c r="G15">
        <f t="shared" si="0"/>
        <v>0</v>
      </c>
    </row>
    <row r="16" spans="2:10" x14ac:dyDescent="0.25">
      <c r="B16" t="s">
        <v>225</v>
      </c>
      <c r="C16" s="4"/>
      <c r="D16" s="4"/>
      <c r="E16" s="4"/>
      <c r="G16">
        <f t="shared" si="0"/>
        <v>0</v>
      </c>
    </row>
    <row r="17" spans="2:15" x14ac:dyDescent="0.25">
      <c r="B17" t="s">
        <v>226</v>
      </c>
      <c r="C17" s="4"/>
      <c r="D17" s="4"/>
      <c r="E17" s="4"/>
      <c r="G17">
        <f t="shared" si="0"/>
        <v>0</v>
      </c>
    </row>
    <row r="18" spans="2:15" x14ac:dyDescent="0.25">
      <c r="B18" t="s">
        <v>156</v>
      </c>
      <c r="C18" s="4">
        <v>15846166</v>
      </c>
      <c r="D18" s="4">
        <v>5700370</v>
      </c>
      <c r="E18" s="4">
        <v>1475332</v>
      </c>
      <c r="G18" s="78">
        <f>3922517-2391661</f>
        <v>1530856</v>
      </c>
      <c r="H18" s="4">
        <f>+D18*F5</f>
        <v>1899933.321</v>
      </c>
      <c r="I18" s="4">
        <f>+E18*F5</f>
        <v>491728.1556</v>
      </c>
      <c r="J18" s="4">
        <f>SUM(G18:I18)</f>
        <v>3922517.4766000002</v>
      </c>
    </row>
    <row r="19" spans="2:15" x14ac:dyDescent="0.25">
      <c r="G19" s="38"/>
      <c r="J19" s="4"/>
    </row>
    <row r="20" spans="2:15" x14ac:dyDescent="0.25">
      <c r="C20" t="s">
        <v>215</v>
      </c>
      <c r="D20" t="s">
        <v>216</v>
      </c>
      <c r="E20" t="s">
        <v>217</v>
      </c>
      <c r="F20" t="s">
        <v>218</v>
      </c>
      <c r="G20" t="s">
        <v>219</v>
      </c>
      <c r="H20" t="s">
        <v>220</v>
      </c>
      <c r="I20" t="s">
        <v>221</v>
      </c>
      <c r="J20" t="s">
        <v>222</v>
      </c>
      <c r="K20" t="s">
        <v>223</v>
      </c>
      <c r="L20" t="s">
        <v>224</v>
      </c>
      <c r="M20" t="s">
        <v>225</v>
      </c>
      <c r="N20" t="s">
        <v>226</v>
      </c>
      <c r="O20" t="s">
        <v>156</v>
      </c>
    </row>
    <row r="21" spans="2:15" x14ac:dyDescent="0.25">
      <c r="B21" t="s">
        <v>215</v>
      </c>
      <c r="C21">
        <v>0</v>
      </c>
      <c r="D21">
        <f>(+$C$6*$F$5)/12</f>
        <v>0</v>
      </c>
      <c r="E21">
        <f t="shared" ref="E21:N21" si="1">(+$C$6*$F$5)/12</f>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216</v>
      </c>
    </row>
    <row r="23" spans="2:15" x14ac:dyDescent="0.25">
      <c r="B23" t="s">
        <v>217</v>
      </c>
    </row>
    <row r="24" spans="2:15" x14ac:dyDescent="0.25">
      <c r="B24" t="s">
        <v>218</v>
      </c>
    </row>
    <row r="25" spans="2:15" x14ac:dyDescent="0.25">
      <c r="B25" t="s">
        <v>219</v>
      </c>
    </row>
    <row r="26" spans="2:15" x14ac:dyDescent="0.25">
      <c r="B26" t="s">
        <v>220</v>
      </c>
    </row>
    <row r="27" spans="2:15" x14ac:dyDescent="0.25">
      <c r="B27" t="s">
        <v>221</v>
      </c>
    </row>
    <row r="28" spans="2:15" x14ac:dyDescent="0.25">
      <c r="B28" t="s">
        <v>222</v>
      </c>
    </row>
    <row r="29" spans="2:15" x14ac:dyDescent="0.25">
      <c r="B29" t="s">
        <v>223</v>
      </c>
    </row>
    <row r="30" spans="2:15" x14ac:dyDescent="0.25">
      <c r="B30" t="s">
        <v>224</v>
      </c>
    </row>
    <row r="31" spans="2:15" x14ac:dyDescent="0.25">
      <c r="B31" t="s">
        <v>225</v>
      </c>
    </row>
    <row r="32" spans="2:15" x14ac:dyDescent="0.25">
      <c r="B32" t="s">
        <v>226</v>
      </c>
    </row>
  </sheetData>
  <mergeCells count="1">
    <mergeCell ref="C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Indice</vt:lpstr>
      <vt:lpstr>BG </vt:lpstr>
      <vt:lpstr>ER</vt:lpstr>
      <vt:lpstr>EFE</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CALMEIDA</dc:creator>
  <cp:lastModifiedBy>Carlos Almeida</cp:lastModifiedBy>
  <cp:lastPrinted>2018-05-30T22:27:06Z</cp:lastPrinted>
  <dcterms:created xsi:type="dcterms:W3CDTF">2016-11-10T22:26:48Z</dcterms:created>
  <dcterms:modified xsi:type="dcterms:W3CDTF">2020-03-02T18:19:46Z</dcterms:modified>
</cp:coreProperties>
</file>