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20496" windowHeight="7560" tabRatio="902"/>
  </bookViews>
  <sheets>
    <sheet name="ESF - ERI" sheetId="2" r:id="rId1"/>
    <sheet name="EF Informe" sheetId="21" r:id="rId2"/>
    <sheet name="PyG Informe" sheetId="22" state="hidden" r:id="rId3"/>
    <sheet name="Estado de Cambios en el Patr." sheetId="23" state="hidden" r:id="rId4"/>
    <sheet name="Variación Patrimonio" sheetId="18" r:id="rId5"/>
    <sheet name="Diario 2015 (a)" sheetId="15" r:id="rId6"/>
    <sheet name="Diarios Var.Inversión -Patr (b)" sheetId="17" r:id="rId7"/>
    <sheet name="Diarios Cxc Cxp relac (c)" sheetId="16" r:id="rId8"/>
    <sheet name="Ventas-Compras (d)" sheetId="19" r:id="rId9"/>
    <sheet name="Asientos - para Consolidado" sheetId="1" state="hidden" r:id="rId10"/>
    <sheet name="PNC" sheetId="4" state="hidden" r:id="rId11"/>
    <sheet name="Hoja2" sheetId="6" state="hidden" r:id="rId12"/>
    <sheet name="Planilla Final" sheetId="34" r:id="rId13"/>
    <sheet name="Participaciones" sheetId="30" r:id="rId14"/>
    <sheet name="ESF2017" sheetId="32" r:id="rId15"/>
    <sheet name="ERI2017" sheetId="33" r:id="rId16"/>
    <sheet name="ECP2017" sheetId="35" r:id="rId17"/>
    <sheet name="EFE2017" sheetId="31" r:id="rId18"/>
  </sheets>
  <externalReferences>
    <externalReference r:id="rId19"/>
    <externalReference r:id="rId20"/>
  </externalReferences>
  <definedNames>
    <definedName name="_xlnm.Print_Area" localSheetId="9">'Asientos - para Consolidado'!$A$1:$M$75</definedName>
    <definedName name="_xlnm.Print_Area" localSheetId="0">'ESF - ERI'!$A$1:$AI$79</definedName>
    <definedName name="_xlnm.Print_Area" localSheetId="10">PNC!$B$1:$H$103</definedName>
  </definedNames>
  <calcPr calcId="145621"/>
</workbook>
</file>

<file path=xl/calcChain.xml><?xml version="1.0" encoding="utf-8"?>
<calcChain xmlns="http://schemas.openxmlformats.org/spreadsheetml/2006/main">
  <c r="Q35" i="35" l="1"/>
  <c r="S35" i="35"/>
  <c r="U33" i="35"/>
  <c r="S31" i="35"/>
  <c r="U31" i="35" s="1"/>
  <c r="Q31" i="35"/>
  <c r="U29" i="35"/>
  <c r="U27" i="35"/>
  <c r="M25" i="35"/>
  <c r="M37" i="35" s="1"/>
  <c r="E25" i="35"/>
  <c r="E37" i="35" s="1"/>
  <c r="U23" i="35"/>
  <c r="U21" i="35"/>
  <c r="U19" i="35"/>
  <c r="Q17" i="35"/>
  <c r="Q25" i="35" s="1"/>
  <c r="O17" i="35"/>
  <c r="O25" i="35" s="1"/>
  <c r="O37" i="35" s="1"/>
  <c r="M17" i="35"/>
  <c r="K17" i="35"/>
  <c r="K25" i="35" s="1"/>
  <c r="K37" i="35" s="1"/>
  <c r="I17" i="35"/>
  <c r="I25" i="35" s="1"/>
  <c r="I37" i="35" s="1"/>
  <c r="G17" i="35"/>
  <c r="G25" i="35" s="1"/>
  <c r="G37" i="35" s="1"/>
  <c r="E17" i="35"/>
  <c r="C17" i="35"/>
  <c r="C25" i="35" s="1"/>
  <c r="C37" i="35" s="1"/>
  <c r="S14" i="35"/>
  <c r="S17" i="35" s="1"/>
  <c r="S25" i="35" s="1"/>
  <c r="S37" i="35" s="1"/>
  <c r="U12" i="35"/>
  <c r="U35" i="35" l="1"/>
  <c r="Q37" i="35"/>
  <c r="U14" i="35"/>
  <c r="U17" i="35" s="1"/>
  <c r="U25" i="35" s="1"/>
  <c r="U37" i="35" l="1"/>
  <c r="AA38" i="30" l="1"/>
  <c r="AG38" i="30" s="1"/>
  <c r="AA26" i="30"/>
  <c r="AG26" i="30" s="1"/>
  <c r="AE11" i="30"/>
  <c r="AE27" i="30" s="1"/>
  <c r="G11" i="30"/>
  <c r="E11" i="30"/>
  <c r="Q50" i="34"/>
  <c r="Y11" i="30"/>
  <c r="M50" i="34"/>
  <c r="P30" i="34"/>
  <c r="P28" i="34"/>
  <c r="M11" i="30"/>
  <c r="Q20" i="34"/>
  <c r="P50" i="34"/>
  <c r="L50" i="34"/>
  <c r="L51" i="34" s="1"/>
  <c r="K50" i="34"/>
  <c r="K51" i="34" s="1"/>
  <c r="G50" i="34"/>
  <c r="F50" i="34"/>
  <c r="E50" i="34"/>
  <c r="E51" i="34" s="1"/>
  <c r="D50" i="34"/>
  <c r="C50" i="34"/>
  <c r="C51" i="34" s="1"/>
  <c r="B50" i="34"/>
  <c r="P47" i="34"/>
  <c r="P45" i="34"/>
  <c r="P43" i="34"/>
  <c r="P44" i="34"/>
  <c r="G22" i="32"/>
  <c r="G11" i="32"/>
  <c r="P20" i="34"/>
  <c r="P16" i="34"/>
  <c r="P23" i="34" s="1"/>
  <c r="Q80" i="34"/>
  <c r="N70" i="34"/>
  <c r="R70" i="34" s="1"/>
  <c r="N67" i="34"/>
  <c r="R67" i="34" s="1"/>
  <c r="N66" i="34"/>
  <c r="R66" i="34" s="1"/>
  <c r="B63" i="34"/>
  <c r="N63" i="34" s="1"/>
  <c r="R63" i="34" s="1"/>
  <c r="Q60" i="34"/>
  <c r="P60" i="34"/>
  <c r="N60" i="34"/>
  <c r="Q59" i="34"/>
  <c r="K59" i="34"/>
  <c r="D59" i="34"/>
  <c r="M57" i="34"/>
  <c r="M61" i="34" s="1"/>
  <c r="M64" i="34" s="1"/>
  <c r="M68" i="34" s="1"/>
  <c r="M71" i="34" s="1"/>
  <c r="L57" i="34"/>
  <c r="L61" i="34" s="1"/>
  <c r="L64" i="34" s="1"/>
  <c r="L68" i="34" s="1"/>
  <c r="K57" i="34"/>
  <c r="J57" i="34"/>
  <c r="J61" i="34" s="1"/>
  <c r="J64" i="34" s="1"/>
  <c r="J68" i="34" s="1"/>
  <c r="I57" i="34"/>
  <c r="I61" i="34" s="1"/>
  <c r="I64" i="34" s="1"/>
  <c r="I68" i="34" s="1"/>
  <c r="H57" i="34"/>
  <c r="H61" i="34" s="1"/>
  <c r="H64" i="34" s="1"/>
  <c r="H68" i="34" s="1"/>
  <c r="G57" i="34"/>
  <c r="G61" i="34" s="1"/>
  <c r="G64" i="34" s="1"/>
  <c r="G68" i="34" s="1"/>
  <c r="F57" i="34"/>
  <c r="F61" i="34" s="1"/>
  <c r="F64" i="34" s="1"/>
  <c r="F68" i="34" s="1"/>
  <c r="E57" i="34"/>
  <c r="E61" i="34" s="1"/>
  <c r="E64" i="34" s="1"/>
  <c r="E68" i="34" s="1"/>
  <c r="D57" i="34"/>
  <c r="C57" i="34"/>
  <c r="C61" i="34" s="1"/>
  <c r="C64" i="34" s="1"/>
  <c r="C68" i="34" s="1"/>
  <c r="B57" i="34"/>
  <c r="B61" i="34" s="1"/>
  <c r="Q56" i="34"/>
  <c r="N56" i="34"/>
  <c r="P55" i="34"/>
  <c r="S63" i="34" s="1"/>
  <c r="N55" i="34"/>
  <c r="N57" i="34" s="1"/>
  <c r="J51" i="34"/>
  <c r="I51" i="34"/>
  <c r="H51" i="34"/>
  <c r="G51" i="34"/>
  <c r="F51" i="34"/>
  <c r="D51" i="34"/>
  <c r="B49" i="34"/>
  <c r="N49" i="34" s="1"/>
  <c r="R49" i="34" s="1"/>
  <c r="N48" i="34"/>
  <c r="N47" i="34"/>
  <c r="N46" i="34"/>
  <c r="R46" i="34" s="1"/>
  <c r="N45" i="34"/>
  <c r="N44" i="34"/>
  <c r="N43" i="34"/>
  <c r="M42" i="34"/>
  <c r="K42" i="34"/>
  <c r="J42" i="34"/>
  <c r="I42" i="34"/>
  <c r="H42" i="34"/>
  <c r="G42" i="34"/>
  <c r="F42" i="34"/>
  <c r="E42" i="34"/>
  <c r="D42" i="34"/>
  <c r="B42" i="34"/>
  <c r="N41" i="34"/>
  <c r="R41" i="34" s="1"/>
  <c r="N40" i="34"/>
  <c r="R40" i="34" s="1"/>
  <c r="N39" i="34"/>
  <c r="R39" i="34" s="1"/>
  <c r="N38" i="34"/>
  <c r="N37" i="34"/>
  <c r="N36" i="34"/>
  <c r="R36" i="34" s="1"/>
  <c r="N35" i="34"/>
  <c r="R35" i="34" s="1"/>
  <c r="N34" i="34"/>
  <c r="R34" i="34" s="1"/>
  <c r="N33" i="34"/>
  <c r="R33" i="34" s="1"/>
  <c r="L32" i="34"/>
  <c r="N32" i="34" s="1"/>
  <c r="R32" i="34" s="1"/>
  <c r="C31" i="34"/>
  <c r="N31" i="34" s="1"/>
  <c r="R31" i="34" s="1"/>
  <c r="Q30" i="34"/>
  <c r="L30" i="34"/>
  <c r="N29" i="34"/>
  <c r="R29" i="34" s="1"/>
  <c r="C28" i="34"/>
  <c r="N27" i="34"/>
  <c r="N26" i="34"/>
  <c r="R26" i="34" s="1"/>
  <c r="N25" i="34"/>
  <c r="R25" i="34" s="1"/>
  <c r="N24" i="34"/>
  <c r="R24" i="34" s="1"/>
  <c r="M23" i="34"/>
  <c r="K23" i="34"/>
  <c r="J23" i="34"/>
  <c r="I23" i="34"/>
  <c r="H23" i="34"/>
  <c r="G23" i="34"/>
  <c r="F23" i="34"/>
  <c r="E23" i="34"/>
  <c r="D23" i="34"/>
  <c r="C23" i="34"/>
  <c r="B23" i="34"/>
  <c r="N22" i="34"/>
  <c r="R22" i="34" s="1"/>
  <c r="N21" i="34"/>
  <c r="R21" i="34" s="1"/>
  <c r="N20" i="34"/>
  <c r="N19" i="34"/>
  <c r="R19" i="34" s="1"/>
  <c r="N18" i="34"/>
  <c r="R18" i="34" s="1"/>
  <c r="N17" i="34"/>
  <c r="R17" i="34" s="1"/>
  <c r="N16" i="34"/>
  <c r="N15" i="34"/>
  <c r="R15" i="34" s="1"/>
  <c r="Q14" i="34"/>
  <c r="N14" i="34"/>
  <c r="Q13" i="34"/>
  <c r="N13" i="34"/>
  <c r="N12" i="34"/>
  <c r="R12" i="34" s="1"/>
  <c r="N11" i="34"/>
  <c r="R11" i="34" s="1"/>
  <c r="Q10" i="34"/>
  <c r="L10" i="34"/>
  <c r="N10" i="34" s="1"/>
  <c r="N9" i="34"/>
  <c r="R9" i="34" s="1"/>
  <c r="Q8" i="34"/>
  <c r="L8" i="34"/>
  <c r="N8" i="34" s="1"/>
  <c r="N7" i="34"/>
  <c r="R7" i="34" s="1"/>
  <c r="N6" i="34"/>
  <c r="R6" i="34" s="1"/>
  <c r="N5" i="34"/>
  <c r="Q23" i="34" l="1"/>
  <c r="P52" i="34" s="1"/>
  <c r="Q51" i="34"/>
  <c r="P51" i="34"/>
  <c r="C42" i="34"/>
  <c r="R27" i="34"/>
  <c r="R14" i="34"/>
  <c r="B64" i="34"/>
  <c r="B68" i="34" s="1"/>
  <c r="R10" i="34"/>
  <c r="D61" i="34"/>
  <c r="D64" i="34" s="1"/>
  <c r="D68" i="34" s="1"/>
  <c r="D71" i="34" s="1"/>
  <c r="N59" i="34"/>
  <c r="N61" i="34" s="1"/>
  <c r="N64" i="34" s="1"/>
  <c r="N68" i="34" s="1"/>
  <c r="N71" i="34" s="1"/>
  <c r="R13" i="34"/>
  <c r="R37" i="34"/>
  <c r="Q76" i="34"/>
  <c r="R60" i="34"/>
  <c r="R8" i="34"/>
  <c r="R44" i="34"/>
  <c r="K61" i="34"/>
  <c r="K64" i="34" s="1"/>
  <c r="K68" i="34" s="1"/>
  <c r="R48" i="34"/>
  <c r="G74" i="34"/>
  <c r="K74" i="34"/>
  <c r="P76" i="34"/>
  <c r="N23" i="34"/>
  <c r="N28" i="34"/>
  <c r="R28" i="34" s="1"/>
  <c r="R20" i="34"/>
  <c r="R38" i="34"/>
  <c r="R43" i="34"/>
  <c r="R47" i="34"/>
  <c r="D74" i="34"/>
  <c r="H74" i="34"/>
  <c r="S62" i="34"/>
  <c r="S64" i="34" s="1"/>
  <c r="R45" i="34"/>
  <c r="E74" i="34"/>
  <c r="I74" i="34"/>
  <c r="L42" i="34"/>
  <c r="F74" i="34"/>
  <c r="J74" i="34"/>
  <c r="R16" i="34"/>
  <c r="F71" i="34"/>
  <c r="J71" i="34"/>
  <c r="J77" i="34" s="1"/>
  <c r="E71" i="34"/>
  <c r="V15" i="34"/>
  <c r="C74" i="34"/>
  <c r="C71" i="34"/>
  <c r="G71" i="34"/>
  <c r="I71" i="34"/>
  <c r="I77" i="34" s="1"/>
  <c r="H71" i="34"/>
  <c r="H77" i="34" s="1"/>
  <c r="L71" i="34"/>
  <c r="M76" i="34"/>
  <c r="M77" i="34" s="1"/>
  <c r="L23" i="34"/>
  <c r="N50" i="34"/>
  <c r="R50" i="34" s="1"/>
  <c r="B51" i="34"/>
  <c r="B74" i="34" s="1"/>
  <c r="R55" i="34"/>
  <c r="R56" i="34"/>
  <c r="N30" i="34"/>
  <c r="R30" i="34" s="1"/>
  <c r="R5" i="34"/>
  <c r="C47" i="31"/>
  <c r="C28" i="31"/>
  <c r="C32" i="31"/>
  <c r="Q52" i="34" l="1"/>
  <c r="Q74" i="34" s="1"/>
  <c r="P74" i="34"/>
  <c r="B71" i="34"/>
  <c r="R59" i="34"/>
  <c r="K71" i="34"/>
  <c r="K76" i="34" s="1"/>
  <c r="L74" i="34"/>
  <c r="B76" i="34"/>
  <c r="B77" i="34" s="1"/>
  <c r="L76" i="34"/>
  <c r="L77" i="34" s="1"/>
  <c r="D76" i="34"/>
  <c r="D77" i="34" s="1"/>
  <c r="G76" i="34"/>
  <c r="G77" i="34" s="1"/>
  <c r="E76" i="34"/>
  <c r="E77" i="34" s="1"/>
  <c r="F76" i="34"/>
  <c r="F77" i="34" s="1"/>
  <c r="M78" i="34"/>
  <c r="R57" i="34"/>
  <c r="M51" i="34"/>
  <c r="M74" i="34" s="1"/>
  <c r="C76" i="34"/>
  <c r="C77" i="34" s="1"/>
  <c r="N42" i="34"/>
  <c r="R23" i="34"/>
  <c r="R42" i="34"/>
  <c r="C21" i="31"/>
  <c r="C19" i="31"/>
  <c r="C42" i="31"/>
  <c r="C41" i="31"/>
  <c r="C53" i="31"/>
  <c r="C52" i="31"/>
  <c r="C33" i="31"/>
  <c r="C31" i="31"/>
  <c r="C27" i="31"/>
  <c r="C29" i="31"/>
  <c r="C26" i="31"/>
  <c r="C24" i="31"/>
  <c r="C23" i="31"/>
  <c r="C20" i="31"/>
  <c r="E52" i="31"/>
  <c r="E54" i="31" s="1"/>
  <c r="E53" i="31"/>
  <c r="E45" i="31"/>
  <c r="E29" i="31"/>
  <c r="C15" i="31"/>
  <c r="C13" i="31"/>
  <c r="C20" i="33"/>
  <c r="C35" i="31" s="1"/>
  <c r="E9" i="33"/>
  <c r="C9" i="33"/>
  <c r="E6" i="33"/>
  <c r="C6" i="33"/>
  <c r="C11" i="33" s="1"/>
  <c r="C16" i="33" s="1"/>
  <c r="C22" i="33" s="1"/>
  <c r="C28" i="33" s="1"/>
  <c r="H25" i="32"/>
  <c r="H24" i="32"/>
  <c r="H23" i="32"/>
  <c r="H22" i="32"/>
  <c r="H21" i="32"/>
  <c r="H20" i="32"/>
  <c r="H19" i="32"/>
  <c r="H18" i="32"/>
  <c r="H14" i="32"/>
  <c r="H13" i="32"/>
  <c r="H12" i="32"/>
  <c r="H11" i="32"/>
  <c r="C30" i="31" s="1"/>
  <c r="H10" i="32"/>
  <c r="H9" i="32"/>
  <c r="H8" i="32"/>
  <c r="H7" i="32"/>
  <c r="H6" i="32"/>
  <c r="H5" i="32"/>
  <c r="C23" i="32"/>
  <c r="C22" i="32"/>
  <c r="C21" i="32"/>
  <c r="C20" i="32"/>
  <c r="C19" i="32"/>
  <c r="C18" i="32"/>
  <c r="C17" i="32"/>
  <c r="C13" i="32"/>
  <c r="C12" i="32"/>
  <c r="C11" i="32"/>
  <c r="C10" i="32"/>
  <c r="C22" i="31" s="1"/>
  <c r="C9" i="32"/>
  <c r="C8" i="32"/>
  <c r="C7" i="32"/>
  <c r="C6" i="32"/>
  <c r="C5" i="32"/>
  <c r="I29" i="32"/>
  <c r="B24" i="32"/>
  <c r="D23" i="32"/>
  <c r="D24" i="32" s="1"/>
  <c r="I22" i="32"/>
  <c r="G26" i="32"/>
  <c r="I18" i="32"/>
  <c r="I26" i="32" s="1"/>
  <c r="D14" i="32"/>
  <c r="B14" i="32"/>
  <c r="I11" i="32"/>
  <c r="G15" i="32"/>
  <c r="I6" i="32"/>
  <c r="E48" i="31"/>
  <c r="G27" i="32" l="1"/>
  <c r="G31" i="32" s="1"/>
  <c r="E11" i="33"/>
  <c r="E16" i="33" s="1"/>
  <c r="E22" i="33" s="1"/>
  <c r="E28" i="33" s="1"/>
  <c r="E4" i="31"/>
  <c r="E17" i="31" s="1"/>
  <c r="E34" i="31" s="1"/>
  <c r="E38" i="31" s="1"/>
  <c r="K77" i="34"/>
  <c r="K78" i="34" s="1"/>
  <c r="R61" i="34"/>
  <c r="F78" i="34"/>
  <c r="L78" i="34"/>
  <c r="G78" i="34"/>
  <c r="C78" i="34"/>
  <c r="N51" i="34"/>
  <c r="N74" i="34" s="1"/>
  <c r="E78" i="34"/>
  <c r="D78" i="34"/>
  <c r="N76" i="34"/>
  <c r="R76" i="34" s="1"/>
  <c r="C4" i="31"/>
  <c r="C17" i="31" s="1"/>
  <c r="C34" i="31" s="1"/>
  <c r="C38" i="31" s="1"/>
  <c r="C48" i="31"/>
  <c r="C54" i="31"/>
  <c r="D31" i="32"/>
  <c r="B31" i="32"/>
  <c r="I15" i="32"/>
  <c r="I27" i="32" s="1"/>
  <c r="I31" i="32" s="1"/>
  <c r="N77" i="34" l="1"/>
  <c r="R77" i="34" s="1"/>
  <c r="R64" i="34"/>
  <c r="R51" i="34"/>
  <c r="C56" i="31"/>
  <c r="E56" i="31"/>
  <c r="E58" i="31" s="1"/>
  <c r="C57" i="31" s="1"/>
  <c r="AC11" i="30"/>
  <c r="AC27" i="30" s="1"/>
  <c r="E165" i="17"/>
  <c r="E27" i="30"/>
  <c r="AC5" i="30"/>
  <c r="AC3" i="30"/>
  <c r="R68" i="34" l="1"/>
  <c r="S52" i="34"/>
  <c r="T52" i="34" s="1"/>
  <c r="R74" i="34"/>
  <c r="C58" i="31"/>
  <c r="C62" i="31" s="1"/>
  <c r="AC4" i="30"/>
  <c r="AA10" i="30"/>
  <c r="AG10" i="30" s="1"/>
  <c r="R71" i="34" l="1"/>
  <c r="Q25" i="30"/>
  <c r="Q37" i="30" s="1"/>
  <c r="Q13" i="30"/>
  <c r="AC8" i="30"/>
  <c r="O16" i="30"/>
  <c r="Q22" i="30" l="1"/>
  <c r="Q34" i="30" s="1"/>
  <c r="Q27" i="30"/>
  <c r="Q39" i="30" s="1"/>
  <c r="Q19" i="30"/>
  <c r="Q23" i="30"/>
  <c r="Q35" i="30" s="1"/>
  <c r="Q20" i="30"/>
  <c r="Q32" i="30" s="1"/>
  <c r="Q24" i="30"/>
  <c r="Q36" i="30" s="1"/>
  <c r="Q21" i="30"/>
  <c r="Q33" i="30" s="1"/>
  <c r="K11" i="30"/>
  <c r="I16" i="30"/>
  <c r="I22" i="30" s="1"/>
  <c r="I34" i="30" s="1"/>
  <c r="I11" i="30"/>
  <c r="Y27" i="30"/>
  <c r="Y25" i="30"/>
  <c r="Y37" i="30" s="1"/>
  <c r="Y24" i="30"/>
  <c r="Y36" i="30" s="1"/>
  <c r="Y23" i="30"/>
  <c r="Y22" i="30"/>
  <c r="Y34" i="30" s="1"/>
  <c r="Y21" i="30"/>
  <c r="Y33" i="30" s="1"/>
  <c r="Y20" i="30"/>
  <c r="Y32" i="30" s="1"/>
  <c r="Y19" i="30"/>
  <c r="W27" i="30"/>
  <c r="W39" i="30" s="1"/>
  <c r="W24" i="30"/>
  <c r="W36" i="30" s="1"/>
  <c r="W23" i="30"/>
  <c r="W35" i="30" s="1"/>
  <c r="W22" i="30"/>
  <c r="W34" i="30" s="1"/>
  <c r="W21" i="30"/>
  <c r="W33" i="30" s="1"/>
  <c r="W19" i="30"/>
  <c r="W31" i="30" s="1"/>
  <c r="U27" i="30"/>
  <c r="U39" i="30" s="1"/>
  <c r="U25" i="30"/>
  <c r="U37" i="30" s="1"/>
  <c r="U24" i="30"/>
  <c r="U36" i="30" s="1"/>
  <c r="U23" i="30"/>
  <c r="U22" i="30"/>
  <c r="U34" i="30" s="1"/>
  <c r="U21" i="30"/>
  <c r="U19" i="30"/>
  <c r="U31" i="30" s="1"/>
  <c r="O27" i="30"/>
  <c r="O25" i="30"/>
  <c r="O37" i="30" s="1"/>
  <c r="O23" i="30"/>
  <c r="O35" i="30" s="1"/>
  <c r="O22" i="30"/>
  <c r="O34" i="30" s="1"/>
  <c r="O21" i="30"/>
  <c r="O33" i="30" s="1"/>
  <c r="O20" i="30"/>
  <c r="O32" i="30" s="1"/>
  <c r="O19" i="30"/>
  <c r="M27" i="30"/>
  <c r="M39" i="30" s="1"/>
  <c r="M25" i="30"/>
  <c r="M37" i="30" s="1"/>
  <c r="M36" i="30"/>
  <c r="M23" i="30"/>
  <c r="M35" i="30" s="1"/>
  <c r="M22" i="30"/>
  <c r="M34" i="30" s="1"/>
  <c r="M21" i="30"/>
  <c r="M33" i="30" s="1"/>
  <c r="M32" i="30"/>
  <c r="M19" i="30"/>
  <c r="M31" i="30" s="1"/>
  <c r="K27" i="30"/>
  <c r="K39" i="30" s="1"/>
  <c r="K25" i="30"/>
  <c r="K37" i="30" s="1"/>
  <c r="K24" i="30"/>
  <c r="K36" i="30" s="1"/>
  <c r="K23" i="30"/>
  <c r="K22" i="30"/>
  <c r="K34" i="30" s="1"/>
  <c r="K33" i="30"/>
  <c r="K19" i="30"/>
  <c r="K31" i="30" s="1"/>
  <c r="E39" i="30"/>
  <c r="E25" i="30"/>
  <c r="E24" i="30"/>
  <c r="E36" i="30" s="1"/>
  <c r="E23" i="30"/>
  <c r="E22" i="30"/>
  <c r="E34" i="30" s="1"/>
  <c r="E21" i="30"/>
  <c r="E32" i="30"/>
  <c r="E19" i="30"/>
  <c r="E31" i="30" s="1"/>
  <c r="C27" i="30"/>
  <c r="C25" i="30"/>
  <c r="C37" i="30" s="1"/>
  <c r="C24" i="30"/>
  <c r="C23" i="30"/>
  <c r="C22" i="30"/>
  <c r="C21" i="30"/>
  <c r="C33" i="30" s="1"/>
  <c r="C20" i="30"/>
  <c r="C19" i="30"/>
  <c r="C31" i="30" s="1"/>
  <c r="AE13" i="30"/>
  <c r="AC13" i="30"/>
  <c r="E29" i="19"/>
  <c r="S16" i="30"/>
  <c r="S27" i="30" s="1"/>
  <c r="S39" i="30" s="1"/>
  <c r="Y13" i="30"/>
  <c r="W13" i="30"/>
  <c r="U13" i="30"/>
  <c r="S13" i="30"/>
  <c r="AA9" i="30"/>
  <c r="AA8" i="30"/>
  <c r="AG8" i="30" s="1"/>
  <c r="AA7" i="30"/>
  <c r="AG7" i="30" s="1"/>
  <c r="AA6" i="30"/>
  <c r="AG6" i="30" s="1"/>
  <c r="AA5" i="30"/>
  <c r="AG5" i="30" s="1"/>
  <c r="AA4" i="30"/>
  <c r="AA3" i="30"/>
  <c r="G16" i="30"/>
  <c r="G22" i="30" s="1"/>
  <c r="G34" i="30" s="1"/>
  <c r="G13" i="30"/>
  <c r="O13" i="30"/>
  <c r="M13" i="30"/>
  <c r="K13" i="30"/>
  <c r="I13" i="30"/>
  <c r="E13" i="30"/>
  <c r="C13" i="30"/>
  <c r="K32" i="30"/>
  <c r="AE25" i="30"/>
  <c r="W37" i="30"/>
  <c r="AE24" i="30"/>
  <c r="AC24" i="30"/>
  <c r="O36" i="30"/>
  <c r="AE23" i="30"/>
  <c r="AC23" i="30"/>
  <c r="Y35" i="30"/>
  <c r="U35" i="30"/>
  <c r="K35" i="30"/>
  <c r="C35" i="30"/>
  <c r="AE22" i="30"/>
  <c r="AC22" i="30"/>
  <c r="AE21" i="30"/>
  <c r="AC21" i="30"/>
  <c r="U33" i="30"/>
  <c r="AE20" i="30"/>
  <c r="W32" i="30"/>
  <c r="U32" i="30"/>
  <c r="G32" i="30"/>
  <c r="AE19" i="30"/>
  <c r="Y31" i="30"/>
  <c r="AC25" i="30"/>
  <c r="AC20" i="30"/>
  <c r="I19" i="30" l="1"/>
  <c r="I23" i="30"/>
  <c r="I35" i="30" s="1"/>
  <c r="I27" i="30"/>
  <c r="I39" i="30" s="1"/>
  <c r="Q31" i="30"/>
  <c r="Q40" i="30" s="1"/>
  <c r="Q28" i="30"/>
  <c r="I21" i="30"/>
  <c r="I33" i="30" s="1"/>
  <c r="I25" i="30"/>
  <c r="I37" i="30" s="1"/>
  <c r="I20" i="30"/>
  <c r="I32" i="30" s="1"/>
  <c r="I36" i="30"/>
  <c r="S23" i="30"/>
  <c r="S35" i="30" s="1"/>
  <c r="S19" i="30"/>
  <c r="S20" i="30"/>
  <c r="S32" i="30" s="1"/>
  <c r="S24" i="30"/>
  <c r="S36" i="30" s="1"/>
  <c r="AA11" i="30"/>
  <c r="AA13" i="30" s="1"/>
  <c r="S21" i="30"/>
  <c r="S33" i="30" s="1"/>
  <c r="S25" i="30"/>
  <c r="S37" i="30" s="1"/>
  <c r="S22" i="30"/>
  <c r="S34" i="30" s="1"/>
  <c r="AA22" i="30"/>
  <c r="AG22" i="30" s="1"/>
  <c r="G27" i="30"/>
  <c r="G39" i="30" s="1"/>
  <c r="G19" i="30"/>
  <c r="G31" i="30" s="1"/>
  <c r="G24" i="30"/>
  <c r="G36" i="30" s="1"/>
  <c r="G23" i="30"/>
  <c r="G35" i="30" s="1"/>
  <c r="AG4" i="30"/>
  <c r="G21" i="30"/>
  <c r="G33" i="30" s="1"/>
  <c r="G25" i="30"/>
  <c r="G37" i="30" s="1"/>
  <c r="AG9" i="30"/>
  <c r="K40" i="30"/>
  <c r="U40" i="30"/>
  <c r="W40" i="30"/>
  <c r="M40" i="30"/>
  <c r="C32" i="30"/>
  <c r="E28" i="30"/>
  <c r="W28" i="30"/>
  <c r="E33" i="30"/>
  <c r="E35" i="30"/>
  <c r="E37" i="30"/>
  <c r="AG3" i="30"/>
  <c r="O28" i="30"/>
  <c r="C36" i="30"/>
  <c r="O31" i="30"/>
  <c r="Y28" i="30"/>
  <c r="I31" i="30"/>
  <c r="S31" i="30"/>
  <c r="AC19" i="30"/>
  <c r="C39" i="30"/>
  <c r="M28" i="30"/>
  <c r="C34" i="30"/>
  <c r="C28" i="30"/>
  <c r="K28" i="30"/>
  <c r="U28" i="30"/>
  <c r="AA20" i="30" l="1"/>
  <c r="AG20" i="30" s="1"/>
  <c r="S28" i="30"/>
  <c r="I40" i="30"/>
  <c r="U42" i="30"/>
  <c r="U44" i="30" s="1"/>
  <c r="Q42" i="30"/>
  <c r="Q44" i="30" s="1"/>
  <c r="I28" i="30"/>
  <c r="AG11" i="30"/>
  <c r="AG13" i="30" s="1"/>
  <c r="S40" i="30"/>
  <c r="AA36" i="30"/>
  <c r="AG36" i="30" s="1"/>
  <c r="AA33" i="30"/>
  <c r="AG33" i="30" s="1"/>
  <c r="AA25" i="30"/>
  <c r="AG25" i="30" s="1"/>
  <c r="AA31" i="30"/>
  <c r="AA19" i="30"/>
  <c r="AG19" i="30" s="1"/>
  <c r="AA24" i="30"/>
  <c r="AG24" i="30" s="1"/>
  <c r="AA35" i="30"/>
  <c r="AG35" i="30" s="1"/>
  <c r="AA34" i="30"/>
  <c r="AG34" i="30" s="1"/>
  <c r="AA32" i="30"/>
  <c r="AG32" i="30" s="1"/>
  <c r="AA21" i="30"/>
  <c r="AG21" i="30" s="1"/>
  <c r="AA23" i="30"/>
  <c r="AG23" i="30" s="1"/>
  <c r="AA37" i="30"/>
  <c r="AG37" i="30" s="1"/>
  <c r="AA27" i="30"/>
  <c r="AG27" i="30" s="1"/>
  <c r="W42" i="30"/>
  <c r="W44" i="30" s="1"/>
  <c r="O39" i="30"/>
  <c r="G40" i="30"/>
  <c r="Y39" i="30"/>
  <c r="Y40" i="30" s="1"/>
  <c r="Y42" i="30" s="1"/>
  <c r="Y44" i="30" s="1"/>
  <c r="G28" i="30"/>
  <c r="K42" i="30"/>
  <c r="K44" i="30" s="1"/>
  <c r="E40" i="30"/>
  <c r="E42" i="30" s="1"/>
  <c r="E44" i="30" s="1"/>
  <c r="M42" i="30"/>
  <c r="M44" i="30" s="1"/>
  <c r="C40" i="30"/>
  <c r="C42" i="30" s="1"/>
  <c r="C44" i="30" s="1"/>
  <c r="S42" i="30" l="1"/>
  <c r="S44" i="30" s="1"/>
  <c r="I42" i="30"/>
  <c r="I44" i="30" s="1"/>
  <c r="G42" i="30"/>
  <c r="G44" i="30" s="1"/>
  <c r="AA39" i="30"/>
  <c r="AG39" i="30" s="1"/>
  <c r="O40" i="30"/>
  <c r="O42" i="30" s="1"/>
  <c r="O44" i="30" s="1"/>
  <c r="AA28" i="30"/>
  <c r="AG28" i="30"/>
  <c r="AG31" i="30"/>
  <c r="AG40" i="30" l="1"/>
  <c r="AA40" i="30"/>
  <c r="D55" i="17"/>
  <c r="E56" i="17"/>
  <c r="D157" i="17"/>
  <c r="S55" i="2" l="1"/>
  <c r="S54" i="2"/>
  <c r="E159" i="17" l="1"/>
  <c r="AI27" i="2" l="1"/>
  <c r="AB64" i="2"/>
  <c r="AL67" i="2"/>
  <c r="AH56" i="2"/>
  <c r="AI39" i="2" l="1"/>
  <c r="AI29" i="2"/>
  <c r="AE54" i="2"/>
  <c r="AI54" i="2" s="1"/>
  <c r="AE27" i="2"/>
  <c r="AE39" i="2"/>
  <c r="AE32" i="2"/>
  <c r="AE29" i="2"/>
  <c r="AG52" i="2" l="1"/>
  <c r="AH13" i="2"/>
  <c r="E30" i="19"/>
  <c r="E27" i="19"/>
  <c r="D26" i="19"/>
  <c r="E33" i="16"/>
  <c r="D29" i="16"/>
  <c r="D32" i="16"/>
  <c r="E167" i="17"/>
  <c r="E162" i="17"/>
  <c r="D165" i="17"/>
  <c r="D163" i="17"/>
  <c r="D166" i="17"/>
  <c r="E144" i="17"/>
  <c r="D155" i="18"/>
  <c r="D62" i="17"/>
  <c r="E142" i="17"/>
  <c r="F15" i="15" l="1"/>
  <c r="E16" i="19"/>
  <c r="AH85" i="2" l="1"/>
  <c r="E8" i="19"/>
  <c r="D38" i="17" l="1"/>
  <c r="K10" i="18"/>
  <c r="D179" i="17" l="1"/>
  <c r="E181" i="17"/>
  <c r="E180" i="17"/>
  <c r="E183" i="17" s="1"/>
  <c r="E186" i="17" l="1"/>
  <c r="D178" i="17"/>
  <c r="E97" i="17"/>
  <c r="D183" i="17" l="1"/>
  <c r="D186" i="17" s="1"/>
  <c r="C172" i="18"/>
  <c r="C130" i="18"/>
  <c r="C129" i="18"/>
  <c r="C124" i="18"/>
  <c r="C72" i="18"/>
  <c r="C71" i="18"/>
  <c r="C56" i="18"/>
  <c r="C55" i="18"/>
  <c r="C37" i="18"/>
  <c r="C42" i="18"/>
  <c r="C41" i="18"/>
  <c r="C24" i="18"/>
  <c r="D45" i="17"/>
  <c r="E34" i="16" l="1"/>
  <c r="D30" i="16"/>
  <c r="N19" i="17" l="1"/>
  <c r="N18" i="17"/>
  <c r="M144" i="18" l="1"/>
  <c r="N142" i="18" s="1"/>
  <c r="M143" i="18"/>
  <c r="N143" i="18" s="1"/>
  <c r="S68" i="2" l="1"/>
  <c r="S47" i="2"/>
  <c r="AC34" i="2" l="1"/>
  <c r="AC36" i="2"/>
  <c r="AC10" i="2"/>
  <c r="AC8" i="2"/>
  <c r="H32" i="22" l="1"/>
  <c r="R18" i="23"/>
  <c r="R37" i="23"/>
  <c r="N35" i="23"/>
  <c r="R35" i="23" s="1"/>
  <c r="P33" i="23"/>
  <c r="R33" i="23" s="1"/>
  <c r="N31" i="23"/>
  <c r="R31" i="23" s="1"/>
  <c r="R29" i="23"/>
  <c r="L26" i="23"/>
  <c r="L39" i="23" s="1"/>
  <c r="J26" i="23"/>
  <c r="J39" i="23" s="1"/>
  <c r="H26" i="23"/>
  <c r="H39" i="23" s="1"/>
  <c r="F26" i="23"/>
  <c r="F39" i="23" s="1"/>
  <c r="D26" i="23"/>
  <c r="D39" i="23" s="1"/>
  <c r="B26" i="23"/>
  <c r="B39" i="23" s="1"/>
  <c r="R24" i="23"/>
  <c r="R22" i="23"/>
  <c r="P20" i="23"/>
  <c r="P26" i="23" s="1"/>
  <c r="P39" i="23" s="1"/>
  <c r="R16" i="23"/>
  <c r="R14" i="23"/>
  <c r="R12" i="23"/>
  <c r="R10" i="23"/>
  <c r="R8" i="23"/>
  <c r="R6" i="23"/>
  <c r="R20" i="23" l="1"/>
  <c r="R26" i="23" s="1"/>
  <c r="N26" i="23"/>
  <c r="N39" i="23" s="1"/>
  <c r="R39" i="23" l="1"/>
  <c r="AH64" i="2" l="1"/>
  <c r="E28" i="19"/>
  <c r="D54" i="21"/>
  <c r="D44" i="21"/>
  <c r="D21" i="21"/>
  <c r="D10" i="21"/>
  <c r="D28" i="21"/>
  <c r="D27" i="21" l="1"/>
  <c r="AG22" i="2"/>
  <c r="AH65" i="2"/>
  <c r="D159" i="17"/>
  <c r="E73" i="17"/>
  <c r="E75" i="17" s="1"/>
  <c r="D75" i="17" l="1"/>
  <c r="D8" i="21" l="1"/>
  <c r="E35" i="16"/>
  <c r="AH10" i="2" s="1"/>
  <c r="D9" i="21"/>
  <c r="D41" i="21" l="1"/>
  <c r="Q9" i="2" l="1"/>
  <c r="D34" i="22"/>
  <c r="F7" i="22"/>
  <c r="F12" i="22" s="1"/>
  <c r="F16" i="22" s="1"/>
  <c r="F20" i="22" s="1"/>
  <c r="F28" i="22" s="1"/>
  <c r="F32" i="22" s="1"/>
  <c r="F34" i="22" s="1"/>
  <c r="D7" i="22"/>
  <c r="D12" i="22" s="1"/>
  <c r="D16" i="22" s="1"/>
  <c r="D20" i="22" s="1"/>
  <c r="D28" i="22" s="1"/>
  <c r="D67" i="21"/>
  <c r="D70" i="21" s="1"/>
  <c r="F67" i="21"/>
  <c r="F70" i="21" s="1"/>
  <c r="F59" i="21"/>
  <c r="F60" i="21" s="1"/>
  <c r="F72" i="21" s="1"/>
  <c r="D59" i="21"/>
  <c r="F48" i="21"/>
  <c r="F28" i="21"/>
  <c r="F29" i="21" s="1"/>
  <c r="D29" i="21"/>
  <c r="F7" i="21"/>
  <c r="F6" i="21"/>
  <c r="F15" i="21" l="1"/>
  <c r="F30" i="21" s="1"/>
  <c r="F75" i="21" s="1"/>
  <c r="D48" i="21"/>
  <c r="D60" i="21" s="1"/>
  <c r="D72" i="21" s="1"/>
  <c r="D15" i="21"/>
  <c r="D30" i="21" s="1"/>
  <c r="D75" i="21" l="1"/>
  <c r="AO52" i="2" l="1"/>
  <c r="AK62" i="2"/>
  <c r="AK66" i="2" s="1"/>
  <c r="AK69" i="2" s="1"/>
  <c r="AK58" i="2"/>
  <c r="AK47" i="2"/>
  <c r="AK26" i="2"/>
  <c r="AM20" i="2"/>
  <c r="AM19" i="2"/>
  <c r="AO49" i="2" l="1"/>
  <c r="AK73" i="2"/>
  <c r="AK76" i="2" s="1"/>
  <c r="D32" i="17" l="1"/>
  <c r="N43" i="2"/>
  <c r="R43" i="2" s="1"/>
  <c r="N42" i="2"/>
  <c r="R42" i="2" s="1"/>
  <c r="N40" i="2"/>
  <c r="R40" i="2" s="1"/>
  <c r="N32" i="2"/>
  <c r="R32" i="2" s="1"/>
  <c r="N21" i="2"/>
  <c r="R21" i="2" s="1"/>
  <c r="N15" i="2"/>
  <c r="R15" i="2" s="1"/>
  <c r="N75" i="2"/>
  <c r="C72" i="2"/>
  <c r="C68" i="2"/>
  <c r="C65" i="2"/>
  <c r="C64" i="2"/>
  <c r="C61" i="2"/>
  <c r="C60" i="2"/>
  <c r="C57" i="2"/>
  <c r="C53" i="2"/>
  <c r="C52" i="2"/>
  <c r="C51" i="2"/>
  <c r="C50" i="2"/>
  <c r="C49" i="2"/>
  <c r="C48" i="2"/>
  <c r="C46" i="2"/>
  <c r="C45" i="2"/>
  <c r="C44" i="2"/>
  <c r="C43" i="2"/>
  <c r="C42" i="2"/>
  <c r="C41" i="2"/>
  <c r="C40" i="2"/>
  <c r="C38" i="2"/>
  <c r="C37" i="2"/>
  <c r="C36" i="2"/>
  <c r="C35" i="2"/>
  <c r="C34" i="2"/>
  <c r="C33" i="2"/>
  <c r="C32" i="2"/>
  <c r="C31" i="2"/>
  <c r="C30" i="2"/>
  <c r="C28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62" i="2"/>
  <c r="B66" i="2" s="1"/>
  <c r="B69" i="2" s="1"/>
  <c r="B73" i="2" s="1"/>
  <c r="B76" i="2" s="1"/>
  <c r="B55" i="2"/>
  <c r="B58" i="2" s="1"/>
  <c r="B47" i="2"/>
  <c r="B26" i="2"/>
  <c r="C55" i="2" l="1"/>
  <c r="R75" i="2"/>
  <c r="B79" i="2"/>
  <c r="AG60" i="2" l="1"/>
  <c r="AG56" i="2" l="1"/>
  <c r="AL68" i="2"/>
  <c r="AL69" i="2" s="1"/>
  <c r="P17" i="17"/>
  <c r="C16" i="17"/>
  <c r="C10" i="18"/>
  <c r="C4" i="18"/>
  <c r="C25" i="17" l="1"/>
  <c r="E47" i="17"/>
  <c r="E160" i="17" s="1"/>
  <c r="AH19" i="2" s="1"/>
  <c r="AM8" i="2" l="1"/>
  <c r="E5" i="19" l="1"/>
  <c r="D23" i="19"/>
  <c r="E19" i="19"/>
  <c r="AH61" i="2" s="1"/>
  <c r="AH81" i="2" s="1"/>
  <c r="AE48" i="2"/>
  <c r="D175" i="18"/>
  <c r="E172" i="18"/>
  <c r="E192" i="17" s="1"/>
  <c r="E171" i="18"/>
  <c r="E170" i="18"/>
  <c r="L167" i="18"/>
  <c r="E169" i="18"/>
  <c r="L168" i="18"/>
  <c r="E168" i="18"/>
  <c r="E167" i="18"/>
  <c r="E166" i="18"/>
  <c r="AE75" i="2"/>
  <c r="AE72" i="2"/>
  <c r="AE68" i="2"/>
  <c r="AE65" i="2"/>
  <c r="AE64" i="2"/>
  <c r="AE61" i="2"/>
  <c r="AE60" i="2"/>
  <c r="AE57" i="2"/>
  <c r="AE53" i="2"/>
  <c r="AE52" i="2"/>
  <c r="AE51" i="2"/>
  <c r="AE50" i="2"/>
  <c r="AE49" i="2"/>
  <c r="AE46" i="2"/>
  <c r="AE45" i="2"/>
  <c r="AE44" i="2"/>
  <c r="AE43" i="2"/>
  <c r="AE42" i="2"/>
  <c r="AE41" i="2"/>
  <c r="AE40" i="2"/>
  <c r="AE38" i="2"/>
  <c r="AE37" i="2"/>
  <c r="AE36" i="2"/>
  <c r="AE35" i="2"/>
  <c r="AE33" i="2"/>
  <c r="AE30" i="2"/>
  <c r="AE28" i="2"/>
  <c r="AE25" i="2"/>
  <c r="AE24" i="2"/>
  <c r="AE23" i="2"/>
  <c r="AE22" i="2"/>
  <c r="AE21" i="2"/>
  <c r="AE20" i="2"/>
  <c r="AE19" i="2"/>
  <c r="AE18" i="2"/>
  <c r="AE16" i="2"/>
  <c r="AE15" i="2"/>
  <c r="AE14" i="2"/>
  <c r="AE13" i="2"/>
  <c r="AE12" i="2"/>
  <c r="AE11" i="2"/>
  <c r="AE10" i="2"/>
  <c r="AE9" i="2"/>
  <c r="AE8" i="2"/>
  <c r="AE7" i="2"/>
  <c r="AE6" i="2"/>
  <c r="AE5" i="2"/>
  <c r="AD62" i="2"/>
  <c r="AD66" i="2" s="1"/>
  <c r="AD69" i="2" s="1"/>
  <c r="AD73" i="2" s="1"/>
  <c r="AD76" i="2" s="1"/>
  <c r="AD56" i="2" s="1"/>
  <c r="AD47" i="2"/>
  <c r="AD26" i="2"/>
  <c r="E36" i="16"/>
  <c r="AH15" i="2"/>
  <c r="AG42" i="2"/>
  <c r="AD58" i="2" l="1"/>
  <c r="AD79" i="2" s="1"/>
  <c r="C173" i="18"/>
  <c r="E163" i="17"/>
  <c r="AD81" i="2"/>
  <c r="AD82" i="2" s="1"/>
  <c r="AE17" i="2"/>
  <c r="AE26" i="2" s="1"/>
  <c r="E23" i="19"/>
  <c r="C175" i="18" l="1"/>
  <c r="E173" i="18"/>
  <c r="AI75" i="2"/>
  <c r="AJ75" i="2" s="1"/>
  <c r="AI42" i="2"/>
  <c r="AJ42" i="2" s="1"/>
  <c r="AI15" i="2"/>
  <c r="AJ15" i="2" s="1"/>
  <c r="E193" i="17" l="1"/>
  <c r="E175" i="18"/>
  <c r="E37" i="16"/>
  <c r="AH8" i="2"/>
  <c r="AH9" i="2"/>
  <c r="AG30" i="2"/>
  <c r="AG41" i="2"/>
  <c r="E164" i="17" l="1"/>
  <c r="D191" i="17"/>
  <c r="E195" i="17"/>
  <c r="E38" i="16"/>
  <c r="D38" i="16"/>
  <c r="D195" i="17" l="1"/>
  <c r="D162" i="17"/>
  <c r="D76" i="18"/>
  <c r="D77" i="18" s="1"/>
  <c r="D75" i="18"/>
  <c r="C75" i="18"/>
  <c r="D74" i="18"/>
  <c r="C74" i="18"/>
  <c r="C76" i="18" s="1"/>
  <c r="C77" i="18" s="1"/>
  <c r="E76" i="18" l="1"/>
  <c r="D157" i="18"/>
  <c r="H142" i="17"/>
  <c r="H145" i="17" s="1"/>
  <c r="H146" i="17" s="1"/>
  <c r="E9" i="18"/>
  <c r="G9" i="18" s="1"/>
  <c r="E48" i="17"/>
  <c r="F9" i="18" l="1"/>
  <c r="E135" i="17"/>
  <c r="AG65" i="2"/>
  <c r="AG81" i="2" s="1"/>
  <c r="Q23" i="17"/>
  <c r="D146" i="17"/>
  <c r="E146" i="17" l="1"/>
  <c r="K143" i="18"/>
  <c r="K144" i="18" s="1"/>
  <c r="L143" i="18" s="1"/>
  <c r="L142" i="18" l="1"/>
  <c r="D150" i="18"/>
  <c r="C150" i="18"/>
  <c r="E148" i="18"/>
  <c r="E147" i="18"/>
  <c r="E146" i="18"/>
  <c r="AH53" i="2" s="1"/>
  <c r="E145" i="18"/>
  <c r="E144" i="18"/>
  <c r="E143" i="18"/>
  <c r="E142" i="18"/>
  <c r="E134" i="17" s="1"/>
  <c r="E161" i="17" s="1"/>
  <c r="AH34" i="2" s="1"/>
  <c r="E141" i="18"/>
  <c r="AE34" i="2"/>
  <c r="AE31" i="2"/>
  <c r="AC62" i="2"/>
  <c r="AC66" i="2" s="1"/>
  <c r="AC69" i="2" s="1"/>
  <c r="AC73" i="2" s="1"/>
  <c r="AC58" i="2"/>
  <c r="AC47" i="2"/>
  <c r="AE47" i="2" l="1"/>
  <c r="D160" i="18"/>
  <c r="D158" i="18"/>
  <c r="G157" i="18" s="1"/>
  <c r="G158" i="18" s="1"/>
  <c r="AC80" i="2"/>
  <c r="AC76" i="2"/>
  <c r="AC81" i="2" s="1"/>
  <c r="AC82" i="2" s="1"/>
  <c r="AE62" i="2"/>
  <c r="AE66" i="2" s="1"/>
  <c r="AE69" i="2" s="1"/>
  <c r="AE73" i="2" s="1"/>
  <c r="AE76" i="2" s="1"/>
  <c r="E150" i="18"/>
  <c r="AH55" i="2" l="1"/>
  <c r="E136" i="17"/>
  <c r="D159" i="18"/>
  <c r="D161" i="18" s="1"/>
  <c r="D129" i="17" s="1"/>
  <c r="H187" i="17" l="1"/>
  <c r="D138" i="17"/>
  <c r="G132" i="17"/>
  <c r="E138" i="17"/>
  <c r="F138" i="17" l="1"/>
  <c r="AC26" i="2"/>
  <c r="AC79" i="2" s="1"/>
  <c r="AG53" i="2" l="1"/>
  <c r="AG50" i="2"/>
  <c r="E39" i="17"/>
  <c r="D156" i="17" l="1"/>
  <c r="E24" i="16"/>
  <c r="E40" i="16" s="1"/>
  <c r="D24" i="16"/>
  <c r="D40" i="16" s="1"/>
  <c r="O12" i="1"/>
  <c r="N11" i="1"/>
  <c r="E35" i="1"/>
  <c r="D62" i="1"/>
  <c r="E4" i="18"/>
  <c r="D158" i="17"/>
  <c r="AG31" i="2" s="1"/>
  <c r="E26" i="16" l="1"/>
  <c r="AG48" i="2"/>
  <c r="AI48" i="2" s="1"/>
  <c r="D50" i="17"/>
  <c r="E50" i="17"/>
  <c r="D132" i="18"/>
  <c r="C132" i="18"/>
  <c r="E130" i="18"/>
  <c r="E129" i="18"/>
  <c r="E128" i="18"/>
  <c r="E127" i="18"/>
  <c r="M126" i="18"/>
  <c r="N124" i="18" s="1"/>
  <c r="K126" i="18"/>
  <c r="L125" i="18" s="1"/>
  <c r="E126" i="18"/>
  <c r="O125" i="18"/>
  <c r="E125" i="18"/>
  <c r="O124" i="18"/>
  <c r="E124" i="18"/>
  <c r="E123" i="18"/>
  <c r="D118" i="18"/>
  <c r="C118" i="18"/>
  <c r="E116" i="18"/>
  <c r="E115" i="18"/>
  <c r="E114" i="18"/>
  <c r="E113" i="18"/>
  <c r="M112" i="18"/>
  <c r="N110" i="18" s="1"/>
  <c r="K112" i="18"/>
  <c r="L111" i="18" s="1"/>
  <c r="E112" i="18"/>
  <c r="O111" i="18"/>
  <c r="E111" i="18"/>
  <c r="O110" i="18"/>
  <c r="O112" i="18" s="1"/>
  <c r="E110" i="18"/>
  <c r="E109" i="18"/>
  <c r="D104" i="18"/>
  <c r="C104" i="18"/>
  <c r="E102" i="18"/>
  <c r="E101" i="18"/>
  <c r="E100" i="18"/>
  <c r="E99" i="18"/>
  <c r="M98" i="18"/>
  <c r="N97" i="18" s="1"/>
  <c r="K98" i="18"/>
  <c r="L97" i="18" s="1"/>
  <c r="E98" i="18"/>
  <c r="O97" i="18"/>
  <c r="E97" i="18"/>
  <c r="O96" i="18"/>
  <c r="N96" i="18"/>
  <c r="L96" i="18"/>
  <c r="F94" i="18" s="1"/>
  <c r="E96" i="18"/>
  <c r="E95" i="18"/>
  <c r="D90" i="18"/>
  <c r="C90" i="18"/>
  <c r="E88" i="18"/>
  <c r="E87" i="18"/>
  <c r="E86" i="18"/>
  <c r="E85" i="18"/>
  <c r="M84" i="18"/>
  <c r="N82" i="18" s="1"/>
  <c r="K84" i="18"/>
  <c r="L82" i="18" s="1"/>
  <c r="E84" i="18"/>
  <c r="O83" i="18"/>
  <c r="E83" i="18"/>
  <c r="O82" i="18"/>
  <c r="O84" i="18" s="1"/>
  <c r="E82" i="18"/>
  <c r="E81" i="18"/>
  <c r="E72" i="18"/>
  <c r="D71" i="18"/>
  <c r="E70" i="18"/>
  <c r="E69" i="18"/>
  <c r="M68" i="18"/>
  <c r="N66" i="18" s="1"/>
  <c r="K68" i="18"/>
  <c r="E68" i="18"/>
  <c r="O67" i="18"/>
  <c r="N67" i="18"/>
  <c r="P67" i="18" s="1"/>
  <c r="L67" i="18"/>
  <c r="G64" i="18" s="1"/>
  <c r="E67" i="18"/>
  <c r="O66" i="18"/>
  <c r="L66" i="18"/>
  <c r="E66" i="18"/>
  <c r="F66" i="18" s="1"/>
  <c r="E65" i="18"/>
  <c r="G65" i="18" s="1"/>
  <c r="F64" i="18"/>
  <c r="F69" i="18" s="1"/>
  <c r="D59" i="18"/>
  <c r="C59" i="18"/>
  <c r="E56" i="18"/>
  <c r="D55" i="18"/>
  <c r="D58" i="18" s="1"/>
  <c r="C58" i="18"/>
  <c r="C60" i="18" s="1"/>
  <c r="E54" i="18"/>
  <c r="E53" i="18"/>
  <c r="M52" i="18"/>
  <c r="N51" i="18" s="1"/>
  <c r="K52" i="18"/>
  <c r="L50" i="18" s="1"/>
  <c r="E52" i="18"/>
  <c r="O51" i="18"/>
  <c r="E51" i="18"/>
  <c r="O50" i="18"/>
  <c r="O52" i="18" s="1"/>
  <c r="E50" i="18"/>
  <c r="E49" i="18"/>
  <c r="C44" i="18"/>
  <c r="C45" i="18" s="1"/>
  <c r="E42" i="18"/>
  <c r="L41" i="18"/>
  <c r="D44" i="18"/>
  <c r="D45" i="18" s="1"/>
  <c r="E40" i="18"/>
  <c r="E39" i="18"/>
  <c r="M38" i="18"/>
  <c r="N37" i="18" s="1"/>
  <c r="P37" i="18" s="1"/>
  <c r="K38" i="18"/>
  <c r="L36" i="18" s="1"/>
  <c r="E38" i="18"/>
  <c r="O37" i="18"/>
  <c r="L37" i="18"/>
  <c r="G34" i="18" s="1"/>
  <c r="E37" i="18"/>
  <c r="O36" i="18"/>
  <c r="O38" i="18" s="1"/>
  <c r="E36" i="18"/>
  <c r="E35" i="18"/>
  <c r="D29" i="18"/>
  <c r="C29" i="18"/>
  <c r="E24" i="18"/>
  <c r="D27" i="18"/>
  <c r="D30" i="18" s="1"/>
  <c r="E23" i="18"/>
  <c r="E22" i="18"/>
  <c r="M21" i="18"/>
  <c r="N19" i="18" s="1"/>
  <c r="K21" i="18"/>
  <c r="L20" i="18" s="1"/>
  <c r="E21" i="18"/>
  <c r="O20" i="18"/>
  <c r="N20" i="18"/>
  <c r="E20" i="18"/>
  <c r="O19" i="18"/>
  <c r="L19" i="18"/>
  <c r="F17" i="18" s="1"/>
  <c r="F22" i="18" s="1"/>
  <c r="E19" i="18"/>
  <c r="E18" i="18"/>
  <c r="D13" i="18"/>
  <c r="M12" i="18"/>
  <c r="N10" i="18" s="1"/>
  <c r="O11" i="18"/>
  <c r="H55" i="17" s="1"/>
  <c r="O10" i="18"/>
  <c r="E10" i="18"/>
  <c r="E8" i="18"/>
  <c r="E7" i="18"/>
  <c r="M6" i="18"/>
  <c r="N4" i="18" s="1"/>
  <c r="K6" i="18"/>
  <c r="L4" i="18" s="1"/>
  <c r="F2" i="18" s="1"/>
  <c r="E6" i="18"/>
  <c r="O5" i="18"/>
  <c r="L5" i="18"/>
  <c r="E5" i="18"/>
  <c r="O4" i="18"/>
  <c r="O6" i="18" s="1"/>
  <c r="E3" i="18"/>
  <c r="E112" i="17"/>
  <c r="E114" i="17" s="1"/>
  <c r="D41" i="17"/>
  <c r="G26" i="17"/>
  <c r="F26" i="17"/>
  <c r="D26" i="17"/>
  <c r="G25" i="17"/>
  <c r="F25" i="17"/>
  <c r="D25" i="17"/>
  <c r="N21" i="17"/>
  <c r="N15" i="17"/>
  <c r="N14" i="17"/>
  <c r="N13" i="17"/>
  <c r="M12" i="17"/>
  <c r="M17" i="17" s="1"/>
  <c r="M20" i="17" s="1"/>
  <c r="M22" i="17" s="1"/>
  <c r="L12" i="17"/>
  <c r="L17" i="17" s="1"/>
  <c r="L20" i="17" s="1"/>
  <c r="L22" i="17" s="1"/>
  <c r="K12" i="17"/>
  <c r="K17" i="17" s="1"/>
  <c r="K20" i="17" s="1"/>
  <c r="K22" i="17" s="1"/>
  <c r="J12" i="17"/>
  <c r="J17" i="17" s="1"/>
  <c r="J20" i="17" s="1"/>
  <c r="J22" i="17" s="1"/>
  <c r="I12" i="17"/>
  <c r="I17" i="17" s="1"/>
  <c r="I20" i="17" s="1"/>
  <c r="I22" i="17" s="1"/>
  <c r="H12" i="17"/>
  <c r="H17" i="17" s="1"/>
  <c r="H20" i="17" s="1"/>
  <c r="H22" i="17" s="1"/>
  <c r="E12" i="17"/>
  <c r="E17" i="17" s="1"/>
  <c r="E20" i="17" s="1"/>
  <c r="E22" i="17" s="1"/>
  <c r="C12" i="17"/>
  <c r="C17" i="17" s="1"/>
  <c r="C20" i="17" s="1"/>
  <c r="N11" i="17"/>
  <c r="N10" i="17"/>
  <c r="D31" i="17" s="1"/>
  <c r="E33" i="17" s="1"/>
  <c r="G12" i="17"/>
  <c r="G17" i="17" s="1"/>
  <c r="G20" i="17" s="1"/>
  <c r="G22" i="17" s="1"/>
  <c r="F12" i="17"/>
  <c r="F17" i="17" s="1"/>
  <c r="F20" i="17" s="1"/>
  <c r="F22" i="17" s="1"/>
  <c r="N9" i="17"/>
  <c r="AG17" i="2"/>
  <c r="AG25" i="2"/>
  <c r="G42" i="18" l="1"/>
  <c r="D88" i="17" s="1"/>
  <c r="C22" i="17"/>
  <c r="Q17" i="17"/>
  <c r="E90" i="18"/>
  <c r="H56" i="17"/>
  <c r="AL48" i="2"/>
  <c r="AJ48" i="2"/>
  <c r="O12" i="18"/>
  <c r="G17" i="18"/>
  <c r="P20" i="18"/>
  <c r="F101" i="18"/>
  <c r="F102" i="18"/>
  <c r="F95" i="18"/>
  <c r="F6" i="18"/>
  <c r="F4" i="18"/>
  <c r="O98" i="18"/>
  <c r="N111" i="18"/>
  <c r="N36" i="18"/>
  <c r="G39" i="18"/>
  <c r="G21" i="18"/>
  <c r="N50" i="18"/>
  <c r="P50" i="18" s="1"/>
  <c r="E71" i="18"/>
  <c r="F71" i="18" s="1"/>
  <c r="F99" i="18"/>
  <c r="E77" i="18"/>
  <c r="P96" i="18"/>
  <c r="F100" i="18"/>
  <c r="L110" i="18"/>
  <c r="F108" i="18" s="1"/>
  <c r="F112" i="18" s="1"/>
  <c r="F10" i="18"/>
  <c r="O21" i="18"/>
  <c r="P19" i="18"/>
  <c r="D60" i="18"/>
  <c r="G20" i="18"/>
  <c r="E55" i="18"/>
  <c r="E58" i="18" s="1"/>
  <c r="O68" i="18"/>
  <c r="P66" i="18"/>
  <c r="F97" i="18"/>
  <c r="E132" i="18"/>
  <c r="G38" i="18"/>
  <c r="G67" i="18"/>
  <c r="E104" i="18"/>
  <c r="O126" i="18"/>
  <c r="F27" i="17"/>
  <c r="N12" i="17"/>
  <c r="G27" i="17"/>
  <c r="D27" i="17"/>
  <c r="P125" i="18"/>
  <c r="G122" i="18"/>
  <c r="G130" i="18" s="1"/>
  <c r="E120" i="17" s="1"/>
  <c r="E60" i="18"/>
  <c r="G68" i="18"/>
  <c r="G72" i="18"/>
  <c r="P82" i="18"/>
  <c r="F80" i="18"/>
  <c r="G108" i="18"/>
  <c r="G109" i="18" s="1"/>
  <c r="P111" i="18"/>
  <c r="D119" i="18"/>
  <c r="C119" i="18"/>
  <c r="E119" i="18" s="1"/>
  <c r="G22" i="18"/>
  <c r="G24" i="18"/>
  <c r="D81" i="17" s="1"/>
  <c r="F114" i="18"/>
  <c r="F111" i="18"/>
  <c r="F110" i="18"/>
  <c r="F115" i="18"/>
  <c r="G23" i="18"/>
  <c r="D31" i="18"/>
  <c r="P36" i="18"/>
  <c r="F34" i="18"/>
  <c r="F36" i="18" s="1"/>
  <c r="E45" i="18"/>
  <c r="F48" i="18"/>
  <c r="F49" i="18" s="1"/>
  <c r="G66" i="18"/>
  <c r="G69" i="18"/>
  <c r="F42" i="18"/>
  <c r="F113" i="18"/>
  <c r="F24" i="18"/>
  <c r="G70" i="18"/>
  <c r="C105" i="18"/>
  <c r="C133" i="18"/>
  <c r="E133" i="18" s="1"/>
  <c r="P4" i="18"/>
  <c r="P97" i="18"/>
  <c r="D105" i="18"/>
  <c r="G94" i="18"/>
  <c r="G97" i="18" s="1"/>
  <c r="G116" i="18"/>
  <c r="D133" i="18"/>
  <c r="F5" i="18"/>
  <c r="F8" i="18"/>
  <c r="G36" i="18"/>
  <c r="K12" i="18"/>
  <c r="L11" i="18" s="1"/>
  <c r="E41" i="18"/>
  <c r="E118" i="18"/>
  <c r="L83" i="18"/>
  <c r="D91" i="18" s="1"/>
  <c r="F98" i="18"/>
  <c r="G2" i="18"/>
  <c r="G7" i="18" s="1"/>
  <c r="F21" i="18"/>
  <c r="F68" i="18"/>
  <c r="F72" i="18"/>
  <c r="N83" i="18"/>
  <c r="F7" i="18"/>
  <c r="F20" i="18"/>
  <c r="F23" i="18"/>
  <c r="G35" i="18"/>
  <c r="L51" i="18"/>
  <c r="D61" i="18" s="1"/>
  <c r="F67" i="18"/>
  <c r="F70" i="18"/>
  <c r="F96" i="18"/>
  <c r="F109" i="18"/>
  <c r="P110" i="18"/>
  <c r="G113" i="18"/>
  <c r="F116" i="18"/>
  <c r="L124" i="18"/>
  <c r="N125" i="18"/>
  <c r="N5" i="18"/>
  <c r="F65" i="18"/>
  <c r="G10" i="18"/>
  <c r="D64" i="17" s="1"/>
  <c r="F3" i="18"/>
  <c r="N11" i="18"/>
  <c r="E44" i="18"/>
  <c r="G37" i="18"/>
  <c r="G40" i="18"/>
  <c r="D35" i="17"/>
  <c r="D12" i="17"/>
  <c r="D17" i="17" s="1"/>
  <c r="D20" i="17" s="1"/>
  <c r="D22" i="17" s="1"/>
  <c r="N16" i="17"/>
  <c r="D114" i="17"/>
  <c r="E41" i="17"/>
  <c r="N20" i="17" l="1"/>
  <c r="N22" i="17" s="1"/>
  <c r="G71" i="18"/>
  <c r="E105" i="17" s="1"/>
  <c r="E107" i="17" s="1"/>
  <c r="E74" i="18"/>
  <c r="N17" i="17"/>
  <c r="G5" i="18"/>
  <c r="P11" i="18"/>
  <c r="G124" i="18"/>
  <c r="G123" i="18"/>
  <c r="P5" i="18"/>
  <c r="R10" i="18"/>
  <c r="AG49" i="2"/>
  <c r="C27" i="17"/>
  <c r="D58" i="17"/>
  <c r="K56" i="17"/>
  <c r="E35" i="17"/>
  <c r="F88" i="18"/>
  <c r="F81" i="18"/>
  <c r="F82" i="18"/>
  <c r="F84" i="18"/>
  <c r="L10" i="18"/>
  <c r="P10" i="18" s="1"/>
  <c r="G110" i="18"/>
  <c r="F37" i="18"/>
  <c r="G41" i="18"/>
  <c r="E87" i="17" s="1"/>
  <c r="F41" i="18"/>
  <c r="F83" i="18"/>
  <c r="F85" i="18"/>
  <c r="G126" i="18"/>
  <c r="G128" i="18"/>
  <c r="G125" i="18"/>
  <c r="G127" i="18"/>
  <c r="F52" i="18"/>
  <c r="F55" i="18"/>
  <c r="F53" i="18"/>
  <c r="G102" i="18"/>
  <c r="G95" i="18"/>
  <c r="G101" i="18"/>
  <c r="G99" i="18"/>
  <c r="F122" i="18"/>
  <c r="P124" i="18"/>
  <c r="G48" i="18"/>
  <c r="P51" i="18"/>
  <c r="G3" i="18"/>
  <c r="D14" i="18"/>
  <c r="G4" i="18"/>
  <c r="G6" i="18"/>
  <c r="E105" i="18"/>
  <c r="F86" i="18"/>
  <c r="F51" i="18"/>
  <c r="F87" i="18"/>
  <c r="F39" i="18"/>
  <c r="F38" i="18"/>
  <c r="P83" i="18"/>
  <c r="C91" i="18"/>
  <c r="E91" i="18" s="1"/>
  <c r="G80" i="18"/>
  <c r="G98" i="18"/>
  <c r="G8" i="18"/>
  <c r="F35" i="18"/>
  <c r="G129" i="18"/>
  <c r="E119" i="17" s="1"/>
  <c r="D118" i="17" s="1"/>
  <c r="D122" i="17" s="1"/>
  <c r="C61" i="18"/>
  <c r="E61" i="18" s="1"/>
  <c r="F54" i="18"/>
  <c r="G100" i="18"/>
  <c r="F50" i="18"/>
  <c r="G96" i="18"/>
  <c r="F56" i="18"/>
  <c r="G112" i="18"/>
  <c r="G115" i="18"/>
  <c r="G114" i="18"/>
  <c r="G111" i="18"/>
  <c r="F40" i="18"/>
  <c r="D104" i="17" l="1"/>
  <c r="D107" i="17" s="1"/>
  <c r="E122" i="17"/>
  <c r="D63" i="17"/>
  <c r="D89" i="17"/>
  <c r="D91" i="17" s="1"/>
  <c r="E91" i="17"/>
  <c r="E58" i="17"/>
  <c r="G85" i="18"/>
  <c r="G86" i="18"/>
  <c r="G82" i="18"/>
  <c r="G88" i="18"/>
  <c r="G81" i="18"/>
  <c r="G83" i="18"/>
  <c r="G84" i="18"/>
  <c r="G87" i="18"/>
  <c r="F127" i="18"/>
  <c r="F125" i="18"/>
  <c r="F130" i="18"/>
  <c r="F123" i="18"/>
  <c r="F128" i="18"/>
  <c r="F124" i="18"/>
  <c r="F126" i="18"/>
  <c r="F129" i="18"/>
  <c r="G52" i="18"/>
  <c r="G49" i="18"/>
  <c r="G53" i="18"/>
  <c r="G50" i="18"/>
  <c r="G55" i="18"/>
  <c r="E96" i="17" s="1"/>
  <c r="G56" i="18"/>
  <c r="E98" i="17" s="1"/>
  <c r="G54" i="18"/>
  <c r="G51" i="18"/>
  <c r="H186" i="17" l="1"/>
  <c r="D95" i="17"/>
  <c r="E100" i="17"/>
  <c r="AG55" i="2"/>
  <c r="AH22" i="2"/>
  <c r="D100" i="17" l="1"/>
  <c r="AE55" i="2"/>
  <c r="D25" i="1" l="1"/>
  <c r="G19" i="1" s="1"/>
  <c r="D16" i="1" l="1"/>
  <c r="I30" i="4" l="1"/>
  <c r="I40" i="4"/>
  <c r="I51" i="4"/>
  <c r="I62" i="4"/>
  <c r="I73" i="4"/>
  <c r="I95" i="4"/>
  <c r="I85" i="4"/>
  <c r="J50" i="1" l="1"/>
  <c r="J51" i="1" s="1"/>
  <c r="J49" i="1"/>
  <c r="I49" i="1"/>
  <c r="AI43" i="2"/>
  <c r="AJ43" i="2" s="1"/>
  <c r="AI32" i="2"/>
  <c r="AJ32" i="2" s="1"/>
  <c r="T62" i="2" l="1"/>
  <c r="T66" i="2" s="1"/>
  <c r="T69" i="2" s="1"/>
  <c r="T73" i="2" s="1"/>
  <c r="T47" i="2"/>
  <c r="T26" i="2"/>
  <c r="AI40" i="2"/>
  <c r="AJ40" i="2" s="1"/>
  <c r="AI21" i="2"/>
  <c r="AJ21" i="2" s="1"/>
  <c r="T76" i="2" l="1"/>
  <c r="C11" i="18" s="1"/>
  <c r="C13" i="18" s="1"/>
  <c r="C14" i="18" s="1"/>
  <c r="T80" i="2"/>
  <c r="AI72" i="2"/>
  <c r="AJ72" i="2" s="1"/>
  <c r="AI68" i="2"/>
  <c r="AJ68" i="2" s="1"/>
  <c r="AB62" i="2"/>
  <c r="AB66" i="2" s="1"/>
  <c r="AB69" i="2" s="1"/>
  <c r="AB73" i="2" s="1"/>
  <c r="AB76" i="2" s="1"/>
  <c r="AB81" i="2" s="1"/>
  <c r="AB82" i="2" s="1"/>
  <c r="AA62" i="2"/>
  <c r="AA66" i="2" s="1"/>
  <c r="AA69" i="2" s="1"/>
  <c r="AA73" i="2" s="1"/>
  <c r="Z62" i="2"/>
  <c r="Z66" i="2" s="1"/>
  <c r="Z69" i="2" s="1"/>
  <c r="Z73" i="2" s="1"/>
  <c r="Y62" i="2"/>
  <c r="Y66" i="2" s="1"/>
  <c r="Y69" i="2" s="1"/>
  <c r="Y73" i="2" s="1"/>
  <c r="X62" i="2"/>
  <c r="X66" i="2" s="1"/>
  <c r="X69" i="2" s="1"/>
  <c r="X73" i="2" s="1"/>
  <c r="W62" i="2"/>
  <c r="W66" i="2" s="1"/>
  <c r="W69" i="2" s="1"/>
  <c r="W73" i="2" s="1"/>
  <c r="V62" i="2"/>
  <c r="V66" i="2" s="1"/>
  <c r="V69" i="2" s="1"/>
  <c r="V73" i="2" s="1"/>
  <c r="U62" i="2"/>
  <c r="U66" i="2" s="1"/>
  <c r="U69" i="2" s="1"/>
  <c r="U73" i="2" s="1"/>
  <c r="S62" i="2"/>
  <c r="S66" i="2" s="1"/>
  <c r="S69" i="2" s="1"/>
  <c r="S73" i="2" s="1"/>
  <c r="AB58" i="2"/>
  <c r="AA58" i="2"/>
  <c r="Z58" i="2"/>
  <c r="Y58" i="2"/>
  <c r="X58" i="2"/>
  <c r="V58" i="2"/>
  <c r="W58" i="2"/>
  <c r="AI51" i="2"/>
  <c r="AB47" i="2"/>
  <c r="AA47" i="2"/>
  <c r="Z47" i="2"/>
  <c r="Y47" i="2"/>
  <c r="X47" i="2"/>
  <c r="W47" i="2"/>
  <c r="V47" i="2"/>
  <c r="U47" i="2"/>
  <c r="AI46" i="2"/>
  <c r="AJ46" i="2" s="1"/>
  <c r="AI45" i="2"/>
  <c r="AJ45" i="2" s="1"/>
  <c r="AI44" i="2"/>
  <c r="AJ44" i="2" s="1"/>
  <c r="AI38" i="2"/>
  <c r="AJ38" i="2" s="1"/>
  <c r="AI37" i="2"/>
  <c r="AJ37" i="2" s="1"/>
  <c r="AI36" i="2"/>
  <c r="AI35" i="2"/>
  <c r="AJ35" i="2" s="1"/>
  <c r="AI34" i="2"/>
  <c r="AJ34" i="2" s="1"/>
  <c r="AI33" i="2"/>
  <c r="AJ33" i="2" s="1"/>
  <c r="AI30" i="2"/>
  <c r="AJ30" i="2" s="1"/>
  <c r="AB26" i="2"/>
  <c r="Z26" i="2"/>
  <c r="Y26" i="2"/>
  <c r="X26" i="2"/>
  <c r="V26" i="2"/>
  <c r="S26" i="2"/>
  <c r="AI24" i="2"/>
  <c r="AJ24" i="2" s="1"/>
  <c r="AI23" i="2"/>
  <c r="AJ23" i="2" s="1"/>
  <c r="AI20" i="2"/>
  <c r="AJ20" i="2" s="1"/>
  <c r="U26" i="2"/>
  <c r="AI18" i="2"/>
  <c r="AJ18" i="2" s="1"/>
  <c r="AA26" i="2"/>
  <c r="AI16" i="2"/>
  <c r="AI14" i="2"/>
  <c r="AJ14" i="2" s="1"/>
  <c r="AI13" i="2"/>
  <c r="AJ13" i="2" s="1"/>
  <c r="AI12" i="2"/>
  <c r="AJ12" i="2" s="1"/>
  <c r="AI11" i="2"/>
  <c r="AJ11" i="2" s="1"/>
  <c r="AI8" i="2"/>
  <c r="AJ8" i="2" s="1"/>
  <c r="AI7" i="2"/>
  <c r="AJ7" i="2" s="1"/>
  <c r="AI6" i="2"/>
  <c r="AJ6" i="2" s="1"/>
  <c r="AJ36" i="2" l="1"/>
  <c r="AJ16" i="2"/>
  <c r="AO16" i="2"/>
  <c r="AL51" i="2"/>
  <c r="AJ51" i="2"/>
  <c r="T81" i="2"/>
  <c r="T58" i="2"/>
  <c r="T79" i="2" s="1"/>
  <c r="S76" i="2"/>
  <c r="C25" i="18"/>
  <c r="C27" i="18" s="1"/>
  <c r="C30" i="18" s="1"/>
  <c r="U76" i="2"/>
  <c r="U81" i="2" s="1"/>
  <c r="U82" i="2" s="1"/>
  <c r="Z80" i="2"/>
  <c r="Z76" i="2"/>
  <c r="Z82" i="2" s="1"/>
  <c r="W80" i="2"/>
  <c r="W76" i="2"/>
  <c r="W81" i="2" s="1"/>
  <c r="W82" i="2" s="1"/>
  <c r="X80" i="2"/>
  <c r="X76" i="2"/>
  <c r="X81" i="2" s="1"/>
  <c r="X82" i="2" s="1"/>
  <c r="AA80" i="2"/>
  <c r="AA76" i="2"/>
  <c r="AA82" i="2" s="1"/>
  <c r="V80" i="2"/>
  <c r="V76" i="2"/>
  <c r="V81" i="2" s="1"/>
  <c r="V82" i="2" s="1"/>
  <c r="Y80" i="2"/>
  <c r="Y76" i="2"/>
  <c r="Y82" i="2" s="1"/>
  <c r="AB80" i="2"/>
  <c r="U58" i="2"/>
  <c r="U79" i="2" s="1"/>
  <c r="E11" i="18"/>
  <c r="U80" i="2"/>
  <c r="AI10" i="2"/>
  <c r="AJ10" i="2" s="1"/>
  <c r="AI25" i="2"/>
  <c r="AJ25" i="2" s="1"/>
  <c r="AB79" i="2"/>
  <c r="AA79" i="2"/>
  <c r="Z79" i="2"/>
  <c r="Y79" i="2"/>
  <c r="X79" i="2"/>
  <c r="V79" i="2"/>
  <c r="AI41" i="2"/>
  <c r="AJ41" i="2" s="1"/>
  <c r="AI60" i="2"/>
  <c r="AJ60" i="2" s="1"/>
  <c r="AI65" i="2"/>
  <c r="AJ65" i="2" s="1"/>
  <c r="AI50" i="2"/>
  <c r="AI55" i="2"/>
  <c r="AI52" i="2"/>
  <c r="AI61" i="2"/>
  <c r="AJ61" i="2" s="1"/>
  <c r="AI49" i="2"/>
  <c r="AI64" i="2"/>
  <c r="AJ64" i="2" s="1"/>
  <c r="AI9" i="2"/>
  <c r="AJ9" i="2" s="1"/>
  <c r="AI17" i="2"/>
  <c r="AJ17" i="2" s="1"/>
  <c r="AI22" i="2"/>
  <c r="AI31" i="2"/>
  <c r="AJ31" i="2" s="1"/>
  <c r="AI53" i="2"/>
  <c r="W26" i="2"/>
  <c r="W79" i="2" s="1"/>
  <c r="AI28" i="2"/>
  <c r="AJ28" i="2" s="1"/>
  <c r="AI19" i="2"/>
  <c r="AJ19" i="2" s="1"/>
  <c r="AI5" i="2"/>
  <c r="AJ5" i="2" s="1"/>
  <c r="P65" i="2"/>
  <c r="Q64" i="2"/>
  <c r="Q61" i="2"/>
  <c r="P60" i="2"/>
  <c r="Q56" i="2"/>
  <c r="E34" i="1"/>
  <c r="Q55" i="2" s="1"/>
  <c r="AI47" i="2" l="1"/>
  <c r="AJ47" i="2" s="1"/>
  <c r="S81" i="2"/>
  <c r="S82" i="2" s="1"/>
  <c r="AL53" i="2"/>
  <c r="AJ53" i="2"/>
  <c r="AL52" i="2"/>
  <c r="AJ52" i="2"/>
  <c r="AL55" i="2"/>
  <c r="AJ55" i="2"/>
  <c r="S58" i="2"/>
  <c r="S79" i="2" s="1"/>
  <c r="S80" i="2"/>
  <c r="Q22" i="17"/>
  <c r="Q24" i="17" s="1"/>
  <c r="Q26" i="17" s="1"/>
  <c r="AJ22" i="2"/>
  <c r="AE56" i="2"/>
  <c r="AL49" i="2"/>
  <c r="AJ49" i="2"/>
  <c r="AL50" i="2"/>
  <c r="AJ50" i="2"/>
  <c r="T82" i="2"/>
  <c r="E25" i="18"/>
  <c r="F25" i="18" s="1"/>
  <c r="E30" i="18"/>
  <c r="C31" i="18"/>
  <c r="E14" i="18"/>
  <c r="E13" i="18"/>
  <c r="F11" i="18"/>
  <c r="F13" i="18" s="1"/>
  <c r="G11" i="18"/>
  <c r="E65" i="17" s="1"/>
  <c r="E66" i="17" s="1"/>
  <c r="AI62" i="2"/>
  <c r="AI26" i="2"/>
  <c r="AJ26" i="2" s="1"/>
  <c r="AE58" i="2" l="1"/>
  <c r="AE79" i="2" s="1"/>
  <c r="AI56" i="2"/>
  <c r="AE81" i="2"/>
  <c r="AI81" i="2" s="1"/>
  <c r="AI66" i="2"/>
  <c r="AJ62" i="2"/>
  <c r="AE82" i="2"/>
  <c r="AI82" i="2" s="1"/>
  <c r="E31" i="18"/>
  <c r="C184" i="18"/>
  <c r="E27" i="18"/>
  <c r="G25" i="18"/>
  <c r="D80" i="17" s="1"/>
  <c r="D164" i="17" s="1"/>
  <c r="G13" i="18"/>
  <c r="AL81" i="2" l="1"/>
  <c r="E79" i="17"/>
  <c r="D83" i="17"/>
  <c r="AI69" i="2"/>
  <c r="AJ66" i="2"/>
  <c r="D68" i="17"/>
  <c r="D151" i="17" l="1"/>
  <c r="D198" i="17" s="1"/>
  <c r="E83" i="17"/>
  <c r="AG57" i="2"/>
  <c r="AI73" i="2"/>
  <c r="AJ69" i="2"/>
  <c r="E68" i="17"/>
  <c r="F164" i="17"/>
  <c r="D168" i="17" l="1"/>
  <c r="D173" i="17" s="1"/>
  <c r="E151" i="17"/>
  <c r="E198" i="17" s="1"/>
  <c r="AI76" i="2"/>
  <c r="AJ73" i="2"/>
  <c r="AJ76" i="2" s="1"/>
  <c r="AL56" i="2"/>
  <c r="E168" i="17"/>
  <c r="AH57" i="2"/>
  <c r="P31" i="2"/>
  <c r="D65" i="1"/>
  <c r="D64" i="1"/>
  <c r="D170" i="17" l="1"/>
  <c r="E170" i="17"/>
  <c r="AJ56" i="2"/>
  <c r="AM56" i="2"/>
  <c r="AL57" i="2"/>
  <c r="AH79" i="2"/>
  <c r="AI57" i="2"/>
  <c r="P41" i="2"/>
  <c r="C185" i="18" l="1"/>
  <c r="AJ57" i="2"/>
  <c r="AI58" i="2"/>
  <c r="AI79" i="2" s="1"/>
  <c r="P17" i="2"/>
  <c r="D24" i="1"/>
  <c r="D26" i="1"/>
  <c r="D27" i="1"/>
  <c r="D28" i="1"/>
  <c r="F64" i="2"/>
  <c r="F31" i="2"/>
  <c r="D63" i="1"/>
  <c r="D58" i="1"/>
  <c r="L17" i="2"/>
  <c r="AJ81" i="2" l="1"/>
  <c r="AJ79" i="2"/>
  <c r="AJ58" i="2"/>
  <c r="AL59" i="2"/>
  <c r="AM59" i="2" s="1"/>
  <c r="C5" i="4"/>
  <c r="Q19" i="2"/>
  <c r="E72" i="1" l="1"/>
  <c r="E19" i="2" l="1"/>
  <c r="D79" i="1" l="1"/>
  <c r="D82" i="1" s="1"/>
  <c r="Q81" i="2" l="1"/>
  <c r="E80" i="1"/>
  <c r="E82" i="1" s="1"/>
  <c r="D59" i="1" l="1"/>
  <c r="H64" i="2"/>
  <c r="H17" i="2"/>
  <c r="H11" i="2"/>
  <c r="E47" i="1"/>
  <c r="P52" i="2" l="1"/>
  <c r="P48" i="2"/>
  <c r="Q20" i="2"/>
  <c r="D61" i="1"/>
  <c r="E69" i="1"/>
  <c r="L12" i="1"/>
  <c r="L10" i="1"/>
  <c r="C11" i="1"/>
  <c r="C13" i="1" s="1"/>
  <c r="E64" i="2"/>
  <c r="N23" i="2"/>
  <c r="R23" i="2" s="1"/>
  <c r="E62" i="2"/>
  <c r="E58" i="2"/>
  <c r="C2" i="4" s="1"/>
  <c r="E47" i="2"/>
  <c r="E26" i="2"/>
  <c r="N24" i="2"/>
  <c r="R24" i="2" s="1"/>
  <c r="C82" i="4"/>
  <c r="C60" i="4"/>
  <c r="C27" i="4"/>
  <c r="C8" i="4" l="1"/>
  <c r="C6" i="4"/>
  <c r="F7" i="4"/>
  <c r="E66" i="2"/>
  <c r="E69" i="2" s="1"/>
  <c r="E73" i="2" s="1"/>
  <c r="E76" i="2" s="1"/>
  <c r="E79" i="2"/>
  <c r="D43" i="1"/>
  <c r="P56" i="2" s="1"/>
  <c r="G44" i="1"/>
  <c r="G46" i="1"/>
  <c r="G9" i="1"/>
  <c r="F9" i="1"/>
  <c r="F17" i="2"/>
  <c r="F9" i="2"/>
  <c r="F11" i="2"/>
  <c r="F49" i="2"/>
  <c r="G20" i="1" s="1"/>
  <c r="K9" i="1"/>
  <c r="J11" i="1"/>
  <c r="J13" i="1" s="1"/>
  <c r="I9" i="1"/>
  <c r="H11" i="1"/>
  <c r="H13" i="1" s="1"/>
  <c r="E11" i="1"/>
  <c r="E13" i="1" s="1"/>
  <c r="D9" i="1"/>
  <c r="P49" i="2"/>
  <c r="P53" i="2"/>
  <c r="P50" i="2"/>
  <c r="F95" i="4"/>
  <c r="G94" i="4" s="1"/>
  <c r="F73" i="4"/>
  <c r="G72" i="4" s="1"/>
  <c r="F18" i="4"/>
  <c r="G17" i="4" s="1"/>
  <c r="M47" i="2"/>
  <c r="L47" i="2"/>
  <c r="M62" i="2"/>
  <c r="M66" i="2" s="1"/>
  <c r="M69" i="2" s="1"/>
  <c r="M73" i="2" s="1"/>
  <c r="M76" i="2" s="1"/>
  <c r="L62" i="2"/>
  <c r="L66" i="2" s="1"/>
  <c r="L69" i="2" s="1"/>
  <c r="L73" i="2" s="1"/>
  <c r="L76" i="2" s="1"/>
  <c r="K62" i="2"/>
  <c r="K66" i="2" s="1"/>
  <c r="K69" i="2" s="1"/>
  <c r="K73" i="2" s="1"/>
  <c r="K76" i="2" s="1"/>
  <c r="M58" i="2"/>
  <c r="C90" i="4" s="1"/>
  <c r="I96" i="4" s="1"/>
  <c r="I97" i="4" s="1"/>
  <c r="L58" i="2"/>
  <c r="C79" i="4" s="1"/>
  <c r="I86" i="4" s="1"/>
  <c r="I87" i="4" s="1"/>
  <c r="K58" i="2"/>
  <c r="K47" i="2"/>
  <c r="M26" i="2"/>
  <c r="L26" i="2"/>
  <c r="K26" i="2"/>
  <c r="J11" i="2"/>
  <c r="H55" i="2"/>
  <c r="D29" i="1" s="1"/>
  <c r="H44" i="2"/>
  <c r="H19" i="2"/>
  <c r="H8" i="2"/>
  <c r="F30" i="2"/>
  <c r="E22" i="6"/>
  <c r="D9" i="6"/>
  <c r="C9" i="6"/>
  <c r="I6" i="4" l="1"/>
  <c r="H58" i="2"/>
  <c r="C68" i="4"/>
  <c r="K79" i="2"/>
  <c r="L79" i="2"/>
  <c r="G6" i="4"/>
  <c r="G5" i="4"/>
  <c r="C16" i="4"/>
  <c r="L9" i="1"/>
  <c r="C94" i="4"/>
  <c r="E17" i="1"/>
  <c r="D19" i="1"/>
  <c r="G11" i="1"/>
  <c r="G13" i="1" s="1"/>
  <c r="C49" i="4"/>
  <c r="F11" i="1"/>
  <c r="F13" i="1" s="1"/>
  <c r="C38" i="4"/>
  <c r="G93" i="4"/>
  <c r="K11" i="1"/>
  <c r="K13" i="1" s="1"/>
  <c r="C93" i="4"/>
  <c r="I11" i="1"/>
  <c r="I13" i="1" s="1"/>
  <c r="C71" i="4"/>
  <c r="C96" i="4"/>
  <c r="G71" i="4"/>
  <c r="G16" i="4"/>
  <c r="F62" i="2"/>
  <c r="F66" i="2" s="1"/>
  <c r="F69" i="2" s="1"/>
  <c r="F73" i="2" s="1"/>
  <c r="F76" i="2" s="1"/>
  <c r="F58" i="2"/>
  <c r="C13" i="4" s="1"/>
  <c r="C17" i="4" s="1"/>
  <c r="F47" i="2"/>
  <c r="N68" i="2"/>
  <c r="R68" i="2" s="1"/>
  <c r="N49" i="2"/>
  <c r="R49" i="2" s="1"/>
  <c r="N44" i="2"/>
  <c r="R44" i="2" s="1"/>
  <c r="N41" i="2"/>
  <c r="R41" i="2" s="1"/>
  <c r="N38" i="2"/>
  <c r="R38" i="2" s="1"/>
  <c r="N45" i="2"/>
  <c r="R45" i="2" s="1"/>
  <c r="N37" i="2"/>
  <c r="R37" i="2" s="1"/>
  <c r="N34" i="2"/>
  <c r="R34" i="2" s="1"/>
  <c r="N33" i="2"/>
  <c r="R33" i="2" s="1"/>
  <c r="N31" i="2"/>
  <c r="R31" i="2" s="1"/>
  <c r="N19" i="2"/>
  <c r="R19" i="2" s="1"/>
  <c r="N16" i="2"/>
  <c r="R16" i="2" s="1"/>
  <c r="N14" i="2"/>
  <c r="R14" i="2" s="1"/>
  <c r="N12" i="2"/>
  <c r="R12" i="2" s="1"/>
  <c r="N7" i="2"/>
  <c r="R7" i="2" s="1"/>
  <c r="N6" i="2"/>
  <c r="R6" i="2" s="1"/>
  <c r="C74" i="4" l="1"/>
  <c r="I74" i="4"/>
  <c r="I75" i="4" s="1"/>
  <c r="C72" i="4"/>
  <c r="C73" i="4" s="1"/>
  <c r="C7" i="4"/>
  <c r="C9" i="4" s="1"/>
  <c r="C95" i="4"/>
  <c r="C97" i="4" s="1"/>
  <c r="C19" i="4"/>
  <c r="E19" i="1"/>
  <c r="F19" i="1" s="1"/>
  <c r="L11" i="1"/>
  <c r="L13" i="1" s="1"/>
  <c r="Q22" i="2"/>
  <c r="F26" i="2"/>
  <c r="F79" i="2" s="1"/>
  <c r="C85" i="4"/>
  <c r="F84" i="4"/>
  <c r="F62" i="4"/>
  <c r="G60" i="4" s="1"/>
  <c r="F51" i="4"/>
  <c r="G50" i="4" s="1"/>
  <c r="F40" i="4"/>
  <c r="G39" i="4" s="1"/>
  <c r="F29" i="4"/>
  <c r="G28" i="4" s="1"/>
  <c r="N72" i="2"/>
  <c r="R72" i="2" s="1"/>
  <c r="N65" i="2"/>
  <c r="R65" i="2" s="1"/>
  <c r="N64" i="2"/>
  <c r="R64" i="2" s="1"/>
  <c r="N61" i="2"/>
  <c r="R61" i="2" s="1"/>
  <c r="N60" i="2"/>
  <c r="R60" i="2" s="1"/>
  <c r="N57" i="2"/>
  <c r="N55" i="2"/>
  <c r="N53" i="2"/>
  <c r="R53" i="2" s="1"/>
  <c r="N52" i="2"/>
  <c r="R52" i="2" s="1"/>
  <c r="N51" i="2"/>
  <c r="R51" i="2" s="1"/>
  <c r="N50" i="2"/>
  <c r="R50" i="2" s="1"/>
  <c r="N48" i="2"/>
  <c r="R48" i="2" s="1"/>
  <c r="N46" i="2"/>
  <c r="R46" i="2" s="1"/>
  <c r="N36" i="2"/>
  <c r="R36" i="2" s="1"/>
  <c r="N35" i="2"/>
  <c r="R35" i="2" s="1"/>
  <c r="N30" i="2"/>
  <c r="R30" i="2" s="1"/>
  <c r="N28" i="2"/>
  <c r="R28" i="2" s="1"/>
  <c r="N25" i="2"/>
  <c r="N22" i="2"/>
  <c r="N20" i="2"/>
  <c r="N18" i="2"/>
  <c r="N17" i="2"/>
  <c r="N13" i="2"/>
  <c r="N11" i="2"/>
  <c r="N10" i="2"/>
  <c r="N9" i="2"/>
  <c r="N8" i="2"/>
  <c r="N5" i="2"/>
  <c r="J62" i="2"/>
  <c r="J66" i="2" s="1"/>
  <c r="J69" i="2" s="1"/>
  <c r="J73" i="2" s="1"/>
  <c r="J76" i="2" s="1"/>
  <c r="J58" i="2"/>
  <c r="C57" i="4" s="1"/>
  <c r="J47" i="2"/>
  <c r="J26" i="2"/>
  <c r="I62" i="2"/>
  <c r="I66" i="2" s="1"/>
  <c r="I69" i="2" s="1"/>
  <c r="I73" i="2" s="1"/>
  <c r="I76" i="2" s="1"/>
  <c r="I58" i="2"/>
  <c r="C46" i="4" s="1"/>
  <c r="I47" i="2"/>
  <c r="I26" i="2"/>
  <c r="I7" i="4" l="1"/>
  <c r="C75" i="4"/>
  <c r="C52" i="4"/>
  <c r="I52" i="4"/>
  <c r="I53" i="4" s="1"/>
  <c r="C63" i="4"/>
  <c r="I63" i="4"/>
  <c r="I64" i="4" s="1"/>
  <c r="C50" i="4"/>
  <c r="C51" i="4" s="1"/>
  <c r="G61" i="4"/>
  <c r="C61" i="4" s="1"/>
  <c r="C62" i="4" s="1"/>
  <c r="G83" i="4"/>
  <c r="C83" i="4" s="1"/>
  <c r="C84" i="4" s="1"/>
  <c r="C86" i="4" s="1"/>
  <c r="G82" i="4"/>
  <c r="G27" i="4"/>
  <c r="G38" i="4"/>
  <c r="G49" i="4"/>
  <c r="I79" i="2"/>
  <c r="J79" i="2"/>
  <c r="C64" i="4" l="1"/>
  <c r="C53" i="4"/>
  <c r="C18" i="4"/>
  <c r="C20" i="4" s="1"/>
  <c r="C35" i="4"/>
  <c r="C103" i="4" l="1"/>
  <c r="D31" i="1" s="1"/>
  <c r="P25" i="2" s="1"/>
  <c r="C41" i="4"/>
  <c r="C39" i="4"/>
  <c r="C40" i="4" s="1"/>
  <c r="N62" i="2"/>
  <c r="N66" i="2" s="1"/>
  <c r="N69" i="2" s="1"/>
  <c r="N73" i="2" s="1"/>
  <c r="N76" i="2" s="1"/>
  <c r="H62" i="2"/>
  <c r="H66" i="2" s="1"/>
  <c r="H69" i="2" s="1"/>
  <c r="G62" i="2"/>
  <c r="G66" i="2" s="1"/>
  <c r="G69" i="2" s="1"/>
  <c r="G73" i="2" s="1"/>
  <c r="G76" i="2" s="1"/>
  <c r="D62" i="2"/>
  <c r="D66" i="2" s="1"/>
  <c r="D69" i="2" s="1"/>
  <c r="G58" i="2"/>
  <c r="H47" i="2"/>
  <c r="H26" i="2"/>
  <c r="G47" i="2"/>
  <c r="D47" i="2"/>
  <c r="G26" i="2"/>
  <c r="D26" i="2"/>
  <c r="D73" i="2" l="1"/>
  <c r="D76" i="2" s="1"/>
  <c r="D56" i="2" s="1"/>
  <c r="H73" i="2"/>
  <c r="C24" i="4"/>
  <c r="C42" i="4"/>
  <c r="H79" i="2"/>
  <c r="M79" i="2"/>
  <c r="G79" i="2"/>
  <c r="H80" i="2" l="1"/>
  <c r="H76" i="2"/>
  <c r="C56" i="2"/>
  <c r="N56" i="2"/>
  <c r="R56" i="2" s="1"/>
  <c r="D58" i="2"/>
  <c r="D79" i="2" s="1"/>
  <c r="C28" i="4"/>
  <c r="C101" i="4" s="1"/>
  <c r="I31" i="4"/>
  <c r="I32" i="4" s="1"/>
  <c r="D73" i="1"/>
  <c r="E73" i="1"/>
  <c r="E36" i="1" l="1"/>
  <c r="Q57" i="2" s="1"/>
  <c r="R57" i="2" s="1"/>
  <c r="R22" i="2"/>
  <c r="N47" i="2" l="1"/>
  <c r="N58" i="2"/>
  <c r="N26" i="2"/>
  <c r="D51" i="1"/>
  <c r="C29" i="4"/>
  <c r="C30" i="4"/>
  <c r="D11" i="1"/>
  <c r="D13" i="1" s="1"/>
  <c r="N79" i="2" l="1"/>
  <c r="C31" i="4"/>
  <c r="C102" i="4" s="1"/>
  <c r="D32" i="1" l="1"/>
  <c r="Q78" i="2"/>
  <c r="E51" i="1"/>
  <c r="P55" i="2" l="1"/>
  <c r="R55" i="2" s="1"/>
  <c r="E38" i="1"/>
  <c r="R25" i="2" l="1"/>
  <c r="P78" i="2"/>
  <c r="D38" i="1"/>
  <c r="E39" i="1" s="1"/>
  <c r="R20" i="2"/>
  <c r="K38" i="1" l="1"/>
  <c r="R58" i="2"/>
  <c r="R62" i="2"/>
  <c r="R66" i="2" s="1"/>
  <c r="R69" i="2" s="1"/>
  <c r="R73" i="2" s="1"/>
  <c r="R76" i="2" s="1"/>
  <c r="R47" i="2"/>
  <c r="R18" i="2" l="1"/>
  <c r="R8" i="2" l="1"/>
  <c r="R9" i="2"/>
  <c r="R10" i="2"/>
  <c r="R11" i="2"/>
  <c r="R13" i="2"/>
  <c r="R17" i="2"/>
  <c r="P79" i="2" l="1"/>
  <c r="R5" i="2"/>
  <c r="R26" i="2" l="1"/>
  <c r="AG79" i="2"/>
  <c r="AH80" i="2" s="1"/>
</calcChain>
</file>

<file path=xl/comments1.xml><?xml version="1.0" encoding="utf-8"?>
<comments xmlns="http://schemas.openxmlformats.org/spreadsheetml/2006/main">
  <authors>
    <author>Humberto Antonio Tutiven Romero</author>
  </authors>
  <commentList>
    <comment ref="AH22" authorId="0">
      <text>
        <r>
          <rPr>
            <b/>
            <sz val="9"/>
            <color indexed="81"/>
            <rFont val="Tahoma"/>
            <family val="2"/>
          </rPr>
          <t>Humberto Antonio Tutiven Romero:</t>
        </r>
        <r>
          <rPr>
            <sz val="9"/>
            <color indexed="81"/>
            <rFont val="Tahoma"/>
            <family val="2"/>
          </rPr>
          <t xml:space="preserve">
Pendiente la </t>
        </r>
      </text>
    </comment>
  </commentList>
</comments>
</file>

<file path=xl/comments2.xml><?xml version="1.0" encoding="utf-8"?>
<comments xmlns="http://schemas.openxmlformats.org/spreadsheetml/2006/main">
  <authors>
    <author>Karina Villafuerte Echeverría</author>
  </authors>
  <commentList>
    <comment ref="Q9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
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utilidad en venta 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cobrar de subsidiarias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Reconocimiento de plusvalía mercantil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Capacity IRU Cable andino Inc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provisión por deterioro y reconocimiento de vpp en Latamfiberhome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cada paquete accionario de subsiriaria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de subsidiarias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 de saldos consolidados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Eliminacion de cuenta Linkotel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saldos por pagar con subsidiarias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efecto de ajustes de saldos consolidados</t>
        </r>
      </text>
    </comment>
    <comment ref="P43" authorId="0">
      <text>
        <r>
          <rPr>
            <b/>
            <sz val="9"/>
            <color indexed="81"/>
            <rFont val="Tahoma"/>
            <charset val="1"/>
          </rPr>
          <t>Karina Villafuerte Echeverría:</t>
        </r>
        <r>
          <rPr>
            <sz val="9"/>
            <color indexed="81"/>
            <rFont val="Tahoma"/>
            <charset val="1"/>
          </rPr>
          <t xml:space="preserve">
eliminación de inversion en subsidiarias</t>
        </r>
      </text>
    </comment>
    <comment ref="P44" authorId="0">
      <text>
        <r>
          <rPr>
            <b/>
            <sz val="9"/>
            <color indexed="81"/>
            <rFont val="Tahoma"/>
            <charset val="1"/>
          </rPr>
          <t>Karina Villafuerte Echeverría:</t>
        </r>
        <r>
          <rPr>
            <sz val="9"/>
            <color indexed="81"/>
            <rFont val="Tahoma"/>
            <charset val="1"/>
          </rPr>
          <t xml:space="preserve">
eliminación de aportes de inversión en subsidiarias</t>
        </r>
      </text>
    </comment>
    <comment ref="P45" authorId="0">
      <text>
        <r>
          <rPr>
            <b/>
            <sz val="9"/>
            <color indexed="81"/>
            <rFont val="Tahoma"/>
            <charset val="1"/>
          </rPr>
          <t>Karina Villafuerte Echeverría:</t>
        </r>
        <r>
          <rPr>
            <sz val="9"/>
            <color indexed="81"/>
            <rFont val="Tahoma"/>
            <charset val="1"/>
          </rPr>
          <t xml:space="preserve">
eliminación de inversion en subsidiaria</t>
        </r>
      </text>
    </comment>
    <comment ref="P47" authorId="0">
      <text>
        <r>
          <rPr>
            <b/>
            <sz val="9"/>
            <color indexed="81"/>
            <rFont val="Tahoma"/>
            <charset val="1"/>
          </rPr>
          <t>Karina Villafuerte Echeverría:</t>
        </r>
        <r>
          <rPr>
            <sz val="9"/>
            <color indexed="81"/>
            <rFont val="Tahoma"/>
            <charset val="1"/>
          </rPr>
          <t xml:space="preserve">
eliminación de inversión en subsidiarias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inversion en subsidiaria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en subsidiarias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Karina Villafuerte Echeverría:</t>
        </r>
        <r>
          <rPr>
            <sz val="9"/>
            <color indexed="81"/>
            <rFont val="Tahoma"/>
            <family val="2"/>
          </rPr>
          <t xml:space="preserve">
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<sst xmlns="http://schemas.openxmlformats.org/spreadsheetml/2006/main" count="1490" uniqueCount="563">
  <si>
    <t xml:space="preserve">CUENTA </t>
  </si>
  <si>
    <t>DEBE</t>
  </si>
  <si>
    <t xml:space="preserve">HABER </t>
  </si>
  <si>
    <t xml:space="preserve">Los movimientos que han tenido la Inversión son los siguientes: </t>
  </si>
  <si>
    <t>Cuentas</t>
  </si>
  <si>
    <t>Cuentas por cobrar relacionadas</t>
  </si>
  <si>
    <t>Inventarios</t>
  </si>
  <si>
    <t>Cuentas por pagar relacionadas</t>
  </si>
  <si>
    <t>Capital Social</t>
  </si>
  <si>
    <t xml:space="preserve">Utilidad  del Ejercicio </t>
  </si>
  <si>
    <t>Notas</t>
  </si>
  <si>
    <t xml:space="preserve">AJUSTES </t>
  </si>
  <si>
    <t xml:space="preserve">Débitos </t>
  </si>
  <si>
    <t xml:space="preserve">Créditos </t>
  </si>
  <si>
    <t>Participación No Controladora (PNC)</t>
  </si>
  <si>
    <t>Total</t>
  </si>
  <si>
    <t>Propiedades de inversión</t>
  </si>
  <si>
    <t>Reserva legal</t>
  </si>
  <si>
    <t>Reserva de capital</t>
  </si>
  <si>
    <t>Reserva facultativa</t>
  </si>
  <si>
    <t>Ajuste de Primera Adopcion NIIF</t>
  </si>
  <si>
    <t>Utilidades Acumuladas</t>
  </si>
  <si>
    <t>Efectivo y equivalentes de efectivo</t>
  </si>
  <si>
    <t>Impuesto a las ganancias</t>
  </si>
  <si>
    <t>Consolidado 
antes de 
Ajustes</t>
  </si>
  <si>
    <t>Cuenta</t>
  </si>
  <si>
    <t>Debe</t>
  </si>
  <si>
    <t>Haber</t>
  </si>
  <si>
    <t xml:space="preserve">    Participación No Controladora</t>
  </si>
  <si>
    <t>PNC  basado en activos netos</t>
  </si>
  <si>
    <t>VR de la contraprestación</t>
  </si>
  <si>
    <t xml:space="preserve">Porción controlada </t>
  </si>
  <si>
    <t xml:space="preserve">Costo de Adquisición </t>
  </si>
  <si>
    <t>Resultados del ejercicio (Mindshare - Glue)</t>
  </si>
  <si>
    <t>´(1)</t>
  </si>
  <si>
    <t>´(2)</t>
  </si>
  <si>
    <t xml:space="preserve">PLANILLA   DE  AJUSTES - PARA CONSOLIDADO </t>
  </si>
  <si>
    <t>ASIENTOS DE AJUSTES</t>
  </si>
  <si>
    <t>Valor de la Inversión al 31.12.2015</t>
  </si>
  <si>
    <t>Total activos</t>
  </si>
  <si>
    <t>Total pasivos</t>
  </si>
  <si>
    <t>Total patrimonio</t>
  </si>
  <si>
    <t>b</t>
  </si>
  <si>
    <t>Resultados del ejercicio</t>
  </si>
  <si>
    <t xml:space="preserve">Capital Social </t>
  </si>
  <si>
    <t>Compañía</t>
  </si>
  <si>
    <t xml:space="preserve">Reserva Legal </t>
  </si>
  <si>
    <t xml:space="preserve">Reserva de capital </t>
  </si>
  <si>
    <t xml:space="preserve">Resultados Acumulados </t>
  </si>
  <si>
    <t>TELCONET S.A. Y SUBSIDIARIAS</t>
  </si>
  <si>
    <t>Telconet S.A.</t>
  </si>
  <si>
    <t>TRANSTELCO S.A.</t>
  </si>
  <si>
    <t>No controlador</t>
  </si>
  <si>
    <t>(-) Activos netos identificables adquiridos de Transtelco</t>
  </si>
  <si>
    <t>NETSPEED S.A.</t>
  </si>
  <si>
    <t>CERINSA S.A.</t>
  </si>
  <si>
    <t>ECONOCOMPU S.A.</t>
  </si>
  <si>
    <t>(-) Activos netos identificables adquiridos de Econocompu</t>
  </si>
  <si>
    <t>(-) Activos netos identificables adquiridos de Cerinsa</t>
  </si>
  <si>
    <t>(-) Activos netos identificables adquiridos de Netspeed</t>
  </si>
  <si>
    <t>INMOBILIARIA LEONORTRES S.A.</t>
  </si>
  <si>
    <t>(-) Activos netos identificables adquiridos de Inmobiliaria Leonortres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</si>
  <si>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(1)=</t>
    </r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</si>
  <si>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(2)=</t>
    </r>
  </si>
  <si>
    <t>Participación no controladora al 31.12.2014</t>
  </si>
  <si>
    <t>Inversiones mantenidas hasta el vencimiento</t>
  </si>
  <si>
    <t>Activos financieros a valor razonable</t>
  </si>
  <si>
    <t>Cuentas por cobrar comerciales</t>
  </si>
  <si>
    <t>Otras cuentas por cobrar</t>
  </si>
  <si>
    <t>Impuestos por recuperar</t>
  </si>
  <si>
    <t>Anticipos a proveedores</t>
  </si>
  <si>
    <t>Trabajos en proceso</t>
  </si>
  <si>
    <t>Otras cuentas por cobrar L/P</t>
  </si>
  <si>
    <t>Propiedades y equipos</t>
  </si>
  <si>
    <t>Activos intangibles</t>
  </si>
  <si>
    <t>Trabajos en proceso L/P</t>
  </si>
  <si>
    <t>Inversiones en subsidiarias y asociadas</t>
  </si>
  <si>
    <t>Otros activos</t>
  </si>
  <si>
    <t>Préstamos y obligaciones financieras</t>
  </si>
  <si>
    <t>Cuentas por pagar a proveedores</t>
  </si>
  <si>
    <t>Otras cuentas por pagar</t>
  </si>
  <si>
    <t>Anticipos de clientes</t>
  </si>
  <si>
    <t>Beneficios sociales</t>
  </si>
  <si>
    <t>Ingresos diferidos</t>
  </si>
  <si>
    <t>Cuentas por pagar relacionadas L/P</t>
  </si>
  <si>
    <t>Ingresos diferidos L/P</t>
  </si>
  <si>
    <t>Beneficios sociales L/P</t>
  </si>
  <si>
    <t>Provisiones</t>
  </si>
  <si>
    <t>Aporte para futuras capitalizaciones</t>
  </si>
  <si>
    <t>Ingresos por ventas</t>
  </si>
  <si>
    <t>Costo de venta</t>
  </si>
  <si>
    <t>Gastos de administración y ventas</t>
  </si>
  <si>
    <t>Otros ingresos, neto</t>
  </si>
  <si>
    <t>Utilidad operacional</t>
  </si>
  <si>
    <t>Utilidad bruta</t>
  </si>
  <si>
    <t>Gastos financieros, neto</t>
  </si>
  <si>
    <t>Utilidad antes de IR</t>
  </si>
  <si>
    <t>TELCONET S.A.
Al 31/12/2015</t>
  </si>
  <si>
    <t>TRANSTELCO
Al 31/12/2015</t>
  </si>
  <si>
    <t>NETSPEED
Al 31/12/2015</t>
  </si>
  <si>
    <t>CERINSA
Al 31/12/2015</t>
  </si>
  <si>
    <t>ECONOCOMPU
Al 31/12/2015</t>
  </si>
  <si>
    <t>INMOB. LEONOR3
Al 31/12/2015</t>
  </si>
  <si>
    <t>CABLE ANDINO S.A.
Al 31/12/2015</t>
  </si>
  <si>
    <t>TELSOTERRA
Al 31/12/2015</t>
  </si>
  <si>
    <t>SMARTCITIES S.A.</t>
  </si>
  <si>
    <t>SMARTCITIES S.A.
Al 31/12/2015</t>
  </si>
  <si>
    <t>Total activo corriente</t>
  </si>
  <si>
    <t>Total activo no corriente</t>
  </si>
  <si>
    <t>Total pasivo corriente</t>
  </si>
  <si>
    <t>Total pasivo no corriente</t>
  </si>
  <si>
    <t>Ingresos</t>
  </si>
  <si>
    <t>Participación a trabajadores</t>
  </si>
  <si>
    <t>Utilidad neta</t>
  </si>
  <si>
    <t>Audex</t>
  </si>
  <si>
    <t>Costos y gastos</t>
  </si>
  <si>
    <t>2015 (En miles de US$)</t>
  </si>
  <si>
    <t>2014 (En miles de US$)</t>
  </si>
  <si>
    <t>Audex
Farmesr</t>
  </si>
  <si>
    <t>Reestructurado</t>
  </si>
  <si>
    <t xml:space="preserve">CABLE ANDINO S.A. </t>
  </si>
  <si>
    <t>Total de activos netos de la subsidiaria = patrimonio 31/12/2015</t>
  </si>
  <si>
    <t>Valor razonable de los Activos Netos de Transtelco al 31/12/2015</t>
  </si>
  <si>
    <t>(-) Activos netos identificables adquiridos de Cable Andino</t>
  </si>
  <si>
    <t>Valor razonable de los Activos Netos de Cable Andino al 31/12/2015</t>
  </si>
  <si>
    <t>Monto del PNC  (32% de US$830.061)</t>
  </si>
  <si>
    <t>Valor razonable de los Activos Netos de Netspeed al 31/12/2015</t>
  </si>
  <si>
    <t>Valor razonable de los Activos Netos de Cerinsa al 31/12/2015</t>
  </si>
  <si>
    <t>Monto del PNC  (25% de US$400.661)</t>
  </si>
  <si>
    <t>Valor razonable de los Activos Netos de Econocompu al 31/12/2015</t>
  </si>
  <si>
    <t>Monto del PNC  (7,2% de US$7.195)</t>
  </si>
  <si>
    <t>Monto del PNC  (40% de US$10.000)</t>
  </si>
  <si>
    <t>Valor razonable de los Activos Netos de Smartcities al 31/12/2015</t>
  </si>
  <si>
    <t>(-) Activos netos identificables adquiridos de Smartcities</t>
  </si>
  <si>
    <t>TELSOTERRA S.A.</t>
  </si>
  <si>
    <t>Valor razonable de los Activos Netos de Inmob. Leonor3 al 31/12/2015</t>
  </si>
  <si>
    <t>Valor razonable de los Activos Netos de Telsoterra al 31/12/2015</t>
  </si>
  <si>
    <t>Monto del PNC  (7,5% de US$800)</t>
  </si>
  <si>
    <t>(-) Activos netos identificables adquiridos de Telsoterra</t>
  </si>
  <si>
    <t>Monto del PNC  (0,0050% de US$1.140)</t>
  </si>
  <si>
    <t>´(3)</t>
  </si>
  <si>
    <r>
      <rPr>
        <b/>
        <sz val="11"/>
        <color rgb="FFFF0000"/>
        <rFont val="Calibri"/>
        <family val="2"/>
      </rPr>
      <t>∑</t>
    </r>
    <r>
      <rPr>
        <b/>
        <sz val="8.8000000000000007"/>
        <color rgb="FFFF0000"/>
        <rFont val="Arial"/>
        <family val="2"/>
      </rPr>
      <t>(3)=</t>
    </r>
  </si>
  <si>
    <t>CABLE ANDINO S.A.</t>
  </si>
  <si>
    <t>TRANSTELCO</t>
  </si>
  <si>
    <t>NETSPEED</t>
  </si>
  <si>
    <t>CERINSA</t>
  </si>
  <si>
    <t>ECONOCOMPU</t>
  </si>
  <si>
    <t>LEONOR3</t>
  </si>
  <si>
    <t>TELSOTERRA</t>
  </si>
  <si>
    <t>Total saldo de cuenta inversiones en Telconet S.A. al 31.12.2015</t>
  </si>
  <si>
    <t>Corpandino</t>
  </si>
  <si>
    <t>Telconet</t>
  </si>
  <si>
    <t>Transtelco</t>
  </si>
  <si>
    <t>Cuentas por pagar relacionada</t>
  </si>
  <si>
    <t xml:space="preserve">Cuentas por pagar relacionada L/P </t>
  </si>
  <si>
    <t>Cuentas por cobrar relacionada</t>
  </si>
  <si>
    <t>Netspeed</t>
  </si>
  <si>
    <t>Resultados acumulados</t>
  </si>
  <si>
    <t>Consolidado</t>
  </si>
  <si>
    <t>Econocompu</t>
  </si>
  <si>
    <t>Valor de la venta sin IVA y descontada la N/C</t>
  </si>
  <si>
    <t>Telconet facturó a Corpandino equipos por US$548,473 menos N/C por US$50,542 (Incluye IVA)</t>
  </si>
  <si>
    <t>Telconet facturó a Transtelco instalaciones por US$963,539 menos N/C por US$13,173 (Incluye IVA)</t>
  </si>
  <si>
    <t>Ingreso y Gasto</t>
  </si>
  <si>
    <t>provisionado 2014</t>
  </si>
  <si>
    <t>Ingresos por ventas (Corpandino)</t>
  </si>
  <si>
    <t>Plusvalía</t>
  </si>
  <si>
    <t>Monto del PNC  (0,0476% de US$21.123)</t>
  </si>
  <si>
    <t>Monto del PNC  (50% de US$238.219)</t>
  </si>
  <si>
    <t>-</t>
  </si>
  <si>
    <t>Aporte para futura capitalización</t>
  </si>
  <si>
    <t>Aporte para futura capitalización (Subsidiarias)</t>
  </si>
  <si>
    <t>Subsidiarias</t>
  </si>
  <si>
    <t xml:space="preserve">    Inversión en Subsidiarias</t>
  </si>
  <si>
    <t>a)   Eliminación en Subsidiarias de aporte aún no efectivizado por parte de Telconet S.A.</t>
  </si>
  <si>
    <t>b)   Eliminación de las inversiones en subsidiarias</t>
  </si>
  <si>
    <t>c)    Eliminación de Ingresos en Telconet por ventas a Subsidiarias</t>
  </si>
  <si>
    <t>d)    Eliminación de saldos por Cobrar  y  por Pagar</t>
  </si>
  <si>
    <t>d</t>
  </si>
  <si>
    <t>b / c</t>
  </si>
  <si>
    <t>CABLE ANDINO INC.
Al 31/12/2015</t>
  </si>
  <si>
    <t>Proyectos</t>
  </si>
  <si>
    <t>CABLE ANDINO INC</t>
  </si>
  <si>
    <t>Cable Andino INC</t>
  </si>
  <si>
    <t>d /  b</t>
  </si>
  <si>
    <t xml:space="preserve">CABLE ANDINO INC </t>
  </si>
  <si>
    <t>Trabajos en Proceso L/P</t>
  </si>
  <si>
    <t>Valor razonable de los Activos Netos de Cable Andino INC al 31/12/2015</t>
  </si>
  <si>
    <t>(-) Activos netos identificables adquiridos de Cable Andino INC</t>
  </si>
  <si>
    <t>a / b / d</t>
  </si>
  <si>
    <t>(A)</t>
  </si>
  <si>
    <t>Costos de ventas (Corpandino)</t>
  </si>
  <si>
    <t>AL 31.12.2015</t>
  </si>
  <si>
    <t>Capital social</t>
  </si>
  <si>
    <t>Gastos administrativos (Telconet)</t>
  </si>
  <si>
    <t>Ingreso por ventas (Cable Andino INC)</t>
  </si>
  <si>
    <t>Participación no controladora</t>
  </si>
  <si>
    <t>e)   Ajuste pérdida de asociada (Latam)</t>
  </si>
  <si>
    <t>Controladora</t>
  </si>
  <si>
    <t xml:space="preserve">    Inversiones en asociadas</t>
  </si>
  <si>
    <t>a / b / e</t>
  </si>
  <si>
    <t>b / e</t>
  </si>
  <si>
    <t>Pérdida de Asociada Latam</t>
  </si>
  <si>
    <t>Cerinsa</t>
  </si>
  <si>
    <t>Telsoterra</t>
  </si>
  <si>
    <t>Activo intangible</t>
  </si>
  <si>
    <t>Resultados Acumulados</t>
  </si>
  <si>
    <t>Monto del PNC  (24,98% de US$36.760.932)</t>
  </si>
  <si>
    <t>Incrementada la revalorización de propiedad S/avalúo catastral</t>
  </si>
  <si>
    <t>Resultados Acumulados (Resultado primera consolidación)</t>
  </si>
  <si>
    <t>Propiedades y equipos (Leonor3)</t>
  </si>
  <si>
    <t>Descontado el aporte para futura capitalización de Telconet</t>
  </si>
  <si>
    <t>Inversiones en derechos fiduciarios</t>
  </si>
  <si>
    <t>Impuesto a la renta por pagar</t>
  </si>
  <si>
    <t>Cuentas por pagar a proveedores L/P</t>
  </si>
  <si>
    <t>Anticipos de clientes L/P</t>
  </si>
  <si>
    <t>REVALORIZACION</t>
  </si>
  <si>
    <t>TELCONET S.A.</t>
  </si>
  <si>
    <t>LINKOTEL</t>
  </si>
  <si>
    <t>TELCONET PANAMA</t>
  </si>
  <si>
    <t>TELCONET PANAMÁ</t>
  </si>
  <si>
    <t>Aporte capitalizado en el 2016</t>
  </si>
  <si>
    <t>Aporte 2016 capitalizado</t>
  </si>
  <si>
    <t>Desde activo intangible</t>
  </si>
  <si>
    <t>CXC</t>
  </si>
  <si>
    <t>Desde cuenta proyecto</t>
  </si>
  <si>
    <t>Valor de la Inversión al 31.12.2016</t>
  </si>
  <si>
    <t>Aporte en efs del controlador</t>
  </si>
  <si>
    <t>Aporte en efs de la subsidiaria</t>
  </si>
  <si>
    <t>Capitalizado</t>
  </si>
  <si>
    <t>Corpoandino</t>
  </si>
  <si>
    <t xml:space="preserve">Aporte para futura capitalización </t>
  </si>
  <si>
    <t>Cable And. INC</t>
  </si>
  <si>
    <t>Resultado del ejercicio</t>
  </si>
  <si>
    <t>Variación patrimonial de Cable Andino S.A.</t>
  </si>
  <si>
    <t>Variación patrimonial de Transtelco S.A.</t>
  </si>
  <si>
    <t>Variación patrimonial de Netspeed S.A.</t>
  </si>
  <si>
    <t>Variación patrimonial de Cerinsa S.A.</t>
  </si>
  <si>
    <t>Variación patrimonial de Econocompu S.A.</t>
  </si>
  <si>
    <t>Variación patrimonial de Telsoterra S.A.</t>
  </si>
  <si>
    <t>% Controlador</t>
  </si>
  <si>
    <t>% No Controlador</t>
  </si>
  <si>
    <t>PATRIMONIO - Cable Andino INC</t>
  </si>
  <si>
    <t>31/12/2016</t>
  </si>
  <si>
    <t>31/12/2015</t>
  </si>
  <si>
    <t>Variación</t>
  </si>
  <si>
    <t>APORTES</t>
  </si>
  <si>
    <t>Patrimonio total</t>
  </si>
  <si>
    <t>PNC</t>
  </si>
  <si>
    <t xml:space="preserve">PATRIMONIO - Cable Andino S.A. </t>
  </si>
  <si>
    <t>AJUSTE - PASIVO</t>
  </si>
  <si>
    <t>(-) Aumento de capital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</si>
  <si>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</si>
  <si>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</si>
  <si>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</si>
  <si>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</si>
  <si>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</si>
  <si>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</si>
  <si>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Patrimonio, Total</t>
  </si>
  <si>
    <t>PATRIMONIO - Econocompu</t>
  </si>
  <si>
    <t>AJUSTE</t>
  </si>
  <si>
    <t>PATRIMONIO - Smartcities</t>
  </si>
  <si>
    <t>PATRIMONIO - Inmobiliaria Leonor3</t>
  </si>
  <si>
    <t>PATRIMONIO - Telsoterra</t>
  </si>
  <si>
    <t>Total aportes Cable Andino Inc</t>
  </si>
  <si>
    <t>CORPORANDINO</t>
  </si>
  <si>
    <t>RESUMEN DE ASIENTOS</t>
  </si>
  <si>
    <t>Linkotel</t>
  </si>
  <si>
    <t>PATRIMONIO - Linkotel</t>
  </si>
  <si>
    <t>Patrimionio Neto</t>
  </si>
  <si>
    <t xml:space="preserve">Monto del PNC </t>
  </si>
  <si>
    <t>(-) Activos netos identificables adquiridos de Linkotel</t>
  </si>
  <si>
    <t>R</t>
  </si>
  <si>
    <t>Ajuste pérdida de asociada (Latam)</t>
  </si>
  <si>
    <t>Resultados acumulados (% de aporte difer)</t>
  </si>
  <si>
    <t>Eliminado el aporte de ex accionista</t>
  </si>
  <si>
    <t>Participación no controladora Total</t>
  </si>
  <si>
    <t>Cuenta por pagar a ex accionista</t>
  </si>
  <si>
    <t>Inversiones en subsidiarias/ asociadas</t>
  </si>
  <si>
    <t>Cuenta por pagar a ex accionista de Linkotel</t>
  </si>
  <si>
    <t>Resultado correspondiente a la controladora</t>
  </si>
  <si>
    <t>Resultado correspondiente a la PNC</t>
  </si>
  <si>
    <t>Cuentas por pagar proveedores</t>
  </si>
  <si>
    <t>Cuentas por cobrar CLIENTES</t>
  </si>
  <si>
    <t>LINKOTEL - ELIMINACIÓN DEL PATRIMONIO (NUEVA INVERSIÓN)</t>
  </si>
  <si>
    <t>a</t>
  </si>
  <si>
    <t>c</t>
  </si>
  <si>
    <t>a / b</t>
  </si>
  <si>
    <t>a / b / c</t>
  </si>
  <si>
    <t>Inversiones en Linkotel</t>
  </si>
  <si>
    <t>Cuentas por cobrar relacionadas L/P</t>
  </si>
  <si>
    <t>Otras cuentas por pagar L/P</t>
  </si>
  <si>
    <t>(Pérdidas) ganancias actuariales</t>
  </si>
  <si>
    <t>Resultado integral del año</t>
  </si>
  <si>
    <t>Cuentas por cobrar relacionada L/P</t>
  </si>
  <si>
    <t>Telconet Panamá</t>
  </si>
  <si>
    <t>PATRIMONIO - TELCONET PANAMÁ</t>
  </si>
  <si>
    <t>d)    Eliminación de Ingresos en Telconet por ventas a Subsidiarias</t>
  </si>
  <si>
    <t xml:space="preserve">Ingresos por ventas </t>
  </si>
  <si>
    <t xml:space="preserve">Costos de ventas </t>
  </si>
  <si>
    <t xml:space="preserve">Ingreso por ventas </t>
  </si>
  <si>
    <t>TELCONET S.A.
Al 31/12/2015 RESTRUCTURADO</t>
  </si>
  <si>
    <t>Saldos
Consoliadados
al 31.12.2015 RESTRUCTURADOS</t>
  </si>
  <si>
    <t>Saldos
Consolidados
al 31.12.2015 REESTRUCTURADO</t>
  </si>
  <si>
    <t>res. Acum a part no controlada</t>
  </si>
  <si>
    <t>ajustes a res. Acum</t>
  </si>
  <si>
    <t>Reservas</t>
  </si>
  <si>
    <t xml:space="preserve">Aportes para futuras </t>
  </si>
  <si>
    <t>Reserva de</t>
  </si>
  <si>
    <t>Por aplicación</t>
  </si>
  <si>
    <t>Resultados</t>
  </si>
  <si>
    <t>Participación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</si>
  <si>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</si>
  <si>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</si>
  <si>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</si>
  <si>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</si>
  <si>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</si>
  <si>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</si>
  <si>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</si>
  <si>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</si>
  <si>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</si>
  <si>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</si>
  <si>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</si>
  <si>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</si>
  <si>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</si>
  <si>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</si>
  <si>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</si>
  <si>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</si>
  <si>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</si>
  <si>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</si>
  <si>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</si>
  <si>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</si>
  <si>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</si>
  <si>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</si>
  <si>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</si>
  <si>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</si>
  <si>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 xml:space="preserve">Otros resultados integrales </t>
  </si>
  <si>
    <t>Saldos al 31 de diciembre del 2016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</si>
  <si>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</si>
  <si>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</si>
  <si>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</si>
  <si>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</si>
  <si>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</si>
  <si>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</si>
  <si>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</si>
  <si>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Cuentas por cobrar a compañías relacionadas</t>
  </si>
  <si>
    <t>Total activos corrientes</t>
  </si>
  <si>
    <t xml:space="preserve"> </t>
  </si>
  <si>
    <t>Activos no corrientes mantenidos para la venta</t>
  </si>
  <si>
    <t>Activos no corrientes</t>
  </si>
  <si>
    <t xml:space="preserve">Propiedades de inversión </t>
  </si>
  <si>
    <t>Total activos no corrientes</t>
  </si>
  <si>
    <t>PASIVOS Y PATRIMONIO</t>
  </si>
  <si>
    <t>PASIVOS</t>
  </si>
  <si>
    <t>Pasivos corrientes</t>
  </si>
  <si>
    <t xml:space="preserve">Cuentas por pagar a proveedores </t>
  </si>
  <si>
    <t>Cuentas por pagar a compañías relacionadas</t>
  </si>
  <si>
    <t>Otros impuestos por pagar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</si>
  <si>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</si>
  <si>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</si>
  <si>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</si>
  <si>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</si>
  <si>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</si>
  <si>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</si>
  <si>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</si>
  <si>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</si>
  <si>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</si>
  <si>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</si>
  <si>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</si>
  <si>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</si>
  <si>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</si>
  <si>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</si>
  <si>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</si>
  <si>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</si>
  <si>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</si>
  <si>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</si>
  <si>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</si>
  <si>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</si>
  <si>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</si>
  <si>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</si>
  <si>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</si>
  <si>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</si>
  <si>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>Pendiente movimiento de proyecto</t>
  </si>
  <si>
    <t>Pendiente clasificacion</t>
  </si>
  <si>
    <t>Eliminación de estimación por deterioro de inversiones (subsidiarias)</t>
  </si>
  <si>
    <t>Invsersión en subsidiarias (estimación por deterioro)</t>
  </si>
  <si>
    <t>Otros gastos, ingresos neto</t>
  </si>
  <si>
    <t xml:space="preserve">b </t>
  </si>
  <si>
    <t>Gastos administrativos</t>
  </si>
  <si>
    <t>Redactar reclasificacion a trabajos en proceso por US$38 millones</t>
  </si>
  <si>
    <t>CABLE ANDINO INC.
Al 31/12/2017</t>
  </si>
  <si>
    <t>CABLE ANDINO CORPORANDINO
Al 31/12/2017</t>
  </si>
  <si>
    <t>Linkotel Al 31/12/2017</t>
  </si>
  <si>
    <t>TELSOTERRA
Al 31/12/2017</t>
  </si>
  <si>
    <t>Sobregiros bancarios</t>
  </si>
  <si>
    <t>Porción corriente de las obligaciones financieras</t>
  </si>
  <si>
    <t>Porcion corriente de valores emitidos</t>
  </si>
  <si>
    <t>Obligaciones financieras</t>
  </si>
  <si>
    <t>Valores emitidos</t>
  </si>
  <si>
    <t>Otros resultados integrales</t>
  </si>
  <si>
    <t>TELCONET S.A.
Al 31/12/2017</t>
  </si>
  <si>
    <t>ECONOCOMPU
Al 31/12/2017</t>
  </si>
  <si>
    <t>INMOB. LEONOR3
Al 31/12/2017</t>
  </si>
  <si>
    <t>SMARTCITIES S.A.
Al 31/12/2017</t>
  </si>
  <si>
    <t>31/12/2017</t>
  </si>
  <si>
    <t>AL 31.12.2017</t>
  </si>
  <si>
    <t>Saldo inversiones en Telconet S.A. al 31.12.2017</t>
  </si>
  <si>
    <t>Devolución</t>
  </si>
  <si>
    <t>Valor de la Inversión al 31.12.2017</t>
  </si>
  <si>
    <t>Aporte 2017 capitalizado</t>
  </si>
  <si>
    <t>TRASNSTELCO</t>
  </si>
  <si>
    <t>TRANSTELCO
Al 31/12/2017</t>
  </si>
  <si>
    <t xml:space="preserve">Cuentas por cobrar relacionadas </t>
  </si>
  <si>
    <t>Cuentas por pagar relacionada L/P</t>
  </si>
  <si>
    <t>Cuentas por pagar</t>
  </si>
  <si>
    <t xml:space="preserve"> TELCONET S.A.</t>
  </si>
  <si>
    <t>TELCONET</t>
  </si>
  <si>
    <t>NETSPEED
Al 31/12/2017</t>
  </si>
  <si>
    <t>CERINSA
Al 31/12/2017</t>
  </si>
  <si>
    <t xml:space="preserve">  Participación no controladora</t>
  </si>
  <si>
    <t>Utilidades acumuladas</t>
  </si>
  <si>
    <t>Variación patrimonial de Linkotel S.A.</t>
  </si>
  <si>
    <t>Variación patrimonial de Telconet Panamá</t>
  </si>
  <si>
    <t>R. de capital</t>
  </si>
  <si>
    <t>Cuentas por PAGAR relacionada</t>
  </si>
  <si>
    <t>DIFERENCIA EN PANAMA</t>
  </si>
  <si>
    <t>Cable Andino Inc.</t>
  </si>
  <si>
    <t>Corpoandino S.A.</t>
  </si>
  <si>
    <t>AJUSTE DEL 2016</t>
  </si>
  <si>
    <t>Reserva de Capital</t>
  </si>
  <si>
    <t>Cuentas por pagar Proveedores</t>
  </si>
  <si>
    <t>Saldos
Consolidados
al 31.12.2017</t>
  </si>
  <si>
    <t>Aporte futuras capitalizaciones</t>
  </si>
  <si>
    <t>Superavit por revaluación</t>
  </si>
  <si>
    <t>Otros resultados integrales (ORI)</t>
  </si>
  <si>
    <t>Reserva por aplicación inicial NIIF</t>
  </si>
  <si>
    <t>Total pasivo y patrimonio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</si>
  <si>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</si>
  <si>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</si>
  <si>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</si>
  <si>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</si>
  <si>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</si>
  <si>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Cable Andino Inc</t>
  </si>
  <si>
    <t>Inmobiliaria Leonortres</t>
  </si>
  <si>
    <t>Cable Andino Corpandino</t>
  </si>
  <si>
    <t>Smartcities</t>
  </si>
  <si>
    <t>Superavit por revaaluación</t>
  </si>
  <si>
    <t>Flujos de efectivo proveniente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</si>
  <si>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</si>
  <si>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</si>
  <si>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</si>
  <si>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</si>
  <si>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</si>
  <si>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</si>
  <si>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Baja de propiedades de inversión</t>
  </si>
  <si>
    <t>Amortización de activos intangibles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</si>
  <si>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</si>
  <si>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</si>
  <si>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</si>
  <si>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</si>
  <si>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</si>
  <si>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</si>
  <si>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</si>
  <si>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</si>
  <si>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</si>
  <si>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</si>
  <si>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</si>
  <si>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</si>
  <si>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</si>
  <si>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</si>
  <si>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</si>
  <si>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</si>
  <si>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</si>
  <si>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</si>
  <si>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</si>
  <si>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utilizado en las actividades de inversión</t>
  </si>
  <si>
    <t>Flujos de efectivo usado en actividades de financiación:</t>
  </si>
  <si>
    <t>Obligaciones financieras, neto</t>
  </si>
  <si>
    <t>Emision de Obligaciones, neto</t>
  </si>
  <si>
    <t>Flujo neto de efectivo (utilizado en) provisto por las actividades de financiación</t>
  </si>
  <si>
    <t>(Disminución) Aumento neto en efectivo y equivalentes de efectivo</t>
  </si>
  <si>
    <t>Efectivo y equivalentes de efectivo al inicio del año</t>
  </si>
  <si>
    <t>Efectivo y equivalentes de efectivo al final del año</t>
  </si>
  <si>
    <t>Reestructurado 
(Ver nota 35)</t>
  </si>
  <si>
    <r>
      <t xml:space="preserve">        </t>
    </r>
    <r>
      <rPr>
        <u/>
        <sz val="6"/>
        <rFont val="Arial"/>
        <family val="2"/>
      </rPr>
      <t>Activo</t>
    </r>
  </si>
  <si>
    <r>
      <t xml:space="preserve">        </t>
    </r>
    <r>
      <rPr>
        <u/>
        <sz val="6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</si>
  <si>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</si>
  <si>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</si>
  <si>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</si>
  <si>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</si>
  <si>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</si>
  <si>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</si>
  <si>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</si>
  <si>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</si>
  <si>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</si>
  <si>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Compañias relacionadas</t>
  </si>
  <si>
    <t>Beneficios Sociales</t>
  </si>
  <si>
    <t>Total del activo corriente</t>
  </si>
  <si>
    <t>Total pasivos corrientes</t>
  </si>
  <si>
    <t>ACTIVO NO CORRIENTE</t>
  </si>
  <si>
    <t>PASIVO NO CORRIENTE</t>
  </si>
  <si>
    <t>Propiedad y equipos, neto</t>
  </si>
  <si>
    <t>Obligaciones Financieras</t>
  </si>
  <si>
    <t>Propiedades de Inversión</t>
  </si>
  <si>
    <t>Activos Intangibles</t>
  </si>
  <si>
    <t>Jubilación Patronal y Bonifcación por desahucio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</si>
  <si>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</si>
  <si>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</si>
  <si>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</si>
  <si>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</si>
  <si>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</si>
  <si>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</si>
  <si>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</si>
  <si>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</si>
  <si>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</si>
  <si>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</si>
  <si>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</si>
  <si>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</si>
  <si>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</si>
  <si>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</si>
  <si>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</si>
  <si>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</si>
  <si>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 controlado</t>
  </si>
  <si>
    <t>Resultado integral del año no controlado</t>
  </si>
  <si>
    <t>Valor de participación patrimonial</t>
  </si>
  <si>
    <t>Telconet S.A.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</si>
  <si>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</si>
  <si>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</si>
  <si>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</si>
  <si>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</si>
  <si>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</si>
  <si>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Telsoterra
31/12/2017</t>
  </si>
  <si>
    <t>Linkotel 31/12/2017</t>
  </si>
  <si>
    <t>Telconet Panamá 31/12/2017</t>
  </si>
  <si>
    <t>Inmob. Leonor3
31/12/2017</t>
  </si>
  <si>
    <t>Cable Andino Inc.
31/12/2017</t>
  </si>
  <si>
    <t>Smartcities
31/12/2017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</si>
  <si>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</si>
  <si>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</si>
  <si>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</si>
  <si>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</si>
  <si>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</si>
  <si>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</si>
  <si>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</si>
  <si>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</si>
  <si>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</si>
  <si>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</si>
  <si>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</si>
  <si>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integrales</t>
  </si>
  <si>
    <t xml:space="preserve"> NIIF</t>
  </si>
  <si>
    <t>no controlada</t>
  </si>
  <si>
    <t>Saldos al 1 de enero del 2014</t>
  </si>
  <si>
    <t>Apropiación reserva legal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</si>
  <si>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</si>
  <si>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</si>
  <si>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</si>
  <si>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</si>
  <si>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</si>
  <si>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</si>
  <si>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</si>
  <si>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</si>
  <si>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</si>
  <si>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Saldos al 31 de diciembre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</si>
</sst>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41" formatCode="_ * #,##0_ ;_ * \-#,##0_ ;_ * &quot;-&quot;_ ;_ @_ "/>
    <numFmt numFmtId="43" formatCode="_ * #,##0.00_ ;_ * \-#,##0.00_ ;_ * &quot;-&quot;??_ ;_ @_ "/>
    <numFmt numFmtId="164" formatCode="&quot;$&quot;\ #,##0_);\(&quot;$&quot;\ #,##0\)"/>
    <numFmt numFmtId="165" formatCode="_(* #,##0_);_(* \(#,##0\);_(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&quot;$&quot;#,##0;\-&quot;$&quot;#,##0"/>
    <numFmt numFmtId="169" formatCode="&quot;$&quot;#,##0.00;[Red]\-&quot;$&quot;#,##0.00"/>
    <numFmt numFmtId="170" formatCode="_-* #,##0.00_-;\-* #,##0.00_-;_-* &quot;-&quot;??_-;_-@_-"/>
    <numFmt numFmtId="171" formatCode="_(&quot;$&quot;\ * #,##0_);_(&quot;$&quot;\ * \(#,##0\);_(&quot;$&quot;\ * &quot;-&quot;??_);_(@_)"/>
    <numFmt numFmtId="172" formatCode="_(* #,##0_);_(* \(#,##0\);_(* &quot;-&quot;??_);_(@_)"/>
    <numFmt numFmtId="173" formatCode="_-* #,##0_-;\-* #,##0_-;_-* &quot;-&quot;??_-;_-@_-"/>
    <numFmt numFmtId="174" formatCode="* \(#,##0\);* #,##0_);&quot;-&quot;??_);@"/>
    <numFmt numFmtId="175" formatCode="* #,##0_);* \(#,##0\);&quot;-&quot;??_);@"/>
    <numFmt numFmtId="176" formatCode="_-[$€-2]* #,##0.00_-;\-[$€-2]* #,##0.00_-;_-[$€-2]* &quot;-&quot;??_-"/>
    <numFmt numFmtId="177" formatCode="_ [$€]\ * #,##0.00_ ;_ [$€]\ * \-#,##0.00_ ;_ [$€]\ * &quot;-&quot;??_ ;_ @_ "/>
    <numFmt numFmtId="178" formatCode="_ [$€-2]\ * #,##0.00_ ;_ [$€-2]\ * \-#,##0.00_ ;_ [$€-2]\ * &quot;-&quot;??_ "/>
    <numFmt numFmtId="179" formatCode="&quot;$&quot;\ #,##0;[Red]&quot;$&quot;\ \-#,##0"/>
    <numFmt numFmtId="180" formatCode="_ * #,##0.0_ ;_ * \(#,##0.0\);_ * &quot;-&quot;??_ ;_ @_ "/>
    <numFmt numFmtId="181" formatCode="_ [$€]* #,##0.00_ ;_ [$€]* \-#,##0.00_ ;_ [$€]* &quot;-&quot;??_ ;_ @_ "/>
    <numFmt numFmtId="182" formatCode="dd/mm/yyyy;@"/>
    <numFmt numFmtId="183" formatCode="_ * #,##0_ ;_ * \-#,##0_ ;_ * &quot;-&quot;??_ ;_ @_ "/>
    <numFmt numFmtId="184" formatCode="_-* #,##0.0_-;\-* #,##0.0_-;_-* &quot;-&quot;??_-;_-@_-"/>
    <numFmt numFmtId="185" formatCode="_-* #,##0\ &quot;€&quot;_-;\-* #,##0\ &quot;€&quot;_-;_-* &quot;-&quot;\ &quot;€&quot;_-;_-@_-"/>
    <numFmt numFmtId="186" formatCode="_ * #,##0_ ;_ * \(#,##0\);_ * &quot;-&quot;??_ ;_ @_ "/>
    <numFmt numFmtId="187" formatCode="#,##0;[Red]\(#,##0\)"/>
    <numFmt numFmtId="188" formatCode="_-* #,##0.00\ _€_-;\-* #,##0.00\ _€_-;_-* &quot;-&quot;??\ _€_-;_-@_-"/>
    <numFmt numFmtId="189" formatCode="&quot;$&quot;#,##0.00_);[Red]\(&quot;$&quot;#,##0.00\)"/>
    <numFmt numFmtId="190" formatCode="_ * #,##0_ ;_ * \(#,##0\);_ * &quot;-&quot;?_ ;_ @_ "/>
    <numFmt numFmtId="191" formatCode="&quot;$&quot;\ #,##0.00;[Red]&quot;$&quot;\ \-#,##0.00"/>
    <numFmt numFmtId="192" formatCode="_ &quot;$&quot;\ * #,##0.00_ ;_ &quot;$&quot;\ * \-#,##0.00_ ;_ &quot;$&quot;\ * &quot;-&quot;??_ ;_ @_ "/>
    <numFmt numFmtId="193" formatCode="\ #,##0\ ;\-\ #,##0\ "/>
    <numFmt numFmtId="194" formatCode="0.0000%"/>
    <numFmt numFmtId="195" formatCode="_(* #,##0.0000_);_(* \(#,##0.0000\);_(* &quot;-&quot;????_);_(@_)"/>
    <numFmt numFmtId="196" formatCode="0.000000%"/>
    <numFmt numFmtId="197" formatCode="0.000000000000000%"/>
    <numFmt numFmtId="198" formatCode="_ * #,##0_ ;_ * \(#,##0\)_ ;_ * &quot;-&quot;_ ;_ @_ "/>
    <numFmt numFmtId="199" formatCode="_ * #,##0_ ;\(* #,##0\);_ * &quot;-&quot;??_ ;_ @_ "/>
    <numFmt numFmtId="200" formatCode="_-* #,##0\ _€_-;\-* #,##0\ _€_-;_-* &quot;-&quot;??\ _€_-;_-@_-"/>
    <numFmt numFmtId="201" formatCode="_ * #,##0_ ;\(* #,##0\);_ * &quot;-&quot;_ ;_ @_ "/>
    <numFmt numFmtId="202" formatCode="#,##0\ ;\(#,##0\)"/>
  </numFmts>
  <fonts count="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u/>
      <sz val="9.6"/>
      <color indexed="12"/>
      <name val="Times New Roman"/>
      <family val="1"/>
    </font>
    <font>
      <sz val="8"/>
      <name val="Tahoma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10"/>
      <name val="Courier"/>
      <family val="3"/>
    </font>
    <font>
      <sz val="8"/>
      <color theme="1"/>
      <name val="Tahoma"/>
      <family val="2"/>
    </font>
    <font>
      <sz val="10"/>
      <color indexed="8"/>
      <name val="MS Sans Serif"/>
      <family val="2"/>
    </font>
    <font>
      <b/>
      <sz val="12"/>
      <color indexed="8"/>
      <name val="Times New Roman"/>
      <family val="1"/>
    </font>
    <font>
      <sz val="9"/>
      <color indexed="8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sz val="10"/>
      <color indexed="8"/>
      <name val="匠牥晩††††††††††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sz val="11"/>
      <color rgb="FFFF0000"/>
      <name val="Calibri"/>
      <family val="2"/>
    </font>
    <font>
      <b/>
      <sz val="8.8000000000000007"/>
      <color rgb="FFFF0000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Georgia"/>
      <family val="1"/>
    </font>
    <font>
      <sz val="8"/>
      <name val="Georgia"/>
      <family val="1"/>
    </font>
    <font>
      <sz val="8"/>
      <color rgb="FF000000"/>
      <name val="Georgia"/>
      <family val="1"/>
    </font>
    <font>
      <b/>
      <sz val="8"/>
      <name val="Georgia"/>
      <family val="1"/>
    </font>
    <font>
      <u/>
      <sz val="8"/>
      <name val="Georgia"/>
      <family val="1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u/>
      <sz val="7"/>
      <color indexed="8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sz val="6"/>
      <color theme="1"/>
      <name val="Arial"/>
      <family val="2"/>
    </font>
    <font>
      <u/>
      <sz val="6"/>
      <name val="Arial"/>
      <family val="2"/>
    </font>
    <font>
      <b/>
      <sz val="6"/>
      <name val="Arial"/>
      <family val="2"/>
    </font>
    <font>
      <b/>
      <u/>
      <sz val="6"/>
      <name val="Arial"/>
      <family val="2"/>
    </font>
    <font>
      <sz val="6"/>
      <color rgb="FFFF0000"/>
      <name val="Arial"/>
      <family val="2"/>
    </font>
    <font>
      <u/>
      <sz val="6"/>
      <color rgb="FFFF0000"/>
      <name val="Arial"/>
      <family val="2"/>
    </font>
    <font>
      <u/>
      <sz val="9"/>
      <name val="Arial"/>
      <family val="2"/>
    </font>
    <font>
      <u val="singleAccounting"/>
      <sz val="9"/>
      <name val="Arial"/>
      <family val="2"/>
    </font>
    <font>
      <b/>
      <sz val="9.5"/>
      <name val="Arial"/>
      <family val="2"/>
    </font>
    <font>
      <sz val="9.5"/>
      <color theme="1"/>
      <name val="Calibri"/>
      <family val="2"/>
      <scheme val="minor"/>
    </font>
    <font>
      <sz val="9.5"/>
      <name val="Arial"/>
      <family val="2"/>
    </font>
    <font>
      <sz val="9.5"/>
      <color theme="1"/>
      <name val="Arial"/>
      <family val="2"/>
    </font>
    <font>
      <b/>
      <sz val="9.5"/>
      <color rgb="FFFF0000"/>
      <name val="Arial"/>
      <family val="2"/>
    </font>
    <font>
      <sz val="9.5"/>
      <color rgb="FFFF0000"/>
      <name val="Arial"/>
      <family val="2"/>
    </font>
    <font>
      <u/>
      <sz val="9.5"/>
      <name val="Arial"/>
      <family val="2"/>
    </font>
    <font>
      <b/>
      <u/>
      <sz val="9.5"/>
      <name val="Arial"/>
      <family val="2"/>
    </font>
    <font>
      <b/>
      <sz val="9.5"/>
      <color theme="1"/>
      <name val="Calibri"/>
      <family val="2"/>
      <scheme val="minor"/>
    </font>
    <font>
      <b/>
      <sz val="9.5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7.5"/>
      <color theme="1"/>
      <name val="Arial"/>
      <family val="2"/>
    </font>
    <font>
      <sz val="7.5"/>
      <color theme="1"/>
      <name val="Arial"/>
      <family val="2"/>
    </font>
    <font>
      <sz val="7.5"/>
      <name val="Arial"/>
      <family val="2"/>
    </font>
    <font>
      <sz val="7.5"/>
      <color rgb="FFFF0000"/>
      <name val="Arial"/>
      <family val="2"/>
    </font>
    <font>
      <b/>
      <sz val="7.5"/>
      <color theme="3"/>
      <name val="Arial"/>
      <family val="2"/>
    </font>
    <font>
      <b/>
      <sz val="7.5"/>
      <color rgb="FFFF0000"/>
      <name val="Arial"/>
      <family val="2"/>
    </font>
    <font>
      <b/>
      <sz val="7.5"/>
      <name val="Arial"/>
      <family val="2"/>
    </font>
    <font>
      <u/>
      <sz val="7.5"/>
      <color theme="3"/>
      <name val="Arial"/>
      <family val="2"/>
    </font>
    <font>
      <b/>
      <sz val="7.5"/>
      <color theme="6" tint="-0.499984740745262"/>
      <name val="Arial"/>
      <family val="2"/>
    </font>
    <font>
      <u val="singleAccounting"/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87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74" fontId="10" fillId="0" borderId="0" applyFill="0" applyBorder="0" applyProtection="0"/>
    <xf numFmtId="174" fontId="10" fillId="0" borderId="4" applyFill="0" applyProtection="0"/>
    <xf numFmtId="174" fontId="10" fillId="0" borderId="1" applyFill="0" applyProtection="0"/>
    <xf numFmtId="174" fontId="10" fillId="0" borderId="0" applyFill="0" applyBorder="0" applyProtection="0"/>
    <xf numFmtId="175" fontId="10" fillId="0" borderId="0" applyFill="0" applyBorder="0" applyProtection="0"/>
    <xf numFmtId="175" fontId="10" fillId="0" borderId="4" applyFill="0" applyProtection="0"/>
    <xf numFmtId="175" fontId="10" fillId="0" borderId="1" applyFill="0" applyProtection="0"/>
    <xf numFmtId="175" fontId="10" fillId="0" borderId="0" applyFill="0" applyBorder="0" applyProtection="0"/>
    <xf numFmtId="0" fontId="11" fillId="0" borderId="0">
      <alignment vertical="top"/>
    </xf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5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8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90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91" fontId="5" fillId="0" borderId="0" applyFont="0" applyFill="0" applyBorder="0" applyAlignment="0" applyProtection="0"/>
    <xf numFmtId="192" fontId="13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4" fillId="0" borderId="0"/>
    <xf numFmtId="0" fontId="13" fillId="0" borderId="0"/>
    <xf numFmtId="0" fontId="14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193" fontId="5" fillId="0" borderId="0" applyBorder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Border="0" applyAlignment="0"/>
    <xf numFmtId="0" fontId="19" fillId="0" borderId="0" applyNumberFormat="0" applyBorder="0" applyAlignment="0"/>
    <xf numFmtId="0" fontId="19" fillId="0" borderId="0" applyNumberFormat="0" applyBorder="0" applyAlignment="0"/>
    <xf numFmtId="0" fontId="20" fillId="0" borderId="0" applyNumberFormat="0" applyBorder="0" applyAlignment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Protection="0">
      <alignment horizontal="left"/>
    </xf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0" borderId="0"/>
    <xf numFmtId="0" fontId="5" fillId="0" borderId="0">
      <alignment vertical="top"/>
    </xf>
    <xf numFmtId="0" fontId="5" fillId="0" borderId="0"/>
    <xf numFmtId="167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3" fillId="0" borderId="0"/>
    <xf numFmtId="0" fontId="23" fillId="0" borderId="0"/>
    <xf numFmtId="167" fontId="1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629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7" applyFont="1" applyFill="1" applyBorder="1" applyAlignment="1">
      <alignment horizontal="left" vertical="center" wrapText="1"/>
    </xf>
    <xf numFmtId="165" fontId="5" fillId="0" borderId="3" xfId="4" applyNumberFormat="1" applyFont="1" applyFill="1" applyBorder="1" applyAlignment="1">
      <alignment vertical="center"/>
    </xf>
    <xf numFmtId="0" fontId="6" fillId="0" borderId="3" xfId="7" applyFont="1" applyFill="1" applyBorder="1" applyAlignment="1">
      <alignment horizontal="left" vertical="center" wrapText="1"/>
    </xf>
    <xf numFmtId="165" fontId="5" fillId="0" borderId="3" xfId="3" applyNumberFormat="1" applyFont="1" applyFill="1" applyBorder="1" applyAlignment="1">
      <alignment horizontal="right" vertical="center"/>
    </xf>
    <xf numFmtId="0" fontId="5" fillId="0" borderId="3" xfId="7" applyFont="1" applyFill="1" applyBorder="1" applyAlignment="1">
      <alignment horizontal="left" vertical="center"/>
    </xf>
    <xf numFmtId="165" fontId="9" fillId="0" borderId="3" xfId="4" applyNumberFormat="1" applyFont="1" applyFill="1" applyBorder="1" applyAlignment="1">
      <alignment vertical="center"/>
    </xf>
    <xf numFmtId="0" fontId="9" fillId="0" borderId="3" xfId="7" applyFont="1" applyFill="1" applyBorder="1" applyAlignment="1">
      <alignment horizontal="left" vertical="center" wrapText="1"/>
    </xf>
    <xf numFmtId="165" fontId="21" fillId="0" borderId="3" xfId="3" applyNumberFormat="1" applyFont="1" applyFill="1" applyBorder="1" applyAlignment="1">
      <alignment horizontal="center" vertical="center"/>
    </xf>
    <xf numFmtId="9" fontId="21" fillId="0" borderId="3" xfId="3" applyFont="1" applyFill="1" applyBorder="1" applyAlignment="1">
      <alignment horizontal="center" vertical="center" wrapText="1"/>
    </xf>
    <xf numFmtId="165" fontId="21" fillId="0" borderId="3" xfId="4" applyNumberFormat="1" applyFont="1" applyFill="1" applyBorder="1" applyAlignment="1">
      <alignment horizontal="center" vertical="center"/>
    </xf>
    <xf numFmtId="165" fontId="3" fillId="0" borderId="3" xfId="568" applyNumberFormat="1" applyFont="1" applyFill="1" applyBorder="1" applyAlignment="1"/>
    <xf numFmtId="0" fontId="24" fillId="0" borderId="0" xfId="7" applyFont="1" applyFill="1" applyAlignment="1">
      <alignment horizontal="left" vertical="center"/>
    </xf>
    <xf numFmtId="9" fontId="25" fillId="0" borderId="0" xfId="3" applyFont="1" applyFill="1" applyAlignment="1">
      <alignment horizontal="right" vertical="center"/>
    </xf>
    <xf numFmtId="165" fontId="25" fillId="0" borderId="0" xfId="3" applyNumberFormat="1" applyFont="1" applyFill="1" applyAlignment="1">
      <alignment horizontal="right" vertical="center"/>
    </xf>
    <xf numFmtId="0" fontId="22" fillId="0" borderId="0" xfId="7" applyFont="1" applyFill="1" applyBorder="1" applyAlignment="1">
      <alignment horizontal="left" vertical="center"/>
    </xf>
    <xf numFmtId="165" fontId="22" fillId="0" borderId="0" xfId="3" applyNumberFormat="1" applyFont="1" applyFill="1" applyAlignment="1">
      <alignment horizontal="right" vertical="center"/>
    </xf>
    <xf numFmtId="172" fontId="5" fillId="0" borderId="3" xfId="1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173" fontId="4" fillId="0" borderId="3" xfId="559" applyNumberFormat="1" applyFont="1" applyFill="1" applyBorder="1" applyAlignment="1">
      <alignment horizontal="center"/>
    </xf>
    <xf numFmtId="167" fontId="4" fillId="0" borderId="3" xfId="559" applyFont="1" applyFill="1" applyBorder="1" applyAlignment="1">
      <alignment horizontal="center"/>
    </xf>
    <xf numFmtId="172" fontId="9" fillId="0" borderId="15" xfId="559" applyNumberFormat="1" applyFont="1" applyFill="1" applyBorder="1" applyAlignment="1">
      <alignment horizontal="center" vertical="center" wrapText="1"/>
    </xf>
    <xf numFmtId="167" fontId="2" fillId="0" borderId="8" xfId="559" applyFont="1" applyFill="1" applyBorder="1" applyAlignment="1">
      <alignment horizontal="center"/>
    </xf>
    <xf numFmtId="173" fontId="2" fillId="0" borderId="10" xfId="559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 indent="2"/>
    </xf>
    <xf numFmtId="173" fontId="2" fillId="0" borderId="0" xfId="0" applyNumberFormat="1" applyFont="1" applyFill="1" applyAlignment="1">
      <alignment vertical="center"/>
    </xf>
    <xf numFmtId="171" fontId="4" fillId="0" borderId="0" xfId="2" applyNumberFormat="1" applyFont="1" applyFill="1" applyAlignment="1">
      <alignment vertical="center"/>
    </xf>
    <xf numFmtId="0" fontId="2" fillId="0" borderId="10" xfId="0" applyFont="1" applyFill="1" applyBorder="1" applyAlignment="1">
      <alignment horizontal="left"/>
    </xf>
    <xf numFmtId="173" fontId="4" fillId="0" borderId="0" xfId="0" applyNumberFormat="1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horizontal="left" vertical="center" indent="5"/>
    </xf>
    <xf numFmtId="0" fontId="2" fillId="0" borderId="10" xfId="0" applyFont="1" applyFill="1" applyBorder="1" applyAlignment="1">
      <alignment vertical="center"/>
    </xf>
    <xf numFmtId="165" fontId="6" fillId="0" borderId="3" xfId="4" applyNumberFormat="1" applyFont="1" applyFill="1" applyBorder="1" applyAlignment="1">
      <alignment vertical="center"/>
    </xf>
    <xf numFmtId="165" fontId="5" fillId="0" borderId="22" xfId="4" applyNumberFormat="1" applyFont="1" applyFill="1" applyBorder="1" applyAlignment="1">
      <alignment vertical="center"/>
    </xf>
    <xf numFmtId="165" fontId="6" fillId="0" borderId="10" xfId="4" applyNumberFormat="1" applyFont="1" applyFill="1" applyBorder="1" applyAlignment="1">
      <alignment vertical="center"/>
    </xf>
    <xf numFmtId="165" fontId="3" fillId="0" borderId="22" xfId="568" applyNumberFormat="1" applyFont="1" applyFill="1" applyBorder="1" applyAlignment="1"/>
    <xf numFmtId="165" fontId="6" fillId="0" borderId="10" xfId="3" applyNumberFormat="1" applyFont="1" applyFill="1" applyBorder="1" applyAlignment="1">
      <alignment horizontal="right" vertical="center" wrapText="1"/>
    </xf>
    <xf numFmtId="165" fontId="6" fillId="0" borderId="10" xfId="3" applyNumberFormat="1" applyFont="1" applyFill="1" applyBorder="1" applyAlignment="1">
      <alignment horizontal="right" vertical="center"/>
    </xf>
    <xf numFmtId="165" fontId="5" fillId="0" borderId="22" xfId="3" applyNumberFormat="1" applyFont="1" applyFill="1" applyBorder="1" applyAlignment="1">
      <alignment horizontal="right" vertical="center"/>
    </xf>
    <xf numFmtId="0" fontId="30" fillId="0" borderId="3" xfId="7" applyFont="1" applyFill="1" applyBorder="1" applyAlignment="1">
      <alignment horizontal="left" vertical="center" wrapText="1"/>
    </xf>
    <xf numFmtId="172" fontId="2" fillId="0" borderId="0" xfId="1" applyNumberFormat="1" applyFont="1" applyFill="1" applyAlignment="1">
      <alignment vertical="center"/>
    </xf>
    <xf numFmtId="172" fontId="2" fillId="0" borderId="9" xfId="1" applyNumberFormat="1" applyFont="1" applyFill="1" applyBorder="1" applyAlignment="1">
      <alignment vertical="center"/>
    </xf>
    <xf numFmtId="172" fontId="2" fillId="0" borderId="4" xfId="1" applyNumberFormat="1" applyFont="1" applyFill="1" applyBorder="1" applyAlignment="1">
      <alignment vertical="center"/>
    </xf>
    <xf numFmtId="172" fontId="2" fillId="0" borderId="8" xfId="1" applyNumberFormat="1" applyFont="1" applyFill="1" applyBorder="1" applyAlignment="1">
      <alignment vertical="center"/>
    </xf>
    <xf numFmtId="172" fontId="2" fillId="0" borderId="0" xfId="1" applyNumberFormat="1" applyFont="1" applyFill="1" applyBorder="1" applyAlignment="1">
      <alignment vertical="center"/>
    </xf>
    <xf numFmtId="172" fontId="2" fillId="0" borderId="5" xfId="1" applyNumberFormat="1" applyFont="1" applyFill="1" applyBorder="1" applyAlignment="1">
      <alignment vertical="center"/>
    </xf>
    <xf numFmtId="172" fontId="2" fillId="0" borderId="10" xfId="1" applyNumberFormat="1" applyFont="1" applyFill="1" applyBorder="1" applyAlignment="1">
      <alignment vertical="center"/>
    </xf>
    <xf numFmtId="172" fontId="4" fillId="0" borderId="0" xfId="1" applyNumberFormat="1" applyFont="1" applyFill="1" applyAlignment="1">
      <alignment vertical="center"/>
    </xf>
    <xf numFmtId="172" fontId="2" fillId="0" borderId="2" xfId="1" applyNumberFormat="1" applyFont="1" applyFill="1" applyBorder="1" applyAlignment="1">
      <alignment vertical="center"/>
    </xf>
    <xf numFmtId="167" fontId="2" fillId="0" borderId="0" xfId="0" applyNumberFormat="1" applyFont="1" applyFill="1" applyAlignment="1">
      <alignment vertical="center"/>
    </xf>
    <xf numFmtId="165" fontId="5" fillId="0" borderId="8" xfId="4" applyNumberFormat="1" applyFont="1" applyFill="1" applyBorder="1" applyAlignment="1">
      <alignment vertical="center"/>
    </xf>
    <xf numFmtId="172" fontId="5" fillId="0" borderId="8" xfId="1" applyNumberFormat="1" applyFont="1" applyFill="1" applyBorder="1" applyAlignment="1">
      <alignment wrapText="1"/>
    </xf>
    <xf numFmtId="0" fontId="3" fillId="0" borderId="0" xfId="0" applyFont="1"/>
    <xf numFmtId="0" fontId="33" fillId="0" borderId="3" xfId="0" applyFont="1" applyBorder="1" applyAlignment="1">
      <alignment horizontal="center"/>
    </xf>
    <xf numFmtId="167" fontId="3" fillId="0" borderId="9" xfId="1" applyFont="1" applyBorder="1"/>
    <xf numFmtId="167" fontId="3" fillId="0" borderId="10" xfId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wrapText="1"/>
    </xf>
    <xf numFmtId="172" fontId="2" fillId="0" borderId="0" xfId="1" applyNumberFormat="1" applyFont="1" applyAlignment="1">
      <alignment vertical="center"/>
    </xf>
    <xf numFmtId="172" fontId="28" fillId="0" borderId="3" xfId="1" applyNumberFormat="1" applyFont="1" applyBorder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/>
    </xf>
    <xf numFmtId="172" fontId="4" fillId="0" borderId="0" xfId="1" applyNumberFormat="1" applyFont="1" applyFill="1" applyAlignment="1">
      <alignment horizontal="center" vertical="center"/>
    </xf>
    <xf numFmtId="172" fontId="2" fillId="0" borderId="9" xfId="1" applyNumberFormat="1" applyFont="1" applyBorder="1" applyAlignment="1">
      <alignment vertical="center"/>
    </xf>
    <xf numFmtId="172" fontId="2" fillId="0" borderId="8" xfId="1" applyNumberFormat="1" applyFont="1" applyFill="1" applyBorder="1" applyAlignment="1">
      <alignment horizontal="center"/>
    </xf>
    <xf numFmtId="172" fontId="2" fillId="0" borderId="9" xfId="1" applyNumberFormat="1" applyFont="1" applyFill="1" applyBorder="1" applyAlignment="1">
      <alignment horizontal="center"/>
    </xf>
    <xf numFmtId="172" fontId="2" fillId="0" borderId="10" xfId="1" applyNumberFormat="1" applyFont="1" applyBorder="1" applyAlignment="1">
      <alignment vertical="center"/>
    </xf>
    <xf numFmtId="172" fontId="2" fillId="0" borderId="10" xfId="1" applyNumberFormat="1" applyFont="1" applyFill="1" applyBorder="1" applyAlignment="1">
      <alignment horizontal="center"/>
    </xf>
    <xf numFmtId="172" fontId="28" fillId="0" borderId="0" xfId="1" applyNumberFormat="1" applyFont="1" applyFill="1" applyAlignment="1">
      <alignment horizontal="center" vertical="center"/>
    </xf>
    <xf numFmtId="172" fontId="4" fillId="0" borderId="3" xfId="1" applyNumberFormat="1" applyFont="1" applyFill="1" applyBorder="1" applyAlignment="1">
      <alignment horizontal="center" vertical="center"/>
    </xf>
    <xf numFmtId="172" fontId="4" fillId="0" borderId="7" xfId="1" applyNumberFormat="1" applyFont="1" applyFill="1" applyBorder="1" applyAlignment="1">
      <alignment horizontal="center" vertical="center"/>
    </xf>
    <xf numFmtId="172" fontId="2" fillId="0" borderId="8" xfId="1" applyNumberFormat="1" applyFont="1" applyBorder="1" applyAlignment="1">
      <alignment vertical="center"/>
    </xf>
    <xf numFmtId="172" fontId="4" fillId="0" borderId="0" xfId="1" applyNumberFormat="1" applyFont="1" applyFill="1" applyBorder="1" applyAlignment="1">
      <alignment horizontal="center"/>
    </xf>
    <xf numFmtId="172" fontId="2" fillId="0" borderId="0" xfId="1" applyNumberFormat="1" applyFont="1" applyFill="1" applyBorder="1" applyAlignment="1">
      <alignment horizontal="center"/>
    </xf>
    <xf numFmtId="172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172" fontId="0" fillId="0" borderId="0" xfId="0" applyNumberFormat="1"/>
    <xf numFmtId="172" fontId="2" fillId="0" borderId="23" xfId="1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172" fontId="2" fillId="0" borderId="25" xfId="1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0" fillId="0" borderId="0" xfId="0" applyFill="1"/>
    <xf numFmtId="165" fontId="27" fillId="0" borderId="0" xfId="3" applyNumberFormat="1" applyFont="1" applyFill="1" applyAlignment="1">
      <alignment horizontal="right" vertical="center"/>
    </xf>
    <xf numFmtId="165" fontId="27" fillId="0" borderId="0" xfId="3" applyNumberFormat="1" applyFont="1" applyFill="1" applyAlignment="1">
      <alignment horizontal="left" vertical="center"/>
    </xf>
    <xf numFmtId="0" fontId="9" fillId="0" borderId="16" xfId="558" applyFont="1" applyFill="1" applyBorder="1" applyAlignment="1">
      <alignment horizontal="left"/>
    </xf>
    <xf numFmtId="172" fontId="2" fillId="0" borderId="0" xfId="1" applyNumberFormat="1" applyFont="1" applyFill="1" applyBorder="1" applyAlignment="1">
      <alignment horizontal="left"/>
    </xf>
    <xf numFmtId="0" fontId="2" fillId="0" borderId="0" xfId="558" applyFont="1" applyFill="1" applyAlignment="1">
      <alignment wrapText="1"/>
    </xf>
    <xf numFmtId="0" fontId="29" fillId="0" borderId="16" xfId="558" applyFont="1" applyFill="1" applyBorder="1" applyAlignment="1">
      <alignment horizontal="left"/>
    </xf>
    <xf numFmtId="165" fontId="9" fillId="0" borderId="18" xfId="559" applyNumberFormat="1" applyFont="1" applyFill="1" applyBorder="1" applyAlignment="1">
      <alignment horizontal="center" vertical="center" wrapText="1"/>
    </xf>
    <xf numFmtId="167" fontId="2" fillId="0" borderId="0" xfId="1" applyFont="1" applyFill="1" applyAlignment="1">
      <alignment wrapText="1"/>
    </xf>
    <xf numFmtId="194" fontId="2" fillId="0" borderId="0" xfId="558" applyNumberFormat="1" applyFont="1" applyFill="1" applyAlignment="1">
      <alignment wrapText="1"/>
    </xf>
    <xf numFmtId="0" fontId="2" fillId="0" borderId="0" xfId="558" applyFont="1" applyFill="1"/>
    <xf numFmtId="165" fontId="29" fillId="0" borderId="15" xfId="559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28" fillId="0" borderId="11" xfId="558" applyFont="1" applyFill="1" applyBorder="1" applyAlignment="1"/>
    <xf numFmtId="172" fontId="2" fillId="0" borderId="12" xfId="559" applyNumberFormat="1" applyFont="1" applyFill="1" applyBorder="1" applyAlignment="1">
      <alignment wrapText="1"/>
    </xf>
    <xf numFmtId="0" fontId="4" fillId="0" borderId="13" xfId="558" applyFont="1" applyFill="1" applyBorder="1" applyAlignment="1">
      <alignment horizontal="right"/>
    </xf>
    <xf numFmtId="172" fontId="29" fillId="0" borderId="14" xfId="559" applyNumberFormat="1" applyFont="1" applyFill="1" applyBorder="1" applyAlignment="1">
      <alignment wrapText="1"/>
    </xf>
    <xf numFmtId="172" fontId="2" fillId="0" borderId="0" xfId="1" applyNumberFormat="1" applyFont="1" applyFill="1"/>
    <xf numFmtId="0" fontId="2" fillId="0" borderId="13" xfId="558" applyFont="1" applyFill="1" applyBorder="1" applyAlignment="1"/>
    <xf numFmtId="172" fontId="2" fillId="0" borderId="14" xfId="559" applyNumberFormat="1" applyFont="1" applyFill="1" applyBorder="1" applyAlignment="1">
      <alignment wrapText="1"/>
    </xf>
    <xf numFmtId="0" fontId="9" fillId="0" borderId="13" xfId="558" applyFont="1" applyFill="1" applyBorder="1" applyAlignment="1">
      <alignment horizontal="right" vertical="center"/>
    </xf>
    <xf numFmtId="0" fontId="21" fillId="0" borderId="0" xfId="558" applyFont="1" applyFill="1" applyAlignment="1">
      <alignment horizontal="right" wrapText="1"/>
    </xf>
    <xf numFmtId="194" fontId="4" fillId="0" borderId="0" xfId="3" applyNumberFormat="1" applyFont="1" applyFill="1" applyAlignment="1">
      <alignment horizontal="left" wrapText="1"/>
    </xf>
    <xf numFmtId="165" fontId="29" fillId="0" borderId="17" xfId="559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167" fontId="2" fillId="0" borderId="5" xfId="1" applyFont="1" applyFill="1" applyBorder="1" applyAlignment="1">
      <alignment wrapText="1"/>
    </xf>
    <xf numFmtId="165" fontId="9" fillId="0" borderId="15" xfId="559" applyNumberFormat="1" applyFont="1" applyFill="1" applyBorder="1" applyAlignment="1">
      <alignment horizontal="center" vertical="center" wrapText="1"/>
    </xf>
    <xf numFmtId="0" fontId="2" fillId="0" borderId="19" xfId="558" applyFont="1" applyFill="1" applyBorder="1" applyAlignment="1"/>
    <xf numFmtId="172" fontId="2" fillId="0" borderId="20" xfId="559" applyNumberFormat="1" applyFont="1" applyFill="1" applyBorder="1" applyAlignment="1">
      <alignment wrapText="1"/>
    </xf>
    <xf numFmtId="194" fontId="2" fillId="0" borderId="0" xfId="558" applyNumberFormat="1" applyFont="1" applyFill="1"/>
    <xf numFmtId="0" fontId="2" fillId="0" borderId="0" xfId="558" applyFont="1" applyFill="1" applyAlignment="1"/>
    <xf numFmtId="172" fontId="2" fillId="0" borderId="0" xfId="559" applyNumberFormat="1" applyFont="1" applyFill="1" applyAlignment="1">
      <alignment wrapText="1"/>
    </xf>
    <xf numFmtId="0" fontId="2" fillId="0" borderId="0" xfId="558" applyFont="1" applyFill="1" applyBorder="1" applyAlignment="1"/>
    <xf numFmtId="172" fontId="2" fillId="0" borderId="0" xfId="559" applyNumberFormat="1" applyFont="1" applyFill="1" applyBorder="1" applyAlignment="1">
      <alignment wrapText="1"/>
    </xf>
    <xf numFmtId="0" fontId="21" fillId="0" borderId="0" xfId="558" applyFont="1" applyFill="1" applyAlignment="1">
      <alignment horizontal="right"/>
    </xf>
    <xf numFmtId="172" fontId="4" fillId="0" borderId="0" xfId="559" applyNumberFormat="1" applyFont="1" applyFill="1" applyAlignment="1">
      <alignment wrapText="1"/>
    </xf>
    <xf numFmtId="0" fontId="4" fillId="0" borderId="0" xfId="558" applyFont="1" applyFill="1" applyAlignment="1">
      <alignment wrapText="1"/>
    </xf>
    <xf numFmtId="167" fontId="2" fillId="0" borderId="0" xfId="1" applyFont="1" applyFill="1"/>
    <xf numFmtId="0" fontId="0" fillId="0" borderId="0" xfId="0"/>
    <xf numFmtId="172" fontId="2" fillId="0" borderId="0" xfId="558" applyNumberFormat="1" applyFont="1" applyFill="1"/>
    <xf numFmtId="167" fontId="2" fillId="0" borderId="0" xfId="558" applyNumberFormat="1" applyFont="1" applyFill="1"/>
    <xf numFmtId="165" fontId="2" fillId="0" borderId="0" xfId="558" applyNumberFormat="1" applyFont="1" applyFill="1"/>
    <xf numFmtId="195" fontId="2" fillId="0" borderId="0" xfId="558" applyNumberFormat="1" applyFont="1" applyFill="1"/>
    <xf numFmtId="165" fontId="2" fillId="0" borderId="0" xfId="558" applyNumberFormat="1" applyFont="1" applyFill="1" applyAlignment="1">
      <alignment wrapText="1"/>
    </xf>
    <xf numFmtId="195" fontId="2" fillId="0" borderId="0" xfId="558" applyNumberFormat="1" applyFont="1" applyFill="1" applyAlignment="1">
      <alignment wrapText="1"/>
    </xf>
    <xf numFmtId="172" fontId="2" fillId="2" borderId="9" xfId="1" applyNumberFormat="1" applyFont="1" applyFill="1" applyBorder="1" applyAlignment="1">
      <alignment horizontal="center"/>
    </xf>
    <xf numFmtId="172" fontId="2" fillId="2" borderId="0" xfId="1" applyNumberFormat="1" applyFont="1" applyFill="1" applyBorder="1" applyAlignment="1">
      <alignment vertical="center"/>
    </xf>
    <xf numFmtId="173" fontId="2" fillId="2" borderId="8" xfId="559" applyNumberFormat="1" applyFont="1" applyFill="1" applyBorder="1" applyAlignment="1">
      <alignment horizontal="center"/>
    </xf>
    <xf numFmtId="0" fontId="2" fillId="0" borderId="0" xfId="0" applyFont="1"/>
    <xf numFmtId="172" fontId="2" fillId="0" borderId="0" xfId="1" applyNumberFormat="1" applyFont="1"/>
    <xf numFmtId="172" fontId="2" fillId="0" borderId="2" xfId="1" applyNumberFormat="1" applyFont="1" applyBorder="1"/>
    <xf numFmtId="172" fontId="2" fillId="0" borderId="5" xfId="1" applyNumberFormat="1" applyFont="1" applyBorder="1"/>
    <xf numFmtId="172" fontId="2" fillId="0" borderId="0" xfId="1" applyNumberFormat="1" applyFont="1" applyAlignment="1">
      <alignment horizontal="center"/>
    </xf>
    <xf numFmtId="0" fontId="2" fillId="0" borderId="0" xfId="0" applyFont="1" applyAlignment="1">
      <alignment horizontal="right"/>
    </xf>
    <xf numFmtId="172" fontId="2" fillId="2" borderId="9" xfId="1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173" fontId="2" fillId="0" borderId="9" xfId="559" applyNumberFormat="1" applyFont="1" applyFill="1" applyBorder="1" applyAlignment="1">
      <alignment horizontal="center"/>
    </xf>
    <xf numFmtId="167" fontId="2" fillId="0" borderId="9" xfId="559" applyFont="1" applyFill="1" applyBorder="1" applyAlignment="1">
      <alignment horizontal="center"/>
    </xf>
    <xf numFmtId="172" fontId="2" fillId="0" borderId="9" xfId="559" applyNumberFormat="1" applyFont="1" applyFill="1" applyBorder="1" applyAlignment="1">
      <alignment horizontal="center"/>
    </xf>
    <xf numFmtId="172" fontId="4" fillId="0" borderId="0" xfId="1" applyNumberFormat="1" applyFont="1"/>
    <xf numFmtId="172" fontId="29" fillId="0" borderId="0" xfId="1" applyNumberFormat="1" applyFont="1" applyFill="1"/>
    <xf numFmtId="172" fontId="2" fillId="0" borderId="0" xfId="0" applyNumberFormat="1" applyFont="1"/>
    <xf numFmtId="172" fontId="2" fillId="0" borderId="0" xfId="1" applyNumberFormat="1" applyFont="1" applyAlignment="1">
      <alignment horizontal="right"/>
    </xf>
    <xf numFmtId="0" fontId="2" fillId="0" borderId="0" xfId="0" applyFont="1" applyFill="1"/>
    <xf numFmtId="0" fontId="2" fillId="3" borderId="9" xfId="0" applyFont="1" applyFill="1" applyBorder="1" applyAlignment="1">
      <alignment horizontal="left"/>
    </xf>
    <xf numFmtId="172" fontId="2" fillId="3" borderId="9" xfId="1" applyNumberFormat="1" applyFont="1" applyFill="1" applyBorder="1" applyAlignment="1">
      <alignment vertical="center"/>
    </xf>
    <xf numFmtId="172" fontId="2" fillId="3" borderId="9" xfId="1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left" indent="2"/>
    </xf>
    <xf numFmtId="172" fontId="2" fillId="0" borderId="0" xfId="0" applyNumberFormat="1" applyFont="1" applyAlignment="1">
      <alignment vertical="center"/>
    </xf>
    <xf numFmtId="165" fontId="2" fillId="0" borderId="0" xfId="0" applyNumberFormat="1" applyFont="1"/>
    <xf numFmtId="0" fontId="34" fillId="0" borderId="0" xfId="0" applyFont="1"/>
    <xf numFmtId="172" fontId="2" fillId="0" borderId="0" xfId="1" applyNumberFormat="1" applyFont="1" applyFill="1" applyAlignment="1">
      <alignment wrapText="1"/>
    </xf>
    <xf numFmtId="172" fontId="2" fillId="0" borderId="5" xfId="1" applyNumberFormat="1" applyFont="1" applyFill="1" applyBorder="1" applyAlignment="1">
      <alignment wrapText="1"/>
    </xf>
    <xf numFmtId="0" fontId="2" fillId="0" borderId="25" xfId="0" applyFont="1" applyFill="1" applyBorder="1" applyAlignment="1"/>
    <xf numFmtId="0" fontId="2" fillId="0" borderId="21" xfId="0" applyFont="1" applyFill="1" applyBorder="1" applyAlignment="1"/>
    <xf numFmtId="173" fontId="2" fillId="0" borderId="0" xfId="0" applyNumberFormat="1" applyFont="1"/>
    <xf numFmtId="172" fontId="34" fillId="0" borderId="0" xfId="0" applyNumberFormat="1" applyFont="1"/>
    <xf numFmtId="0" fontId="9" fillId="0" borderId="0" xfId="7" applyFont="1" applyFill="1" applyBorder="1" applyAlignment="1">
      <alignment horizontal="left" vertical="center" wrapText="1"/>
    </xf>
    <xf numFmtId="165" fontId="9" fillId="0" borderId="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horizontal="center" vertical="center"/>
    </xf>
    <xf numFmtId="0" fontId="29" fillId="0" borderId="3" xfId="7" applyFont="1" applyFill="1" applyBorder="1" applyAlignment="1">
      <alignment horizontal="left" vertical="center" wrapText="1"/>
    </xf>
    <xf numFmtId="165" fontId="29" fillId="0" borderId="3" xfId="4" applyNumberFormat="1" applyFont="1" applyFill="1" applyBorder="1" applyAlignment="1">
      <alignment vertical="center"/>
    </xf>
    <xf numFmtId="172" fontId="2" fillId="0" borderId="2" xfId="1" applyNumberFormat="1" applyFont="1" applyFill="1" applyBorder="1"/>
    <xf numFmtId="172" fontId="4" fillId="0" borderId="0" xfId="1" applyNumberFormat="1" applyFont="1" applyFill="1"/>
    <xf numFmtId="0" fontId="4" fillId="0" borderId="0" xfId="0" applyFont="1" applyFill="1"/>
    <xf numFmtId="49" fontId="28" fillId="0" borderId="0" xfId="1" applyNumberFormat="1" applyFont="1" applyFill="1" applyAlignment="1">
      <alignment horizontal="center"/>
    </xf>
    <xf numFmtId="194" fontId="28" fillId="0" borderId="0" xfId="1" applyNumberFormat="1" applyFont="1" applyFill="1" applyAlignment="1">
      <alignment horizontal="center"/>
    </xf>
    <xf numFmtId="172" fontId="2" fillId="0" borderId="5" xfId="1" applyNumberFormat="1" applyFont="1" applyFill="1" applyBorder="1"/>
    <xf numFmtId="172" fontId="2" fillId="0" borderId="0" xfId="1" applyNumberFormat="1" applyFont="1" applyFill="1" applyBorder="1"/>
    <xf numFmtId="0" fontId="4" fillId="0" borderId="0" xfId="0" applyFont="1" applyFill="1" applyAlignment="1">
      <alignment horizontal="right"/>
    </xf>
    <xf numFmtId="172" fontId="2" fillId="0" borderId="0" xfId="1" applyNumberFormat="1" applyFont="1" applyFill="1" applyAlignment="1">
      <alignment horizontal="right"/>
    </xf>
    <xf numFmtId="0" fontId="0" fillId="0" borderId="0" xfId="0" applyAlignment="1">
      <alignment horizontal="left" indent="5"/>
    </xf>
    <xf numFmtId="172" fontId="2" fillId="2" borderId="0" xfId="1" applyNumberFormat="1" applyFont="1" applyFill="1" applyAlignment="1">
      <alignment vertical="center"/>
    </xf>
    <xf numFmtId="195" fontId="2" fillId="0" borderId="0" xfId="0" applyNumberFormat="1" applyFont="1" applyFill="1"/>
    <xf numFmtId="0" fontId="28" fillId="0" borderId="0" xfId="0" applyFont="1" applyFill="1" applyAlignment="1">
      <alignment horizontal="center"/>
    </xf>
    <xf numFmtId="196" fontId="4" fillId="0" borderId="0" xfId="3" applyNumberFormat="1" applyFont="1" applyFill="1" applyAlignment="1">
      <alignment horizontal="left"/>
    </xf>
    <xf numFmtId="197" fontId="2" fillId="0" borderId="0" xfId="0" applyNumberFormat="1" applyFont="1" applyFill="1"/>
    <xf numFmtId="172" fontId="2" fillId="0" borderId="0" xfId="0" applyNumberFormat="1" applyFont="1" applyFill="1"/>
    <xf numFmtId="172" fontId="35" fillId="0" borderId="0" xfId="1" applyNumberFormat="1" applyFont="1" applyFill="1"/>
    <xf numFmtId="172" fontId="4" fillId="0" borderId="5" xfId="1" applyNumberFormat="1" applyFont="1" applyFill="1" applyBorder="1"/>
    <xf numFmtId="0" fontId="6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 wrapText="1"/>
    </xf>
    <xf numFmtId="0" fontId="5" fillId="0" borderId="10" xfId="7" applyFont="1" applyFill="1" applyBorder="1" applyAlignment="1">
      <alignment horizontal="left" vertical="center"/>
    </xf>
    <xf numFmtId="165" fontId="5" fillId="0" borderId="3" xfId="7" applyNumberFormat="1" applyFont="1" applyFill="1" applyBorder="1" applyAlignment="1">
      <alignment horizontal="left" vertical="center" wrapText="1"/>
    </xf>
    <xf numFmtId="0" fontId="38" fillId="0" borderId="0" xfId="0" applyFont="1"/>
    <xf numFmtId="0" fontId="39" fillId="4" borderId="0" xfId="577" applyFont="1" applyFill="1" applyAlignment="1">
      <alignment horizontal="center"/>
    </xf>
    <xf numFmtId="0" fontId="39" fillId="4" borderId="0" xfId="577" applyFont="1" applyFill="1" applyAlignment="1"/>
    <xf numFmtId="0" fontId="39" fillId="4" borderId="0" xfId="577" applyFont="1" applyFill="1" applyBorder="1" applyAlignment="1">
      <alignment horizontal="center"/>
    </xf>
    <xf numFmtId="0" fontId="39" fillId="0" borderId="0" xfId="496" applyFont="1" applyAlignment="1"/>
    <xf numFmtId="0" fontId="38" fillId="4" borderId="0" xfId="577" applyFont="1" applyFill="1" applyAlignment="1"/>
    <xf numFmtId="172" fontId="39" fillId="4" borderId="0" xfId="579" applyNumberFormat="1" applyFont="1" applyFill="1" applyAlignment="1">
      <alignment horizontal="center"/>
    </xf>
    <xf numFmtId="172" fontId="39" fillId="4" borderId="0" xfId="579" applyNumberFormat="1" applyFont="1" applyFill="1" applyBorder="1" applyAlignment="1">
      <alignment horizontal="center"/>
    </xf>
    <xf numFmtId="172" fontId="39" fillId="4" borderId="5" xfId="579" applyNumberFormat="1" applyFont="1" applyFill="1" applyBorder="1" applyAlignment="1">
      <alignment horizontal="center"/>
    </xf>
    <xf numFmtId="0" fontId="38" fillId="4" borderId="5" xfId="496" applyFont="1" applyFill="1" applyBorder="1" applyAlignment="1">
      <alignment horizontal="center"/>
    </xf>
    <xf numFmtId="15" fontId="40" fillId="4" borderId="0" xfId="577" applyNumberFormat="1" applyFont="1" applyFill="1" applyAlignment="1"/>
    <xf numFmtId="172" fontId="39" fillId="4" borderId="0" xfId="1" applyNumberFormat="1" applyFont="1" applyFill="1" applyBorder="1" applyAlignment="1">
      <alignment horizontal="right"/>
    </xf>
    <xf numFmtId="172" fontId="38" fillId="0" borderId="0" xfId="0" applyNumberFormat="1" applyFont="1"/>
    <xf numFmtId="0" fontId="40" fillId="4" borderId="0" xfId="577" applyFont="1" applyFill="1" applyBorder="1" applyAlignment="1"/>
    <xf numFmtId="0" fontId="40" fillId="4" borderId="0" xfId="577" applyFont="1" applyFill="1" applyAlignment="1">
      <alignment wrapText="1"/>
    </xf>
    <xf numFmtId="172" fontId="39" fillId="0" borderId="0" xfId="1" applyNumberFormat="1" applyFont="1" applyFill="1" applyAlignment="1">
      <alignment horizontal="right"/>
    </xf>
    <xf numFmtId="172" fontId="38" fillId="0" borderId="0" xfId="1" applyNumberFormat="1" applyFont="1" applyFill="1" applyAlignment="1">
      <alignment horizontal="right"/>
    </xf>
    <xf numFmtId="172" fontId="39" fillId="0" borderId="0" xfId="1" applyNumberFormat="1" applyFont="1" applyAlignment="1"/>
    <xf numFmtId="0" fontId="40" fillId="4" borderId="0" xfId="577" applyFont="1" applyFill="1" applyAlignment="1"/>
    <xf numFmtId="0" fontId="39" fillId="0" borderId="0" xfId="0" applyFont="1" applyFill="1" applyAlignment="1">
      <alignment wrapText="1"/>
    </xf>
    <xf numFmtId="0" fontId="39" fillId="0" borderId="0" xfId="0" applyFont="1" applyFill="1"/>
    <xf numFmtId="172" fontId="38" fillId="0" borderId="0" xfId="1" applyNumberFormat="1" applyFont="1"/>
    <xf numFmtId="172" fontId="38" fillId="4" borderId="0" xfId="1" applyNumberFormat="1" applyFont="1" applyFill="1" applyAlignment="1">
      <alignment horizontal="right"/>
    </xf>
    <xf numFmtId="0" fontId="39" fillId="4" borderId="0" xfId="577" applyFont="1" applyFill="1" applyAlignment="1">
      <alignment wrapText="1"/>
    </xf>
    <xf numFmtId="172" fontId="39" fillId="0" borderId="5" xfId="1" applyNumberFormat="1" applyFont="1" applyFill="1" applyBorder="1" applyAlignment="1">
      <alignment horizontal="right"/>
    </xf>
    <xf numFmtId="172" fontId="39" fillId="4" borderId="5" xfId="1" applyNumberFormat="1" applyFont="1" applyFill="1" applyBorder="1" applyAlignment="1">
      <alignment horizontal="right"/>
    </xf>
    <xf numFmtId="172" fontId="38" fillId="4" borderId="5" xfId="1" applyNumberFormat="1" applyFont="1" applyFill="1" applyBorder="1" applyAlignment="1"/>
    <xf numFmtId="172" fontId="39" fillId="0" borderId="2" xfId="1" applyNumberFormat="1" applyFont="1" applyFill="1" applyBorder="1" applyAlignment="1">
      <alignment horizontal="right"/>
    </xf>
    <xf numFmtId="167" fontId="38" fillId="0" borderId="0" xfId="1" applyFont="1"/>
    <xf numFmtId="0" fontId="38" fillId="0" borderId="0" xfId="0" applyFont="1" applyFill="1"/>
    <xf numFmtId="0" fontId="39" fillId="4" borderId="0" xfId="0" applyFont="1" applyFill="1" applyBorder="1" applyAlignment="1">
      <alignment horizontal="center"/>
    </xf>
    <xf numFmtId="0" fontId="39" fillId="4" borderId="0" xfId="0" applyFont="1" applyFill="1" applyBorder="1"/>
    <xf numFmtId="172" fontId="39" fillId="4" borderId="5" xfId="579" applyNumberFormat="1" applyFont="1" applyFill="1" applyBorder="1" applyAlignment="1"/>
    <xf numFmtId="0" fontId="41" fillId="0" borderId="0" xfId="316" applyFont="1" applyFill="1" applyAlignment="1">
      <alignment horizontal="center"/>
    </xf>
    <xf numFmtId="0" fontId="39" fillId="4" borderId="5" xfId="0" applyFont="1" applyFill="1" applyBorder="1" applyAlignment="1">
      <alignment horizontal="center"/>
    </xf>
    <xf numFmtId="172" fontId="38" fillId="4" borderId="5" xfId="579" applyNumberFormat="1" applyFont="1" applyFill="1" applyBorder="1" applyAlignment="1">
      <alignment horizontal="center" wrapText="1"/>
    </xf>
    <xf numFmtId="0" fontId="39" fillId="0" borderId="0" xfId="316" applyFont="1" applyFill="1"/>
    <xf numFmtId="3" fontId="38" fillId="0" borderId="0" xfId="0" applyNumberFormat="1" applyFont="1"/>
    <xf numFmtId="3" fontId="39" fillId="0" borderId="0" xfId="316" applyNumberFormat="1" applyFont="1" applyFill="1"/>
    <xf numFmtId="0" fontId="41" fillId="0" borderId="0" xfId="316" applyFont="1" applyFill="1"/>
    <xf numFmtId="0" fontId="39" fillId="0" borderId="0" xfId="316" applyFont="1" applyFill="1" applyAlignment="1">
      <alignment horizontal="left" indent="1"/>
    </xf>
    <xf numFmtId="3" fontId="38" fillId="4" borderId="0" xfId="0" applyNumberFormat="1" applyFont="1" applyFill="1"/>
    <xf numFmtId="0" fontId="41" fillId="0" borderId="0" xfId="316" applyFont="1" applyFill="1" applyBorder="1"/>
    <xf numFmtId="3" fontId="39" fillId="0" borderId="0" xfId="316" applyNumberFormat="1" applyFont="1" applyFill="1" applyBorder="1"/>
    <xf numFmtId="172" fontId="38" fillId="4" borderId="0" xfId="1" applyNumberFormat="1" applyFont="1" applyFill="1"/>
    <xf numFmtId="172" fontId="39" fillId="0" borderId="0" xfId="1" applyNumberFormat="1" applyFont="1" applyFill="1"/>
    <xf numFmtId="3" fontId="39" fillId="4" borderId="0" xfId="316" applyNumberFormat="1" applyFont="1" applyFill="1"/>
    <xf numFmtId="0" fontId="38" fillId="4" borderId="0" xfId="0" applyFont="1" applyFill="1"/>
    <xf numFmtId="198" fontId="41" fillId="4" borderId="0" xfId="316" applyNumberFormat="1" applyFont="1" applyFill="1"/>
    <xf numFmtId="198" fontId="39" fillId="4" borderId="0" xfId="316" applyNumberFormat="1" applyFont="1" applyFill="1" applyAlignment="1">
      <alignment horizontal="left" indent="1"/>
    </xf>
    <xf numFmtId="172" fontId="38" fillId="4" borderId="5" xfId="1" applyNumberFormat="1" applyFont="1" applyFill="1" applyBorder="1"/>
    <xf numFmtId="172" fontId="38" fillId="4" borderId="0" xfId="1" applyNumberFormat="1" applyFont="1" applyFill="1" applyBorder="1"/>
    <xf numFmtId="172" fontId="38" fillId="4" borderId="2" xfId="1" applyNumberFormat="1" applyFont="1" applyFill="1" applyBorder="1"/>
    <xf numFmtId="0" fontId="38" fillId="4" borderId="0" xfId="0" applyFont="1" applyFill="1" applyAlignment="1">
      <alignment vertical="center"/>
    </xf>
    <xf numFmtId="0" fontId="38" fillId="4" borderId="5" xfId="0" applyFont="1" applyFill="1" applyBorder="1" applyAlignment="1">
      <alignment horizontal="center" vertical="center"/>
    </xf>
    <xf numFmtId="0" fontId="41" fillId="4" borderId="0" xfId="580" applyFont="1" applyFill="1" applyAlignment="1">
      <alignment horizontal="center"/>
    </xf>
    <xf numFmtId="0" fontId="42" fillId="4" borderId="0" xfId="319" applyFont="1" applyFill="1" applyBorder="1" applyAlignment="1">
      <alignment horizontal="center" vertical="center"/>
    </xf>
    <xf numFmtId="0" fontId="38" fillId="4" borderId="0" xfId="319" applyFont="1" applyFill="1" applyAlignment="1">
      <alignment vertical="center"/>
    </xf>
    <xf numFmtId="0" fontId="39" fillId="4" borderId="5" xfId="319" quotePrefix="1" applyNumberFormat="1" applyFont="1" applyFill="1" applyBorder="1" applyAlignment="1">
      <alignment horizontal="center" vertical="center"/>
    </xf>
    <xf numFmtId="0" fontId="38" fillId="4" borderId="0" xfId="0" applyFont="1" applyFill="1" applyAlignment="1">
      <alignment vertical="top"/>
    </xf>
    <xf numFmtId="0" fontId="41" fillId="4" borderId="0" xfId="580" applyFont="1" applyFill="1" applyBorder="1" applyAlignment="1">
      <alignment horizontal="center"/>
    </xf>
    <xf numFmtId="0" fontId="39" fillId="4" borderId="0" xfId="580" applyFont="1" applyFill="1"/>
    <xf numFmtId="0" fontId="39" fillId="4" borderId="0" xfId="580" applyFont="1" applyFill="1" applyAlignment="1">
      <alignment horizontal="center"/>
    </xf>
    <xf numFmtId="183" fontId="39" fillId="4" borderId="0" xfId="1" applyNumberFormat="1" applyFont="1" applyFill="1" applyAlignment="1"/>
    <xf numFmtId="183" fontId="38" fillId="4" borderId="0" xfId="1" applyNumberFormat="1" applyFont="1" applyFill="1" applyAlignment="1"/>
    <xf numFmtId="183" fontId="39" fillId="4" borderId="0" xfId="1" applyNumberFormat="1" applyFont="1" applyFill="1" applyAlignment="1">
      <alignment vertical="top"/>
    </xf>
    <xf numFmtId="183" fontId="38" fillId="4" borderId="0" xfId="0" applyNumberFormat="1" applyFont="1" applyFill="1" applyAlignment="1">
      <alignment vertical="top"/>
    </xf>
    <xf numFmtId="0" fontId="38" fillId="4" borderId="0" xfId="580" applyFont="1" applyFill="1"/>
    <xf numFmtId="37" fontId="39" fillId="4" borderId="5" xfId="1" applyNumberFormat="1" applyFont="1" applyFill="1" applyBorder="1" applyAlignment="1">
      <alignment vertical="top"/>
    </xf>
    <xf numFmtId="183" fontId="38" fillId="4" borderId="0" xfId="1" applyNumberFormat="1" applyFont="1" applyFill="1" applyBorder="1" applyAlignment="1"/>
    <xf numFmtId="183" fontId="38" fillId="4" borderId="0" xfId="1" applyNumberFormat="1" applyFont="1" applyFill="1"/>
    <xf numFmtId="37" fontId="39" fillId="4" borderId="5" xfId="1" applyNumberFormat="1" applyFont="1" applyFill="1" applyBorder="1"/>
    <xf numFmtId="37" fontId="39" fillId="4" borderId="0" xfId="1" applyNumberFormat="1" applyFont="1" applyFill="1" applyBorder="1"/>
    <xf numFmtId="183" fontId="39" fillId="4" borderId="0" xfId="1" applyNumberFormat="1" applyFont="1" applyFill="1" applyBorder="1"/>
    <xf numFmtId="183" fontId="38" fillId="4" borderId="4" xfId="1" applyNumberFormat="1" applyFont="1" applyFill="1" applyBorder="1"/>
    <xf numFmtId="167" fontId="39" fillId="4" borderId="0" xfId="1" applyFont="1" applyFill="1" applyAlignment="1">
      <alignment vertical="top"/>
    </xf>
    <xf numFmtId="167" fontId="38" fillId="4" borderId="0" xfId="1" applyFont="1" applyFill="1" applyAlignment="1">
      <alignment vertical="top"/>
    </xf>
    <xf numFmtId="183" fontId="38" fillId="4" borderId="0" xfId="1" applyNumberFormat="1" applyFont="1" applyFill="1" applyBorder="1"/>
    <xf numFmtId="0" fontId="41" fillId="4" borderId="0" xfId="580" applyFont="1" applyFill="1"/>
    <xf numFmtId="37" fontId="39" fillId="4" borderId="2" xfId="1" applyNumberFormat="1" applyFont="1" applyFill="1" applyBorder="1"/>
    <xf numFmtId="183" fontId="41" fillId="4" borderId="0" xfId="1" applyNumberFormat="1" applyFont="1" applyFill="1" applyBorder="1"/>
    <xf numFmtId="172" fontId="38" fillId="0" borderId="5" xfId="1" applyNumberFormat="1" applyFont="1" applyFill="1" applyBorder="1"/>
    <xf numFmtId="172" fontId="38" fillId="4" borderId="1" xfId="1" applyNumberFormat="1" applyFont="1" applyFill="1" applyBorder="1"/>
    <xf numFmtId="172" fontId="2" fillId="3" borderId="0" xfId="1" applyNumberFormat="1" applyFont="1" applyFill="1" applyAlignment="1">
      <alignment vertical="center"/>
    </xf>
    <xf numFmtId="0" fontId="39" fillId="4" borderId="5" xfId="577" applyFont="1" applyFill="1" applyBorder="1" applyAlignment="1">
      <alignment horizontal="center"/>
    </xf>
    <xf numFmtId="172" fontId="38" fillId="4" borderId="0" xfId="0" applyNumberFormat="1" applyFont="1" applyFill="1"/>
    <xf numFmtId="0" fontId="39" fillId="0" borderId="0" xfId="577" applyFont="1" applyFill="1" applyAlignment="1">
      <alignment wrapText="1"/>
    </xf>
    <xf numFmtId="172" fontId="39" fillId="0" borderId="0" xfId="1" applyNumberFormat="1" applyFont="1" applyFill="1" applyBorder="1" applyAlignment="1">
      <alignment horizontal="right"/>
    </xf>
    <xf numFmtId="172" fontId="39" fillId="0" borderId="0" xfId="1" applyNumberFormat="1" applyFont="1" applyFill="1" applyAlignment="1"/>
    <xf numFmtId="0" fontId="40" fillId="0" borderId="0" xfId="577" applyFont="1" applyFill="1" applyAlignment="1"/>
    <xf numFmtId="3" fontId="38" fillId="0" borderId="0" xfId="0" applyNumberFormat="1" applyFont="1" applyFill="1" applyAlignment="1">
      <alignment horizontal="center" vertical="center"/>
    </xf>
    <xf numFmtId="3" fontId="38" fillId="0" borderId="0" xfId="0" applyNumberFormat="1" applyFont="1" applyFill="1"/>
    <xf numFmtId="0" fontId="38" fillId="0" borderId="0" xfId="0" applyFont="1" applyFill="1" applyAlignment="1">
      <alignment horizontal="left" indent="1"/>
    </xf>
    <xf numFmtId="172" fontId="38" fillId="0" borderId="0" xfId="1" applyNumberFormat="1" applyFont="1" applyFill="1"/>
    <xf numFmtId="172" fontId="38" fillId="0" borderId="26" xfId="1" applyNumberFormat="1" applyFont="1" applyFill="1" applyBorder="1"/>
    <xf numFmtId="3" fontId="38" fillId="0" borderId="0" xfId="0" applyNumberFormat="1" applyFont="1" applyFill="1" applyBorder="1"/>
    <xf numFmtId="3" fontId="38" fillId="0" borderId="26" xfId="0" applyNumberFormat="1" applyFont="1" applyFill="1" applyBorder="1"/>
    <xf numFmtId="172" fontId="38" fillId="0" borderId="0" xfId="1" applyNumberFormat="1" applyFont="1" applyFill="1" applyBorder="1"/>
    <xf numFmtId="167" fontId="38" fillId="0" borderId="5" xfId="1" applyFont="1" applyFill="1" applyBorder="1"/>
    <xf numFmtId="167" fontId="38" fillId="0" borderId="0" xfId="1" applyFont="1" applyFill="1"/>
    <xf numFmtId="3" fontId="38" fillId="0" borderId="5" xfId="0" applyNumberFormat="1" applyFont="1" applyFill="1" applyBorder="1"/>
    <xf numFmtId="3" fontId="38" fillId="0" borderId="4" xfId="0" applyNumberFormat="1" applyFont="1" applyFill="1" applyBorder="1"/>
    <xf numFmtId="3" fontId="38" fillId="0" borderId="1" xfId="0" applyNumberFormat="1" applyFont="1" applyFill="1" applyBorder="1"/>
    <xf numFmtId="0" fontId="39" fillId="0" borderId="0" xfId="0" applyFont="1" applyFill="1" applyAlignment="1">
      <alignment horizontal="center"/>
    </xf>
    <xf numFmtId="0" fontId="38" fillId="0" borderId="5" xfId="0" applyFont="1" applyFill="1" applyBorder="1" applyAlignment="1"/>
    <xf numFmtId="198" fontId="41" fillId="0" borderId="0" xfId="316" applyNumberFormat="1" applyFont="1" applyFill="1" applyAlignment="1">
      <alignment horizontal="center"/>
    </xf>
    <xf numFmtId="0" fontId="39" fillId="0" borderId="5" xfId="0" applyFont="1" applyFill="1" applyBorder="1" applyAlignment="1">
      <alignment horizontal="center"/>
    </xf>
    <xf numFmtId="172" fontId="38" fillId="0" borderId="5" xfId="579" applyNumberFormat="1" applyFont="1" applyFill="1" applyBorder="1" applyAlignment="1">
      <alignment horizontal="center" wrapText="1"/>
    </xf>
    <xf numFmtId="0" fontId="39" fillId="0" borderId="0" xfId="0" applyFont="1" applyFill="1" applyBorder="1"/>
    <xf numFmtId="198" fontId="39" fillId="0" borderId="0" xfId="316" applyNumberFormat="1" applyFont="1" applyFill="1"/>
    <xf numFmtId="198" fontId="41" fillId="0" borderId="0" xfId="316" applyNumberFormat="1" applyFont="1" applyFill="1"/>
    <xf numFmtId="198" fontId="39" fillId="0" borderId="0" xfId="316" applyNumberFormat="1" applyFont="1" applyFill="1" applyAlignment="1">
      <alignment horizontal="left" indent="1"/>
    </xf>
    <xf numFmtId="3" fontId="38" fillId="0" borderId="0" xfId="0" applyNumberFormat="1" applyFont="1" applyFill="1" applyAlignment="1">
      <alignment horizontal="center"/>
    </xf>
    <xf numFmtId="167" fontId="38" fillId="0" borderId="0" xfId="0" applyNumberFormat="1" applyFont="1" applyFill="1"/>
    <xf numFmtId="172" fontId="38" fillId="0" borderId="0" xfId="0" applyNumberFormat="1" applyFont="1" applyFill="1"/>
    <xf numFmtId="165" fontId="0" fillId="0" borderId="0" xfId="0" applyNumberFormat="1" applyFill="1"/>
    <xf numFmtId="167" fontId="0" fillId="0" borderId="0" xfId="1" applyFont="1" applyFill="1"/>
    <xf numFmtId="172" fontId="0" fillId="0" borderId="0" xfId="1" applyNumberFormat="1" applyFont="1" applyFill="1"/>
    <xf numFmtId="43" fontId="0" fillId="0" borderId="0" xfId="0" applyNumberFormat="1" applyFill="1"/>
    <xf numFmtId="0" fontId="39" fillId="0" borderId="0" xfId="580" applyFont="1" applyFill="1"/>
    <xf numFmtId="0" fontId="39" fillId="0" borderId="0" xfId="580" applyFont="1" applyFill="1" applyAlignment="1">
      <alignment horizontal="center"/>
    </xf>
    <xf numFmtId="0" fontId="38" fillId="0" borderId="0" xfId="580" applyFont="1" applyFill="1"/>
    <xf numFmtId="37" fontId="39" fillId="0" borderId="0" xfId="1" applyNumberFormat="1" applyFont="1" applyFill="1" applyAlignment="1">
      <alignment vertical="top"/>
    </xf>
    <xf numFmtId="183" fontId="38" fillId="0" borderId="0" xfId="1" applyNumberFormat="1" applyFont="1" applyFill="1" applyBorder="1" applyAlignment="1"/>
    <xf numFmtId="183" fontId="39" fillId="0" borderId="0" xfId="1" applyNumberFormat="1" applyFont="1" applyFill="1" applyAlignment="1">
      <alignment vertical="top"/>
    </xf>
    <xf numFmtId="37" fontId="38" fillId="0" borderId="0" xfId="0" applyNumberFormat="1" applyFont="1" applyFill="1" applyAlignment="1">
      <alignment vertical="top"/>
    </xf>
    <xf numFmtId="37" fontId="39" fillId="0" borderId="5" xfId="1" applyNumberFormat="1" applyFont="1" applyFill="1" applyBorder="1" applyAlignment="1">
      <alignment vertical="top"/>
    </xf>
    <xf numFmtId="0" fontId="38" fillId="0" borderId="0" xfId="0" applyFont="1" applyFill="1" applyAlignment="1">
      <alignment vertical="top"/>
    </xf>
    <xf numFmtId="172" fontId="2" fillId="2" borderId="0" xfId="1" applyNumberFormat="1" applyFont="1" applyFill="1"/>
    <xf numFmtId="172" fontId="4" fillId="0" borderId="2" xfId="1" applyNumberFormat="1" applyFont="1" applyFill="1" applyBorder="1" applyAlignment="1">
      <alignment vertical="center"/>
    </xf>
    <xf numFmtId="172" fontId="4" fillId="0" borderId="0" xfId="1" applyNumberFormat="1" applyFont="1" applyFill="1" applyBorder="1" applyAlignment="1">
      <alignment vertical="center"/>
    </xf>
    <xf numFmtId="172" fontId="2" fillId="0" borderId="28" xfId="1" applyNumberFormat="1" applyFont="1" applyFill="1" applyBorder="1" applyAlignment="1">
      <alignment vertical="center"/>
    </xf>
    <xf numFmtId="0" fontId="0" fillId="0" borderId="9" xfId="0" applyFill="1" applyBorder="1"/>
    <xf numFmtId="172" fontId="2" fillId="0" borderId="27" xfId="1" applyNumberFormat="1" applyFont="1" applyFill="1" applyBorder="1" applyAlignment="1">
      <alignment vertical="center"/>
    </xf>
    <xf numFmtId="167" fontId="2" fillId="2" borderId="8" xfId="559" applyFont="1" applyFill="1" applyBorder="1" applyAlignment="1">
      <alignment horizontal="center"/>
    </xf>
    <xf numFmtId="173" fontId="2" fillId="2" borderId="9" xfId="559" applyNumberFormat="1" applyFont="1" applyFill="1" applyBorder="1" applyAlignment="1">
      <alignment horizontal="center"/>
    </xf>
    <xf numFmtId="173" fontId="2" fillId="2" borderId="10" xfId="559" applyNumberFormat="1" applyFont="1" applyFill="1" applyBorder="1" applyAlignment="1">
      <alignment horizontal="center"/>
    </xf>
    <xf numFmtId="183" fontId="2" fillId="2" borderId="8" xfId="559" applyNumberFormat="1" applyFont="1" applyFill="1" applyBorder="1" applyAlignment="1">
      <alignment horizontal="center"/>
    </xf>
    <xf numFmtId="172" fontId="2" fillId="2" borderId="9" xfId="559" applyNumberFormat="1" applyFont="1" applyFill="1" applyBorder="1" applyAlignment="1">
      <alignment horizontal="center"/>
    </xf>
    <xf numFmtId="173" fontId="2" fillId="2" borderId="27" xfId="559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 vertical="center" indent="5"/>
    </xf>
    <xf numFmtId="172" fontId="2" fillId="0" borderId="27" xfId="1" applyNumberFormat="1" applyFont="1" applyBorder="1" applyAlignment="1">
      <alignment vertical="center"/>
    </xf>
    <xf numFmtId="0" fontId="0" fillId="0" borderId="27" xfId="0" applyFill="1" applyBorder="1"/>
    <xf numFmtId="0" fontId="2" fillId="0" borderId="27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9" fontId="6" fillId="0" borderId="0" xfId="3" applyFont="1" applyFill="1" applyAlignment="1">
      <alignment horizontal="left" vertical="center"/>
    </xf>
    <xf numFmtId="9" fontId="5" fillId="0" borderId="0" xfId="3" applyFont="1" applyFill="1" applyAlignment="1">
      <alignment horizontal="right" vertical="center"/>
    </xf>
    <xf numFmtId="165" fontId="5" fillId="0" borderId="0" xfId="3" applyNumberFormat="1" applyFont="1" applyFill="1" applyAlignment="1">
      <alignment horizontal="right" vertical="center"/>
    </xf>
    <xf numFmtId="0" fontId="6" fillId="0" borderId="0" xfId="5" applyFont="1" applyFill="1" applyAlignment="1">
      <alignment vertical="center"/>
    </xf>
    <xf numFmtId="0" fontId="5" fillId="0" borderId="0" xfId="6" applyFont="1" applyFill="1" applyBorder="1" applyAlignment="1">
      <alignment vertical="center"/>
    </xf>
    <xf numFmtId="172" fontId="0" fillId="0" borderId="0" xfId="0" applyNumberFormat="1" applyFill="1"/>
    <xf numFmtId="0" fontId="7" fillId="0" borderId="8" xfId="7" applyFont="1" applyFill="1" applyBorder="1" applyAlignment="1">
      <alignment horizontal="center" vertical="center" wrapText="1"/>
    </xf>
    <xf numFmtId="173" fontId="6" fillId="0" borderId="8" xfId="4" applyNumberFormat="1" applyFont="1" applyFill="1" applyBorder="1" applyAlignment="1">
      <alignment horizontal="center" vertical="center" wrapText="1"/>
    </xf>
    <xf numFmtId="165" fontId="43" fillId="0" borderId="3" xfId="4" applyNumberFormat="1" applyFont="1" applyFill="1" applyBorder="1" applyAlignment="1">
      <alignment vertical="center"/>
    </xf>
    <xf numFmtId="172" fontId="9" fillId="0" borderId="0" xfId="1" applyNumberFormat="1" applyFont="1" applyFill="1" applyBorder="1" applyAlignment="1">
      <alignment vertical="center"/>
    </xf>
    <xf numFmtId="0" fontId="26" fillId="0" borderId="0" xfId="0" applyFont="1" applyFill="1"/>
    <xf numFmtId="165" fontId="26" fillId="0" borderId="0" xfId="0" applyNumberFormat="1" applyFont="1" applyFill="1"/>
    <xf numFmtId="0" fontId="34" fillId="0" borderId="0" xfId="0" applyFont="1" applyFill="1"/>
    <xf numFmtId="167" fontId="0" fillId="0" borderId="0" xfId="0" applyNumberFormat="1" applyFill="1"/>
    <xf numFmtId="165" fontId="0" fillId="0" borderId="5" xfId="0" applyNumberFormat="1" applyFont="1" applyFill="1" applyBorder="1"/>
    <xf numFmtId="167" fontId="0" fillId="0" borderId="0" xfId="1" applyNumberFormat="1" applyFont="1" applyFill="1"/>
    <xf numFmtId="172" fontId="2" fillId="0" borderId="24" xfId="1" applyNumberFormat="1" applyFont="1" applyFill="1" applyBorder="1" applyAlignment="1">
      <alignment vertical="center"/>
    </xf>
    <xf numFmtId="0" fontId="2" fillId="0" borderId="25" xfId="0" applyFont="1" applyFill="1" applyBorder="1" applyAlignment="1">
      <alignment horizontal="left" indent="2"/>
    </xf>
    <xf numFmtId="167" fontId="2" fillId="2" borderId="9" xfId="559" applyNumberFormat="1" applyFont="1" applyFill="1" applyBorder="1" applyAlignment="1">
      <alignment horizontal="center"/>
    </xf>
    <xf numFmtId="172" fontId="28" fillId="0" borderId="3" xfId="1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/>
    <xf numFmtId="0" fontId="2" fillId="0" borderId="24" xfId="0" applyFont="1" applyFill="1" applyBorder="1" applyAlignment="1"/>
    <xf numFmtId="0" fontId="2" fillId="0" borderId="27" xfId="0" applyFont="1" applyFill="1" applyBorder="1" applyAlignment="1"/>
    <xf numFmtId="0" fontId="2" fillId="0" borderId="28" xfId="0" applyFont="1" applyFill="1" applyBorder="1" applyAlignment="1"/>
    <xf numFmtId="0" fontId="2" fillId="0" borderId="21" xfId="0" applyFont="1" applyFill="1" applyBorder="1" applyAlignment="1">
      <alignment horizontal="left"/>
    </xf>
    <xf numFmtId="0" fontId="28" fillId="0" borderId="0" xfId="0" applyFont="1" applyFill="1"/>
    <xf numFmtId="0" fontId="2" fillId="0" borderId="27" xfId="0" applyFont="1" applyFill="1" applyBorder="1" applyAlignment="1">
      <alignment horizontal="left" indent="2"/>
    </xf>
    <xf numFmtId="172" fontId="2" fillId="0" borderId="10" xfId="1" applyNumberFormat="1" applyFont="1" applyFill="1" applyBorder="1"/>
    <xf numFmtId="172" fontId="2" fillId="0" borderId="8" xfId="559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73" fontId="2" fillId="0" borderId="0" xfId="559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indent="2"/>
    </xf>
    <xf numFmtId="172" fontId="2" fillId="2" borderId="5" xfId="1" applyNumberFormat="1" applyFont="1" applyFill="1" applyBorder="1" applyAlignment="1">
      <alignment vertical="center"/>
    </xf>
    <xf numFmtId="172" fontId="0" fillId="2" borderId="0" xfId="0" applyNumberFormat="1" applyFill="1"/>
    <xf numFmtId="172" fontId="2" fillId="2" borderId="0" xfId="1" applyNumberFormat="1" applyFont="1" applyFill="1" applyAlignment="1">
      <alignment horizontal="right"/>
    </xf>
    <xf numFmtId="172" fontId="2" fillId="2" borderId="8" xfId="1" applyNumberFormat="1" applyFont="1" applyFill="1" applyBorder="1" applyAlignment="1">
      <alignment horizontal="center"/>
    </xf>
    <xf numFmtId="172" fontId="2" fillId="2" borderId="10" xfId="1" applyNumberFormat="1" applyFont="1" applyFill="1" applyBorder="1" applyAlignment="1">
      <alignment horizontal="center"/>
    </xf>
    <xf numFmtId="167" fontId="27" fillId="0" borderId="0" xfId="3" applyNumberFormat="1" applyFont="1" applyFill="1" applyAlignment="1">
      <alignment horizontal="left" vertical="center"/>
    </xf>
    <xf numFmtId="167" fontId="5" fillId="0" borderId="3" xfId="4" applyNumberFormat="1" applyFont="1" applyFill="1" applyBorder="1" applyAlignment="1">
      <alignment vertical="center"/>
    </xf>
    <xf numFmtId="165" fontId="5" fillId="2" borderId="3" xfId="4" applyNumberFormat="1" applyFont="1" applyFill="1" applyBorder="1" applyAlignment="1">
      <alignment vertical="center"/>
    </xf>
    <xf numFmtId="0" fontId="5" fillId="2" borderId="3" xfId="7" applyFont="1" applyFill="1" applyBorder="1" applyAlignment="1">
      <alignment horizontal="left" vertical="center" wrapText="1"/>
    </xf>
    <xf numFmtId="165" fontId="5" fillId="2" borderId="3" xfId="7" applyNumberFormat="1" applyFont="1" applyFill="1" applyBorder="1" applyAlignment="1">
      <alignment horizontal="left" vertical="center" wrapText="1"/>
    </xf>
    <xf numFmtId="165" fontId="3" fillId="2" borderId="3" xfId="568" applyNumberFormat="1" applyFont="1" applyFill="1" applyBorder="1" applyAlignment="1"/>
    <xf numFmtId="165" fontId="21" fillId="2" borderId="3" xfId="4" applyNumberFormat="1" applyFont="1" applyFill="1" applyBorder="1" applyAlignment="1">
      <alignment horizontal="center" vertical="center"/>
    </xf>
    <xf numFmtId="0" fontId="0" fillId="2" borderId="0" xfId="0" applyFill="1"/>
    <xf numFmtId="165" fontId="0" fillId="2" borderId="0" xfId="0" applyNumberFormat="1" applyFill="1"/>
    <xf numFmtId="165" fontId="5" fillId="2" borderId="8" xfId="4" applyNumberFormat="1" applyFont="1" applyFill="1" applyBorder="1" applyAlignment="1">
      <alignment vertical="center"/>
    </xf>
    <xf numFmtId="165" fontId="5" fillId="5" borderId="3" xfId="4" applyNumberFormat="1" applyFont="1" applyFill="1" applyBorder="1" applyAlignment="1">
      <alignment vertical="center"/>
    </xf>
    <xf numFmtId="165" fontId="5" fillId="5" borderId="8" xfId="4" applyNumberFormat="1" applyFont="1" applyFill="1" applyBorder="1" applyAlignment="1">
      <alignment vertical="center"/>
    </xf>
    <xf numFmtId="165" fontId="5" fillId="6" borderId="3" xfId="4" applyNumberFormat="1" applyFont="1" applyFill="1" applyBorder="1" applyAlignment="1">
      <alignment vertical="center"/>
    </xf>
    <xf numFmtId="165" fontId="5" fillId="7" borderId="3" xfId="4" applyNumberFormat="1" applyFont="1" applyFill="1" applyBorder="1" applyAlignment="1">
      <alignment vertical="center"/>
    </xf>
    <xf numFmtId="0" fontId="5" fillId="6" borderId="3" xfId="7" applyFont="1" applyFill="1" applyBorder="1" applyAlignment="1">
      <alignment horizontal="left" vertical="center" wrapText="1"/>
    </xf>
    <xf numFmtId="165" fontId="5" fillId="6" borderId="3" xfId="7" applyNumberFormat="1" applyFont="1" applyFill="1" applyBorder="1" applyAlignment="1">
      <alignment horizontal="left" vertical="center" wrapText="1"/>
    </xf>
    <xf numFmtId="165" fontId="3" fillId="6" borderId="3" xfId="568" applyNumberFormat="1" applyFont="1" applyFill="1" applyBorder="1" applyAlignment="1"/>
    <xf numFmtId="165" fontId="21" fillId="6" borderId="3" xfId="4" applyNumberFormat="1" applyFont="1" applyFill="1" applyBorder="1" applyAlignment="1">
      <alignment horizontal="center" vertical="center"/>
    </xf>
    <xf numFmtId="0" fontId="0" fillId="6" borderId="0" xfId="0" applyFill="1"/>
    <xf numFmtId="0" fontId="44" fillId="0" borderId="0" xfId="0" applyFont="1" applyFill="1"/>
    <xf numFmtId="0" fontId="46" fillId="0" borderId="0" xfId="450" applyNumberFormat="1" applyFont="1" applyFill="1" applyBorder="1" applyAlignment="1" applyProtection="1"/>
    <xf numFmtId="0" fontId="47" fillId="0" borderId="0" xfId="0" applyFont="1" applyFill="1"/>
    <xf numFmtId="1" fontId="48" fillId="0" borderId="0" xfId="450" applyNumberFormat="1" applyFont="1" applyFill="1" applyBorder="1" applyAlignment="1" applyProtection="1">
      <alignment horizontal="center"/>
    </xf>
    <xf numFmtId="0" fontId="49" fillId="0" borderId="0" xfId="450" applyNumberFormat="1" applyFont="1" applyFill="1" applyBorder="1" applyAlignment="1" applyProtection="1"/>
    <xf numFmtId="172" fontId="50" fillId="0" borderId="0" xfId="148" applyNumberFormat="1" applyFont="1" applyFill="1" applyBorder="1"/>
    <xf numFmtId="0" fontId="51" fillId="0" borderId="0" xfId="450" applyNumberFormat="1" applyFont="1" applyFill="1" applyBorder="1" applyAlignment="1" applyProtection="1">
      <alignment horizontal="left" vertical="center" wrapText="1"/>
    </xf>
    <xf numFmtId="0" fontId="51" fillId="0" borderId="0" xfId="450" applyNumberFormat="1" applyFont="1" applyFill="1" applyBorder="1" applyAlignment="1" applyProtection="1">
      <alignment horizontal="left" vertical="center" wrapText="1" indent="1"/>
    </xf>
    <xf numFmtId="165" fontId="51" fillId="0" borderId="0" xfId="450" applyNumberFormat="1" applyFont="1" applyFill="1" applyBorder="1" applyAlignment="1" applyProtection="1">
      <alignment horizontal="right" vertical="center" wrapText="1"/>
    </xf>
    <xf numFmtId="172" fontId="50" fillId="0" borderId="5" xfId="148" applyNumberFormat="1" applyFont="1" applyFill="1" applyBorder="1"/>
    <xf numFmtId="0" fontId="51" fillId="0" borderId="0" xfId="450" applyNumberFormat="1" applyFont="1" applyFill="1" applyBorder="1" applyAlignment="1" applyProtection="1">
      <alignment horizontal="justify" vertical="center" wrapText="1"/>
    </xf>
    <xf numFmtId="165" fontId="51" fillId="0" borderId="4" xfId="450" applyNumberFormat="1" applyFont="1" applyFill="1" applyBorder="1" applyAlignment="1" applyProtection="1">
      <alignment horizontal="right" vertical="center" wrapText="1"/>
    </xf>
    <xf numFmtId="165" fontId="46" fillId="0" borderId="0" xfId="450" applyNumberFormat="1" applyFont="1" applyFill="1" applyBorder="1" applyAlignment="1" applyProtection="1"/>
    <xf numFmtId="167" fontId="51" fillId="0" borderId="0" xfId="1" applyFont="1" applyFill="1" applyBorder="1" applyAlignment="1" applyProtection="1">
      <alignment horizontal="right" vertical="center"/>
    </xf>
    <xf numFmtId="0" fontId="51" fillId="0" borderId="0" xfId="450" applyNumberFormat="1" applyFont="1" applyFill="1" applyBorder="1" applyAlignment="1" applyProtection="1">
      <alignment horizontal="justify" vertical="center"/>
    </xf>
    <xf numFmtId="165" fontId="51" fillId="0" borderId="1" xfId="450" applyNumberFormat="1" applyFont="1" applyFill="1" applyBorder="1" applyAlignment="1" applyProtection="1">
      <alignment horizontal="right" vertical="center" wrapText="1"/>
    </xf>
    <xf numFmtId="165" fontId="47" fillId="0" borderId="0" xfId="0" applyNumberFormat="1" applyFont="1" applyFill="1"/>
    <xf numFmtId="202" fontId="59" fillId="0" borderId="0" xfId="0" applyNumberFormat="1" applyFont="1" applyFill="1" applyAlignment="1">
      <alignment horizontal="center"/>
    </xf>
    <xf numFmtId="201" fontId="45" fillId="0" borderId="0" xfId="0" applyNumberFormat="1" applyFont="1" applyFill="1" applyAlignment="1">
      <alignment horizontal="center"/>
    </xf>
    <xf numFmtId="0" fontId="60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4" fillId="0" borderId="0" xfId="0" applyFont="1" applyFill="1" applyBorder="1" applyAlignment="1">
      <alignment horizontal="center"/>
    </xf>
    <xf numFmtId="202" fontId="59" fillId="0" borderId="0" xfId="0" applyNumberFormat="1" applyFont="1" applyFill="1" applyAlignment="1"/>
    <xf numFmtId="0" fontId="44" fillId="0" borderId="0" xfId="0" applyFont="1" applyFill="1" applyAlignment="1"/>
    <xf numFmtId="0" fontId="44" fillId="0" borderId="0" xfId="0" applyFont="1" applyFill="1" applyBorder="1" applyAlignment="1"/>
    <xf numFmtId="202" fontId="45" fillId="0" borderId="0" xfId="0" applyNumberFormat="1" applyFont="1" applyFill="1" applyAlignment="1"/>
    <xf numFmtId="172" fontId="45" fillId="0" borderId="0" xfId="146" applyNumberFormat="1" applyFont="1" applyFill="1" applyBorder="1" applyAlignment="1">
      <alignment horizontal="center"/>
    </xf>
    <xf numFmtId="172" fontId="45" fillId="0" borderId="0" xfId="146" applyNumberFormat="1" applyFont="1" applyFill="1" applyBorder="1" applyAlignment="1"/>
    <xf numFmtId="167" fontId="0" fillId="0" borderId="0" xfId="0" applyNumberFormat="1" applyAlignment="1"/>
    <xf numFmtId="202" fontId="45" fillId="0" borderId="0" xfId="0" applyNumberFormat="1" applyFont="1" applyFill="1" applyBorder="1" applyAlignment="1"/>
    <xf numFmtId="172" fontId="45" fillId="0" borderId="5" xfId="146" applyNumberFormat="1" applyFont="1" applyFill="1" applyBorder="1" applyAlignment="1">
      <alignment horizontal="center"/>
    </xf>
    <xf numFmtId="202" fontId="59" fillId="0" borderId="0" xfId="0" applyNumberFormat="1" applyFont="1" applyFill="1" applyBorder="1" applyAlignment="1"/>
    <xf numFmtId="172" fontId="45" fillId="0" borderId="5" xfId="146" applyNumberFormat="1" applyFont="1" applyFill="1" applyBorder="1" applyAlignment="1"/>
    <xf numFmtId="0" fontId="45" fillId="0" borderId="0" xfId="0" applyFont="1" applyFill="1" applyAlignment="1">
      <alignment horizontal="left" wrapText="1"/>
    </xf>
    <xf numFmtId="172" fontId="45" fillId="0" borderId="0" xfId="146" applyNumberFormat="1" applyFont="1" applyFill="1" applyAlignment="1">
      <alignment horizontal="center"/>
    </xf>
    <xf numFmtId="0" fontId="45" fillId="0" borderId="0" xfId="0" applyFont="1" applyFill="1" applyAlignment="1"/>
    <xf numFmtId="172" fontId="45" fillId="0" borderId="26" xfId="146" applyNumberFormat="1" applyFont="1" applyFill="1" applyBorder="1" applyAlignment="1"/>
    <xf numFmtId="183" fontId="44" fillId="0" borderId="0" xfId="1" applyNumberFormat="1" applyFont="1" applyFill="1" applyAlignment="1"/>
    <xf numFmtId="14" fontId="44" fillId="0" borderId="0" xfId="146" applyFont="1" applyFill="1" applyAlignment="1"/>
    <xf numFmtId="183" fontId="3" fillId="0" borderId="0" xfId="1" applyNumberFormat="1" applyFont="1" applyAlignment="1"/>
    <xf numFmtId="183" fontId="44" fillId="0" borderId="0" xfId="0" applyNumberFormat="1" applyFont="1" applyFill="1" applyAlignment="1"/>
    <xf numFmtId="172" fontId="44" fillId="0" borderId="2" xfId="0" applyNumberFormat="1" applyFont="1" applyFill="1" applyBorder="1" applyAlignment="1"/>
    <xf numFmtId="167" fontId="45" fillId="0" borderId="0" xfId="146" applyNumberFormat="1" applyFont="1" applyFill="1" applyBorder="1" applyAlignment="1"/>
    <xf numFmtId="2" fontId="44" fillId="0" borderId="0" xfId="0" applyNumberFormat="1" applyFont="1" applyFill="1" applyAlignment="1"/>
    <xf numFmtId="183" fontId="44" fillId="0" borderId="5" xfId="1" applyNumberFormat="1" applyFont="1" applyFill="1" applyBorder="1" applyAlignment="1"/>
    <xf numFmtId="167" fontId="47" fillId="0" borderId="0" xfId="1" applyFont="1" applyFill="1"/>
    <xf numFmtId="9" fontId="61" fillId="0" borderId="0" xfId="3" applyFont="1" applyFill="1" applyAlignment="1">
      <alignment horizontal="left" vertical="center"/>
    </xf>
    <xf numFmtId="0" fontId="62" fillId="0" borderId="0" xfId="0" applyFont="1" applyFill="1"/>
    <xf numFmtId="165" fontId="62" fillId="0" borderId="0" xfId="0" applyNumberFormat="1" applyFont="1" applyFill="1"/>
    <xf numFmtId="0" fontId="61" fillId="0" borderId="0" xfId="5" applyFont="1" applyFill="1" applyAlignment="1">
      <alignment vertical="center"/>
    </xf>
    <xf numFmtId="172" fontId="62" fillId="0" borderId="0" xfId="1" applyNumberFormat="1" applyFont="1" applyFill="1"/>
    <xf numFmtId="0" fontId="63" fillId="0" borderId="0" xfId="6" applyFont="1" applyFill="1" applyBorder="1" applyAlignment="1">
      <alignment vertical="center"/>
    </xf>
    <xf numFmtId="0" fontId="63" fillId="0" borderId="3" xfId="7" applyFont="1" applyFill="1" applyBorder="1" applyAlignment="1">
      <alignment horizontal="left" vertical="center" wrapText="1"/>
    </xf>
    <xf numFmtId="165" fontId="63" fillId="0" borderId="3" xfId="4" applyNumberFormat="1" applyFont="1" applyFill="1" applyBorder="1" applyAlignment="1">
      <alignment vertical="center"/>
    </xf>
    <xf numFmtId="165" fontId="64" fillId="0" borderId="3" xfId="568" applyNumberFormat="1" applyFont="1" applyFill="1" applyBorder="1" applyAlignment="1"/>
    <xf numFmtId="165" fontId="65" fillId="0" borderId="3" xfId="4" applyNumberFormat="1" applyFont="1" applyFill="1" applyBorder="1" applyAlignment="1">
      <alignment horizontal="center" vertical="center"/>
    </xf>
    <xf numFmtId="165" fontId="63" fillId="6" borderId="3" xfId="4" applyNumberFormat="1" applyFont="1" applyFill="1" applyBorder="1" applyAlignment="1">
      <alignment vertical="center"/>
    </xf>
    <xf numFmtId="165" fontId="66" fillId="0" borderId="3" xfId="4" applyNumberFormat="1" applyFont="1" applyFill="1" applyBorder="1" applyAlignment="1">
      <alignment vertical="center"/>
    </xf>
    <xf numFmtId="165" fontId="63" fillId="0" borderId="8" xfId="4" applyNumberFormat="1" applyFont="1" applyFill="1" applyBorder="1" applyAlignment="1">
      <alignment vertical="center"/>
    </xf>
    <xf numFmtId="165" fontId="63" fillId="0" borderId="22" xfId="4" applyNumberFormat="1" applyFont="1" applyFill="1" applyBorder="1" applyAlignment="1">
      <alignment vertical="center"/>
    </xf>
    <xf numFmtId="165" fontId="64" fillId="0" borderId="22" xfId="568" applyNumberFormat="1" applyFont="1" applyFill="1" applyBorder="1" applyAlignment="1"/>
    <xf numFmtId="0" fontId="61" fillId="0" borderId="3" xfId="7" applyFont="1" applyFill="1" applyBorder="1" applyAlignment="1">
      <alignment horizontal="left" vertical="center" wrapText="1"/>
    </xf>
    <xf numFmtId="165" fontId="61" fillId="0" borderId="3" xfId="4" applyNumberFormat="1" applyFont="1" applyFill="1" applyBorder="1" applyAlignment="1">
      <alignment vertical="center"/>
    </xf>
    <xf numFmtId="172" fontId="63" fillId="0" borderId="3" xfId="1" applyNumberFormat="1" applyFont="1" applyFill="1" applyBorder="1" applyAlignment="1">
      <alignment wrapText="1"/>
    </xf>
    <xf numFmtId="167" fontId="62" fillId="0" borderId="0" xfId="1" applyFont="1" applyFill="1"/>
    <xf numFmtId="43" fontId="62" fillId="0" borderId="0" xfId="0" applyNumberFormat="1" applyFont="1" applyFill="1"/>
    <xf numFmtId="165" fontId="63" fillId="0" borderId="3" xfId="3" applyNumberFormat="1" applyFont="1" applyFill="1" applyBorder="1" applyAlignment="1">
      <alignment horizontal="right" vertical="center"/>
    </xf>
    <xf numFmtId="165" fontId="65" fillId="0" borderId="3" xfId="3" applyNumberFormat="1" applyFont="1" applyFill="1" applyBorder="1" applyAlignment="1">
      <alignment horizontal="center" vertical="center"/>
    </xf>
    <xf numFmtId="165" fontId="63" fillId="0" borderId="22" xfId="3" applyNumberFormat="1" applyFont="1" applyFill="1" applyBorder="1" applyAlignment="1">
      <alignment horizontal="right" vertical="center"/>
    </xf>
    <xf numFmtId="165" fontId="61" fillId="0" borderId="10" xfId="3" applyNumberFormat="1" applyFont="1" applyFill="1" applyBorder="1" applyAlignment="1">
      <alignment horizontal="right" vertical="center"/>
    </xf>
    <xf numFmtId="0" fontId="67" fillId="0" borderId="3" xfId="7" applyFont="1" applyFill="1" applyBorder="1" applyAlignment="1">
      <alignment horizontal="left" vertical="center" wrapText="1"/>
    </xf>
    <xf numFmtId="0" fontId="63" fillId="0" borderId="3" xfId="7" applyFont="1" applyFill="1" applyBorder="1" applyAlignment="1">
      <alignment horizontal="left" vertical="center"/>
    </xf>
    <xf numFmtId="0" fontId="61" fillId="0" borderId="0" xfId="7" applyFont="1" applyFill="1" applyBorder="1" applyAlignment="1">
      <alignment horizontal="left" vertical="center" wrapText="1"/>
    </xf>
    <xf numFmtId="165" fontId="61" fillId="0" borderId="0" xfId="4" applyNumberFormat="1" applyFont="1" applyFill="1" applyBorder="1" applyAlignment="1">
      <alignment vertical="center"/>
    </xf>
    <xf numFmtId="172" fontId="61" fillId="0" borderId="0" xfId="1" applyNumberFormat="1" applyFont="1" applyFill="1" applyBorder="1" applyAlignment="1">
      <alignment vertical="center"/>
    </xf>
    <xf numFmtId="165" fontId="65" fillId="0" borderId="0" xfId="4" applyNumberFormat="1" applyFont="1" applyFill="1" applyBorder="1" applyAlignment="1">
      <alignment horizontal="center" vertical="center"/>
    </xf>
    <xf numFmtId="0" fontId="68" fillId="0" borderId="0" xfId="7" applyFont="1" applyFill="1" applyAlignment="1">
      <alignment horizontal="left" vertical="center"/>
    </xf>
    <xf numFmtId="0" fontId="63" fillId="0" borderId="0" xfId="7" applyFont="1" applyFill="1" applyBorder="1" applyAlignment="1">
      <alignment horizontal="left" vertical="center"/>
    </xf>
    <xf numFmtId="165" fontId="63" fillId="0" borderId="0" xfId="3" applyNumberFormat="1" applyFont="1" applyFill="1" applyAlignment="1">
      <alignment horizontal="right" vertical="center"/>
    </xf>
    <xf numFmtId="0" fontId="69" fillId="0" borderId="0" xfId="0" applyFont="1" applyFill="1"/>
    <xf numFmtId="172" fontId="62" fillId="0" borderId="0" xfId="0" applyNumberFormat="1" applyFont="1" applyFill="1"/>
    <xf numFmtId="167" fontId="62" fillId="0" borderId="0" xfId="1" applyNumberFormat="1" applyFont="1" applyFill="1"/>
    <xf numFmtId="0" fontId="70" fillId="8" borderId="8" xfId="7" applyFont="1" applyFill="1" applyBorder="1" applyAlignment="1">
      <alignment horizontal="center" vertical="center" wrapText="1"/>
    </xf>
    <xf numFmtId="173" fontId="70" fillId="8" borderId="8" xfId="4" applyNumberFormat="1" applyFont="1" applyFill="1" applyBorder="1" applyAlignment="1">
      <alignment horizontal="center" vertical="center" wrapText="1"/>
    </xf>
    <xf numFmtId="202" fontId="45" fillId="0" borderId="0" xfId="0" applyNumberFormat="1" applyFont="1" applyFill="1" applyAlignment="1">
      <alignment horizontal="left" wrapText="1"/>
    </xf>
    <xf numFmtId="0" fontId="57" fillId="0" borderId="0" xfId="0" applyFont="1" applyFill="1" applyAlignment="1">
      <alignment horizontal="center"/>
    </xf>
    <xf numFmtId="0" fontId="52" fillId="0" borderId="0" xfId="0" applyFont="1" applyFill="1" applyBorder="1" applyAlignment="1">
      <alignment horizontal="center" wrapText="1"/>
    </xf>
    <xf numFmtId="0" fontId="52" fillId="0" borderId="0" xfId="0" applyFont="1" applyFill="1" applyAlignment="1">
      <alignment horizontal="center"/>
    </xf>
    <xf numFmtId="0" fontId="52" fillId="0" borderId="0" xfId="0" applyFont="1" applyFill="1"/>
    <xf numFmtId="0" fontId="52" fillId="0" borderId="0" xfId="0" applyFont="1" applyFill="1" applyBorder="1" applyAlignment="1">
      <alignment horizontal="center"/>
    </xf>
    <xf numFmtId="0" fontId="58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52" fillId="0" borderId="0" xfId="585" applyFont="1" applyFill="1" applyAlignment="1">
      <alignment horizontal="left"/>
    </xf>
    <xf numFmtId="199" fontId="52" fillId="0" borderId="0" xfId="584" applyNumberFormat="1" applyFont="1" applyFill="1"/>
    <xf numFmtId="0" fontId="57" fillId="0" borderId="0" xfId="0" applyFont="1" applyFill="1" applyBorder="1" applyAlignment="1">
      <alignment horizontal="center"/>
    </xf>
    <xf numFmtId="172" fontId="57" fillId="0" borderId="0" xfId="0" applyNumberFormat="1" applyFont="1" applyFill="1" applyBorder="1" applyAlignment="1">
      <alignment horizontal="center"/>
    </xf>
    <xf numFmtId="172" fontId="52" fillId="0" borderId="0" xfId="146" applyNumberFormat="1" applyFont="1" applyFill="1" applyBorder="1"/>
    <xf numFmtId="0" fontId="52" fillId="0" borderId="0" xfId="0" applyFont="1" applyFill="1" applyAlignment="1">
      <alignment horizontal="left" indent="1"/>
    </xf>
    <xf numFmtId="0" fontId="52" fillId="0" borderId="0" xfId="0" applyFont="1" applyFill="1" applyBorder="1"/>
    <xf numFmtId="199" fontId="53" fillId="0" borderId="0" xfId="0" applyNumberFormat="1" applyFont="1" applyFill="1"/>
    <xf numFmtId="199" fontId="52" fillId="0" borderId="4" xfId="584" applyNumberFormat="1" applyFont="1" applyFill="1" applyBorder="1"/>
    <xf numFmtId="199" fontId="52" fillId="0" borderId="5" xfId="584" applyNumberFormat="1" applyFont="1" applyFill="1" applyBorder="1"/>
    <xf numFmtId="0" fontId="52" fillId="0" borderId="0" xfId="585" applyFont="1" applyFill="1"/>
    <xf numFmtId="199" fontId="52" fillId="0" borderId="26" xfId="584" applyNumberFormat="1" applyFont="1" applyFill="1" applyBorder="1"/>
    <xf numFmtId="0" fontId="53" fillId="0" borderId="0" xfId="0" applyFont="1" applyFill="1"/>
    <xf numFmtId="0" fontId="57" fillId="0" borderId="0" xfId="0" applyFont="1" applyFill="1"/>
    <xf numFmtId="0" fontId="52" fillId="0" borderId="0" xfId="585" applyFont="1" applyFill="1" applyAlignment="1">
      <alignment horizontal="left" indent="1"/>
    </xf>
    <xf numFmtId="172" fontId="52" fillId="0" borderId="5" xfId="146" applyNumberFormat="1" applyFont="1" applyFill="1" applyBorder="1"/>
    <xf numFmtId="199" fontId="52" fillId="0" borderId="0" xfId="584" applyNumberFormat="1" applyFont="1" applyFill="1" applyBorder="1"/>
    <xf numFmtId="172" fontId="57" fillId="0" borderId="0" xfId="146" applyNumberFormat="1" applyFont="1" applyFill="1"/>
    <xf numFmtId="172" fontId="53" fillId="0" borderId="26" xfId="0" applyNumberFormat="1" applyFont="1" applyFill="1" applyBorder="1"/>
    <xf numFmtId="201" fontId="52" fillId="0" borderId="0" xfId="0" applyNumberFormat="1" applyFont="1" applyFill="1" applyBorder="1"/>
    <xf numFmtId="172" fontId="52" fillId="0" borderId="0" xfId="146" applyNumberFormat="1" applyFont="1" applyFill="1"/>
    <xf numFmtId="201" fontId="52" fillId="0" borderId="0" xfId="0" applyNumberFormat="1" applyFont="1" applyFill="1" applyBorder="1" applyAlignment="1">
      <alignment horizontal="center"/>
    </xf>
    <xf numFmtId="183" fontId="52" fillId="0" borderId="1" xfId="584" applyNumberFormat="1" applyFont="1" applyFill="1" applyBorder="1"/>
    <xf numFmtId="0" fontId="52" fillId="0" borderId="0" xfId="585" applyFont="1" applyFill="1" applyAlignment="1">
      <alignment wrapText="1"/>
    </xf>
    <xf numFmtId="199" fontId="52" fillId="0" borderId="1" xfId="0" applyNumberFormat="1" applyFont="1" applyFill="1" applyBorder="1" applyAlignment="1">
      <alignment horizontal="center"/>
    </xf>
    <xf numFmtId="172" fontId="52" fillId="0" borderId="0" xfId="0" applyNumberFormat="1" applyFont="1" applyFill="1" applyBorder="1"/>
    <xf numFmtId="201" fontId="57" fillId="0" borderId="0" xfId="0" applyNumberFormat="1" applyFont="1" applyFill="1" applyBorder="1" applyAlignment="1">
      <alignment horizontal="center"/>
    </xf>
    <xf numFmtId="37" fontId="52" fillId="0" borderId="0" xfId="0" applyNumberFormat="1" applyFont="1" applyFill="1" applyBorder="1"/>
    <xf numFmtId="14" fontId="55" fillId="0" borderId="0" xfId="146" applyFont="1" applyFill="1" applyBorder="1"/>
    <xf numFmtId="0" fontId="56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left"/>
    </xf>
    <xf numFmtId="14" fontId="53" fillId="0" borderId="0" xfId="146" applyFont="1" applyFill="1"/>
    <xf numFmtId="183" fontId="52" fillId="0" borderId="0" xfId="584" applyNumberFormat="1" applyFont="1" applyFill="1"/>
    <xf numFmtId="172" fontId="53" fillId="0" borderId="0" xfId="0" applyNumberFormat="1" applyFont="1" applyFill="1"/>
    <xf numFmtId="165" fontId="63" fillId="6" borderId="22" xfId="4" applyNumberFormat="1" applyFont="1" applyFill="1" applyBorder="1" applyAlignment="1">
      <alignment vertical="center"/>
    </xf>
    <xf numFmtId="0" fontId="63" fillId="0" borderId="10" xfId="7" applyFont="1" applyFill="1" applyBorder="1" applyAlignment="1">
      <alignment horizontal="left" vertical="center" wrapText="1"/>
    </xf>
    <xf numFmtId="165" fontId="63" fillId="0" borderId="10" xfId="3" applyNumberFormat="1" applyFont="1" applyFill="1" applyBorder="1" applyAlignment="1">
      <alignment horizontal="right" vertical="center"/>
    </xf>
    <xf numFmtId="165" fontId="64" fillId="0" borderId="10" xfId="568" applyNumberFormat="1" applyFont="1" applyFill="1" applyBorder="1" applyAlignment="1"/>
    <xf numFmtId="165" fontId="65" fillId="0" borderId="10" xfId="3" applyNumberFormat="1" applyFont="1" applyFill="1" applyBorder="1" applyAlignment="1">
      <alignment horizontal="center" vertical="center"/>
    </xf>
    <xf numFmtId="165" fontId="63" fillId="0" borderId="10" xfId="4" applyNumberFormat="1" applyFont="1" applyFill="1" applyBorder="1" applyAlignment="1">
      <alignment vertical="center"/>
    </xf>
    <xf numFmtId="165" fontId="61" fillId="0" borderId="0" xfId="3" applyNumberFormat="1" applyFont="1" applyFill="1" applyBorder="1" applyAlignment="1">
      <alignment horizontal="right" vertical="center" wrapText="1"/>
    </xf>
    <xf numFmtId="9" fontId="65" fillId="0" borderId="0" xfId="3" applyFont="1" applyFill="1" applyBorder="1" applyAlignment="1">
      <alignment horizontal="center" vertical="center" wrapText="1"/>
    </xf>
    <xf numFmtId="0" fontId="62" fillId="0" borderId="0" xfId="0" applyFont="1" applyFill="1" applyBorder="1"/>
    <xf numFmtId="165" fontId="62" fillId="0" borderId="0" xfId="0" applyNumberFormat="1" applyFont="1" applyFill="1" applyBorder="1"/>
    <xf numFmtId="172" fontId="63" fillId="6" borderId="3" xfId="1" applyNumberFormat="1" applyFont="1" applyFill="1" applyBorder="1" applyAlignment="1">
      <alignment vertical="center"/>
    </xf>
    <xf numFmtId="172" fontId="63" fillId="0" borderId="3" xfId="1" applyNumberFormat="1" applyFont="1" applyFill="1" applyBorder="1" applyAlignment="1">
      <alignment vertical="center"/>
    </xf>
    <xf numFmtId="165" fontId="69" fillId="0" borderId="0" xfId="0" applyNumberFormat="1" applyFont="1" applyFill="1" applyBorder="1"/>
    <xf numFmtId="0" fontId="70" fillId="9" borderId="3" xfId="7" applyFont="1" applyFill="1" applyBorder="1" applyAlignment="1">
      <alignment horizontal="left" vertical="center" wrapText="1"/>
    </xf>
    <xf numFmtId="165" fontId="70" fillId="9" borderId="3" xfId="4" applyNumberFormat="1" applyFont="1" applyFill="1" applyBorder="1" applyAlignment="1">
      <alignment vertical="center"/>
    </xf>
    <xf numFmtId="165" fontId="70" fillId="9" borderId="3" xfId="4" applyNumberFormat="1" applyFont="1" applyFill="1" applyBorder="1" applyAlignment="1">
      <alignment horizontal="center" vertical="center"/>
    </xf>
    <xf numFmtId="0" fontId="73" fillId="0" borderId="0" xfId="0" applyFont="1" applyFill="1" applyAlignment="1">
      <alignment horizontal="center" wrapText="1"/>
    </xf>
    <xf numFmtId="0" fontId="74" fillId="0" borderId="0" xfId="0" applyFont="1" applyFill="1" applyAlignment="1">
      <alignment horizontal="left"/>
    </xf>
    <xf numFmtId="199" fontId="75" fillId="0" borderId="0" xfId="584" applyNumberFormat="1" applyFont="1" applyFill="1" applyBorder="1"/>
    <xf numFmtId="172" fontId="74" fillId="0" borderId="0" xfId="1" applyNumberFormat="1" applyFont="1" applyFill="1"/>
    <xf numFmtId="172" fontId="76" fillId="0" borderId="0" xfId="1" applyNumberFormat="1" applyFont="1" applyFill="1"/>
    <xf numFmtId="172" fontId="75" fillId="0" borderId="0" xfId="1" applyNumberFormat="1" applyFont="1" applyFill="1"/>
    <xf numFmtId="0" fontId="74" fillId="0" borderId="0" xfId="0" applyFont="1" applyFill="1"/>
    <xf numFmtId="200" fontId="74" fillId="0" borderId="0" xfId="0" applyNumberFormat="1" applyFont="1" applyFill="1"/>
    <xf numFmtId="172" fontId="74" fillId="0" borderId="0" xfId="1" applyNumberFormat="1" applyFont="1" applyFill="1" applyAlignment="1">
      <alignment horizontal="left" vertical="center"/>
    </xf>
    <xf numFmtId="172" fontId="74" fillId="0" borderId="1" xfId="1" applyNumberFormat="1" applyFont="1" applyFill="1" applyBorder="1"/>
    <xf numFmtId="172" fontId="75" fillId="0" borderId="1" xfId="1" applyNumberFormat="1" applyFont="1" applyFill="1" applyBorder="1"/>
    <xf numFmtId="0" fontId="76" fillId="0" borderId="0" xfId="0" applyFont="1" applyFill="1"/>
    <xf numFmtId="172" fontId="74" fillId="0" borderId="0" xfId="0" applyNumberFormat="1" applyFont="1" applyFill="1"/>
    <xf numFmtId="0" fontId="75" fillId="0" borderId="0" xfId="0" applyFont="1" applyFill="1"/>
    <xf numFmtId="10" fontId="77" fillId="0" borderId="0" xfId="3" applyNumberFormat="1" applyFont="1" applyFill="1"/>
    <xf numFmtId="10" fontId="78" fillId="0" borderId="0" xfId="3" applyNumberFormat="1" applyFont="1" applyFill="1"/>
    <xf numFmtId="172" fontId="77" fillId="0" borderId="0" xfId="3" applyNumberFormat="1" applyFont="1" applyFill="1"/>
    <xf numFmtId="10" fontId="79" fillId="0" borderId="0" xfId="3" applyNumberFormat="1" applyFont="1" applyFill="1"/>
    <xf numFmtId="172" fontId="75" fillId="0" borderId="0" xfId="0" applyNumberFormat="1" applyFont="1" applyFill="1"/>
    <xf numFmtId="0" fontId="80" fillId="0" borderId="0" xfId="0" applyFont="1" applyFill="1"/>
    <xf numFmtId="167" fontId="74" fillId="0" borderId="0" xfId="1" applyFont="1" applyFill="1"/>
    <xf numFmtId="172" fontId="74" fillId="0" borderId="5" xfId="1" applyNumberFormat="1" applyFont="1" applyFill="1" applyBorder="1"/>
    <xf numFmtId="172" fontId="75" fillId="0" borderId="5" xfId="1" applyNumberFormat="1" applyFont="1" applyFill="1" applyBorder="1"/>
    <xf numFmtId="172" fontId="74" fillId="0" borderId="5" xfId="0" applyNumberFormat="1" applyFont="1" applyFill="1" applyBorder="1"/>
    <xf numFmtId="0" fontId="81" fillId="0" borderId="0" xfId="0" applyFont="1" applyFill="1"/>
    <xf numFmtId="172" fontId="81" fillId="0" borderId="0" xfId="0" applyNumberFormat="1" applyFont="1" applyFill="1"/>
    <xf numFmtId="0" fontId="78" fillId="0" borderId="0" xfId="0" applyFont="1" applyFill="1"/>
    <xf numFmtId="0" fontId="79" fillId="0" borderId="0" xfId="0" applyFont="1" applyFill="1"/>
    <xf numFmtId="183" fontId="50" fillId="0" borderId="0" xfId="162" applyNumberFormat="1" applyFont="1" applyFill="1" applyBorder="1" applyAlignment="1">
      <alignment horizontal="center" wrapText="1"/>
    </xf>
    <xf numFmtId="183" fontId="50" fillId="0" borderId="5" xfId="162" applyNumberFormat="1" applyFont="1" applyFill="1" applyBorder="1" applyAlignment="1">
      <alignment horizontal="center" wrapText="1"/>
    </xf>
    <xf numFmtId="0" fontId="50" fillId="0" borderId="0" xfId="0" applyFont="1" applyFill="1" applyAlignment="1">
      <alignment wrapText="1"/>
    </xf>
    <xf numFmtId="0" fontId="50" fillId="0" borderId="0" xfId="0" applyFont="1" applyFill="1" applyAlignment="1">
      <alignment vertical="center" wrapText="1"/>
    </xf>
    <xf numFmtId="0" fontId="47" fillId="0" borderId="0" xfId="0" applyFont="1" applyFill="1" applyAlignment="1">
      <alignment horizontal="center" wrapText="1"/>
    </xf>
    <xf numFmtId="183" fontId="50" fillId="0" borderId="0" xfId="162" applyNumberFormat="1" applyFont="1" applyFill="1" applyAlignment="1">
      <alignment horizontal="center" wrapText="1"/>
    </xf>
    <xf numFmtId="0" fontId="47" fillId="0" borderId="0" xfId="0" applyFont="1" applyFill="1" applyBorder="1" applyAlignment="1">
      <alignment horizontal="center" wrapText="1"/>
    </xf>
    <xf numFmtId="183" fontId="82" fillId="0" borderId="0" xfId="162" applyNumberFormat="1" applyFont="1" applyFill="1" applyAlignment="1">
      <alignment horizontal="center" wrapText="1"/>
    </xf>
    <xf numFmtId="0" fontId="47" fillId="0" borderId="0" xfId="0" applyFont="1" applyFill="1" applyAlignment="1">
      <alignment wrapText="1"/>
    </xf>
    <xf numFmtId="201" fontId="50" fillId="0" borderId="0" xfId="586" applyNumberFormat="1" applyFont="1" applyFill="1" applyBorder="1" applyAlignment="1">
      <alignment wrapText="1"/>
    </xf>
    <xf numFmtId="172" fontId="50" fillId="0" borderId="0" xfId="148" applyNumberFormat="1" applyFont="1" applyFill="1" applyBorder="1" applyAlignment="1">
      <alignment wrapText="1"/>
    </xf>
    <xf numFmtId="179" fontId="50" fillId="0" borderId="0" xfId="148" applyFont="1" applyFill="1" applyBorder="1" applyAlignment="1">
      <alignment wrapText="1"/>
    </xf>
    <xf numFmtId="0" fontId="50" fillId="0" borderId="29" xfId="0" applyFont="1" applyFill="1" applyBorder="1" applyAlignment="1">
      <alignment wrapText="1"/>
    </xf>
    <xf numFmtId="183" fontId="50" fillId="0" borderId="0" xfId="162" applyNumberFormat="1" applyFont="1" applyFill="1" applyAlignment="1">
      <alignment wrapText="1"/>
    </xf>
    <xf numFmtId="183" fontId="50" fillId="0" borderId="5" xfId="162" applyNumberFormat="1" applyFont="1" applyFill="1" applyBorder="1" applyAlignment="1">
      <alignment wrapText="1"/>
    </xf>
    <xf numFmtId="179" fontId="50" fillId="0" borderId="5" xfId="148" applyFont="1" applyFill="1" applyBorder="1" applyAlignment="1">
      <alignment wrapText="1"/>
    </xf>
    <xf numFmtId="0" fontId="47" fillId="0" borderId="5" xfId="0" applyFont="1" applyFill="1" applyBorder="1" applyAlignment="1">
      <alignment wrapText="1"/>
    </xf>
    <xf numFmtId="0" fontId="47" fillId="0" borderId="0" xfId="0" applyFont="1" applyFill="1" applyBorder="1" applyAlignment="1">
      <alignment wrapText="1"/>
    </xf>
    <xf numFmtId="201" fontId="50" fillId="0" borderId="4" xfId="586" applyNumberFormat="1" applyFont="1" applyFill="1" applyBorder="1" applyAlignment="1">
      <alignment wrapText="1"/>
    </xf>
    <xf numFmtId="172" fontId="50" fillId="0" borderId="4" xfId="148" applyNumberFormat="1" applyFont="1" applyFill="1" applyBorder="1" applyAlignment="1">
      <alignment wrapText="1"/>
    </xf>
    <xf numFmtId="172" fontId="47" fillId="0" borderId="0" xfId="0" applyNumberFormat="1" applyFont="1" applyFill="1" applyAlignment="1">
      <alignment wrapText="1"/>
    </xf>
    <xf numFmtId="0" fontId="47" fillId="0" borderId="0" xfId="0" applyFont="1" applyFill="1" applyAlignment="1">
      <alignment vertical="center" wrapText="1"/>
    </xf>
    <xf numFmtId="201" fontId="50" fillId="0" borderId="0" xfId="586" applyNumberFormat="1" applyFont="1" applyFill="1" applyBorder="1" applyAlignment="1">
      <alignment vertical="center" wrapText="1"/>
    </xf>
    <xf numFmtId="172" fontId="50" fillId="0" borderId="0" xfId="148" applyNumberFormat="1" applyFont="1" applyFill="1" applyBorder="1" applyAlignment="1">
      <alignment vertical="center" wrapText="1"/>
    </xf>
    <xf numFmtId="172" fontId="50" fillId="0" borderId="1" xfId="148" applyNumberFormat="1" applyFont="1" applyFill="1" applyBorder="1" applyAlignment="1">
      <alignment wrapText="1"/>
    </xf>
    <xf numFmtId="201" fontId="50" fillId="0" borderId="1" xfId="586" applyNumberFormat="1" applyFont="1" applyFill="1" applyBorder="1" applyAlignment="1">
      <alignment wrapText="1"/>
    </xf>
    <xf numFmtId="201" fontId="50" fillId="0" borderId="0" xfId="0" applyNumberFormat="1" applyFont="1" applyFill="1" applyAlignment="1">
      <alignment wrapText="1"/>
    </xf>
    <xf numFmtId="173" fontId="6" fillId="0" borderId="6" xfId="4" applyNumberFormat="1" applyFont="1" applyFill="1" applyBorder="1" applyAlignment="1">
      <alignment horizontal="center" vertical="center" wrapText="1"/>
    </xf>
    <xf numFmtId="173" fontId="6" fillId="0" borderId="7" xfId="4" applyNumberFormat="1" applyFont="1" applyFill="1" applyBorder="1" applyAlignment="1">
      <alignment horizontal="center" vertical="center" wrapText="1"/>
    </xf>
    <xf numFmtId="165" fontId="27" fillId="0" borderId="0" xfId="3" applyNumberFormat="1" applyFont="1" applyFill="1" applyAlignment="1">
      <alignment horizontal="center" vertical="center"/>
    </xf>
    <xf numFmtId="9" fontId="27" fillId="0" borderId="0" xfId="3" applyFont="1" applyFill="1" applyAlignment="1">
      <alignment horizontal="center" vertical="center"/>
    </xf>
    <xf numFmtId="0" fontId="39" fillId="4" borderId="5" xfId="577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left" indent="2"/>
    </xf>
    <xf numFmtId="0" fontId="2" fillId="0" borderId="21" xfId="0" applyFont="1" applyFill="1" applyBorder="1" applyAlignment="1">
      <alignment horizontal="left" indent="2"/>
    </xf>
    <xf numFmtId="0" fontId="2" fillId="0" borderId="25" xfId="0" applyFont="1" applyFill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 indent="3"/>
    </xf>
    <xf numFmtId="0" fontId="2" fillId="0" borderId="21" xfId="0" applyFont="1" applyFill="1" applyBorder="1" applyAlignment="1">
      <alignment horizontal="left" indent="3"/>
    </xf>
    <xf numFmtId="172" fontId="28" fillId="0" borderId="0" xfId="1" applyNumberFormat="1" applyFont="1" applyFill="1" applyAlignment="1">
      <alignment horizontal="center" vertical="center" wrapText="1"/>
    </xf>
    <xf numFmtId="172" fontId="28" fillId="0" borderId="0" xfId="1" applyNumberFormat="1" applyFont="1" applyFill="1" applyAlignment="1">
      <alignment horizontal="center" vertical="center"/>
    </xf>
    <xf numFmtId="0" fontId="2" fillId="0" borderId="0" xfId="558" applyFont="1" applyFill="1" applyAlignment="1">
      <alignment horizontal="left" wrapText="1"/>
    </xf>
    <xf numFmtId="0" fontId="4" fillId="0" borderId="13" xfId="558" applyFont="1" applyFill="1" applyBorder="1" applyAlignment="1">
      <alignment horizontal="left" wrapText="1"/>
    </xf>
    <xf numFmtId="0" fontId="4" fillId="0" borderId="0" xfId="558" applyFont="1" applyFill="1" applyBorder="1" applyAlignment="1">
      <alignment horizontal="left" wrapText="1"/>
    </xf>
    <xf numFmtId="0" fontId="4" fillId="0" borderId="0" xfId="558" applyFont="1" applyFill="1" applyAlignment="1">
      <alignment horizontal="left" wrapText="1"/>
    </xf>
    <xf numFmtId="0" fontId="2" fillId="0" borderId="0" xfId="558" applyFont="1" applyFill="1" applyAlignment="1">
      <alignment horizontal="center" wrapText="1"/>
    </xf>
    <xf numFmtId="0" fontId="33" fillId="0" borderId="6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173" fontId="70" fillId="8" borderId="6" xfId="4" applyNumberFormat="1" applyFont="1" applyFill="1" applyBorder="1" applyAlignment="1">
      <alignment horizontal="center" vertical="center" wrapText="1"/>
    </xf>
    <xf numFmtId="173" fontId="70" fillId="8" borderId="7" xfId="4" applyNumberFormat="1" applyFont="1" applyFill="1" applyBorder="1" applyAlignment="1">
      <alignment horizontal="center" vertical="center" wrapText="1"/>
    </xf>
    <xf numFmtId="183" fontId="50" fillId="0" borderId="5" xfId="162" applyNumberFormat="1" applyFont="1" applyFill="1" applyBorder="1" applyAlignment="1">
      <alignment horizontal="center" wrapText="1"/>
    </xf>
    <xf numFmtId="183" fontId="50" fillId="0" borderId="0" xfId="162" applyNumberFormat="1" applyFont="1" applyFill="1" applyAlignment="1">
      <alignment horizontal="center" wrapText="1"/>
    </xf>
  </cellXfs>
  <cellStyles count="587">
    <cellStyle name="=C:\WINNT\SYSTEM32\COMMAND.COM" xfId="9"/>
    <cellStyle name="Categoría del Piloto de Datos" xfId="562"/>
    <cellStyle name="Comma 123" xfId="581"/>
    <cellStyle name="Comma 13" xfId="576"/>
    <cellStyle name="Comma 15" xfId="583"/>
    <cellStyle name="Comma 2" xfId="584"/>
    <cellStyle name="Comma 4 2" xfId="578"/>
    <cellStyle name="Comma 4 2 4" xfId="579"/>
    <cellStyle name="Comma_ANALISIS1" xfId="10"/>
    <cellStyle name="Comma_Worksheet in D: Mis documentos Clientes 2003 Holanda Informes Brenntag-Informe2002-2001" xfId="586"/>
    <cellStyle name="Credit" xfId="11"/>
    <cellStyle name="Credit subtotal" xfId="12"/>
    <cellStyle name="Credit Total" xfId="13"/>
    <cellStyle name="Credit_Libro1" xfId="14"/>
    <cellStyle name="Debit" xfId="15"/>
    <cellStyle name="Debit subtotal" xfId="16"/>
    <cellStyle name="Debit Total" xfId="17"/>
    <cellStyle name="Debit_Libro1" xfId="18"/>
    <cellStyle name="Estilo 1" xfId="19"/>
    <cellStyle name="Euro" xfId="20"/>
    <cellStyle name="Euro 10" xfId="21"/>
    <cellStyle name="Euro 11" xfId="22"/>
    <cellStyle name="Euro 12" xfId="23"/>
    <cellStyle name="Euro 13" xfId="24"/>
    <cellStyle name="Euro 14" xfId="25"/>
    <cellStyle name="Euro 15" xfId="26"/>
    <cellStyle name="Euro 16" xfId="27"/>
    <cellStyle name="Euro 17" xfId="28"/>
    <cellStyle name="Euro 18" xfId="29"/>
    <cellStyle name="Euro 19" xfId="30"/>
    <cellStyle name="Euro 2" xfId="31"/>
    <cellStyle name="Euro 20" xfId="32"/>
    <cellStyle name="Euro 21" xfId="33"/>
    <cellStyle name="Euro 22" xfId="34"/>
    <cellStyle name="Euro 23" xfId="35"/>
    <cellStyle name="Euro 24" xfId="36"/>
    <cellStyle name="Euro 25" xfId="37"/>
    <cellStyle name="Euro 26" xfId="38"/>
    <cellStyle name="Euro 27" xfId="39"/>
    <cellStyle name="Euro 28" xfId="40"/>
    <cellStyle name="Euro 29" xfId="41"/>
    <cellStyle name="Euro 3" xfId="42"/>
    <cellStyle name="Euro 30" xfId="43"/>
    <cellStyle name="Euro 31" xfId="44"/>
    <cellStyle name="Euro 32" xfId="45"/>
    <cellStyle name="Euro 33" xfId="46"/>
    <cellStyle name="Euro 34" xfId="47"/>
    <cellStyle name="Euro 35" xfId="48"/>
    <cellStyle name="Euro 36" xfId="49"/>
    <cellStyle name="Euro 37" xfId="50"/>
    <cellStyle name="Euro 38" xfId="51"/>
    <cellStyle name="Euro 39" xfId="52"/>
    <cellStyle name="Euro 4" xfId="53"/>
    <cellStyle name="Euro 40" xfId="54"/>
    <cellStyle name="Euro 41" xfId="55"/>
    <cellStyle name="Euro 42" xfId="56"/>
    <cellStyle name="Euro 43" xfId="57"/>
    <cellStyle name="Euro 44" xfId="58"/>
    <cellStyle name="Euro 45" xfId="59"/>
    <cellStyle name="Euro 46" xfId="60"/>
    <cellStyle name="Euro 47" xfId="61"/>
    <cellStyle name="Euro 48" xfId="62"/>
    <cellStyle name="Euro 49" xfId="63"/>
    <cellStyle name="Euro 5" xfId="64"/>
    <cellStyle name="Euro 50" xfId="65"/>
    <cellStyle name="Euro 51" xfId="66"/>
    <cellStyle name="Euro 52" xfId="67"/>
    <cellStyle name="Euro 53" xfId="68"/>
    <cellStyle name="Euro 54" xfId="69"/>
    <cellStyle name="Euro 55" xfId="70"/>
    <cellStyle name="Euro 56" xfId="71"/>
    <cellStyle name="Euro 57" xfId="72"/>
    <cellStyle name="Euro 58" xfId="73"/>
    <cellStyle name="Euro 59" xfId="74"/>
    <cellStyle name="Euro 6" xfId="75"/>
    <cellStyle name="Euro 60" xfId="76"/>
    <cellStyle name="Euro 61" xfId="77"/>
    <cellStyle name="Euro 62" xfId="78"/>
    <cellStyle name="Euro 63" xfId="79"/>
    <cellStyle name="Euro 64" xfId="80"/>
    <cellStyle name="Euro 7" xfId="81"/>
    <cellStyle name="Euro 8" xfId="82"/>
    <cellStyle name="Euro 9" xfId="83"/>
    <cellStyle name="Euro_Cédulas 12-31-2009" xfId="84"/>
    <cellStyle name="Hipervínculo 2" xfId="85"/>
    <cellStyle name="Hipervínculo 3" xfId="86"/>
    <cellStyle name="Hipervínculo 4" xfId="87"/>
    <cellStyle name="Hipervínculo 5" xfId="88"/>
    <cellStyle name="Hipervínculo 6" xfId="89"/>
    <cellStyle name="Millares" xfId="1" builtinId="3"/>
    <cellStyle name="Millares [0] 10" xfId="90"/>
    <cellStyle name="Millares [0] 11" xfId="91"/>
    <cellStyle name="Millares [0] 12" xfId="92"/>
    <cellStyle name="Millares [0] 13" xfId="93"/>
    <cellStyle name="Millares [0] 14" xfId="94"/>
    <cellStyle name="Millares [0] 15" xfId="95"/>
    <cellStyle name="Millares [0] 16" xfId="96"/>
    <cellStyle name="Millares [0] 17" xfId="97"/>
    <cellStyle name="Millares [0] 18" xfId="98"/>
    <cellStyle name="Millares [0] 19" xfId="99"/>
    <cellStyle name="Millares [0] 2" xfId="100"/>
    <cellStyle name="Millares [0] 20" xfId="101"/>
    <cellStyle name="Millares [0] 21" xfId="102"/>
    <cellStyle name="Millares [0] 22" xfId="103"/>
    <cellStyle name="Millares [0] 23" xfId="104"/>
    <cellStyle name="Millares [0] 24" xfId="105"/>
    <cellStyle name="Millares [0] 25" xfId="106"/>
    <cellStyle name="Millares [0] 26" xfId="107"/>
    <cellStyle name="Millares [0] 27" xfId="108"/>
    <cellStyle name="Millares [0] 28" xfId="109"/>
    <cellStyle name="Millares [0] 29" xfId="110"/>
    <cellStyle name="Millares [0] 3" xfId="111"/>
    <cellStyle name="Millares [0] 30" xfId="112"/>
    <cellStyle name="Millares [0] 31" xfId="113"/>
    <cellStyle name="Millares [0] 32" xfId="114"/>
    <cellStyle name="Millares [0] 33" xfId="115"/>
    <cellStyle name="Millares [0] 34" xfId="116"/>
    <cellStyle name="Millares [0] 35" xfId="117"/>
    <cellStyle name="Millares [0] 36" xfId="118"/>
    <cellStyle name="Millares [0] 37" xfId="119"/>
    <cellStyle name="Millares [0] 38" xfId="120"/>
    <cellStyle name="Millares [0] 39" xfId="121"/>
    <cellStyle name="Millares [0] 4" xfId="122"/>
    <cellStyle name="Millares [0] 40" xfId="123"/>
    <cellStyle name="Millares [0] 41" xfId="124"/>
    <cellStyle name="Millares [0] 42" xfId="125"/>
    <cellStyle name="Millares [0] 43" xfId="126"/>
    <cellStyle name="Millares [0] 44" xfId="127"/>
    <cellStyle name="Millares [0] 45" xfId="128"/>
    <cellStyle name="Millares [0] 46" xfId="129"/>
    <cellStyle name="Millares [0] 47" xfId="130"/>
    <cellStyle name="Millares [0] 48" xfId="131"/>
    <cellStyle name="Millares [0] 49" xfId="132"/>
    <cellStyle name="Millares [0] 5" xfId="133"/>
    <cellStyle name="Millares [0] 50" xfId="134"/>
    <cellStyle name="Millares [0] 51" xfId="135"/>
    <cellStyle name="Millares [0] 52" xfId="136"/>
    <cellStyle name="Millares [0] 53" xfId="137"/>
    <cellStyle name="Millares [0] 54" xfId="138"/>
    <cellStyle name="Millares [0] 55" xfId="139"/>
    <cellStyle name="Millares [0] 56" xfId="140"/>
    <cellStyle name="Millares [0] 57" xfId="141"/>
    <cellStyle name="Millares [0] 6" xfId="142"/>
    <cellStyle name="Millares [0] 7" xfId="143"/>
    <cellStyle name="Millares [0] 8" xfId="144"/>
    <cellStyle name="Millares [0] 9" xfId="145"/>
    <cellStyle name="Millares 10" xfId="146"/>
    <cellStyle name="Millares 106" xfId="147"/>
    <cellStyle name="Millares 11" xfId="148"/>
    <cellStyle name="Millares 12" xfId="149"/>
    <cellStyle name="Millares 13" xfId="150"/>
    <cellStyle name="Millares 14" xfId="151"/>
    <cellStyle name="Millares 15" xfId="152"/>
    <cellStyle name="Millares 16" xfId="153"/>
    <cellStyle name="Millares 16 2" xfId="154"/>
    <cellStyle name="Millares 16 2 2" xfId="155"/>
    <cellStyle name="Millares 17" xfId="156"/>
    <cellStyle name="Millares 17 2" xfId="157"/>
    <cellStyle name="Millares 17 2 2" xfId="158"/>
    <cellStyle name="Millares 17_R8-001 Papeles de Trabajo 2009 betsy" xfId="159"/>
    <cellStyle name="Millares 18" xfId="8"/>
    <cellStyle name="Millares 18 2" xfId="160"/>
    <cellStyle name="Millares 19" xfId="161"/>
    <cellStyle name="Millares 2" xfId="162"/>
    <cellStyle name="Millares 2 2" xfId="163"/>
    <cellStyle name="Millares 2 3" xfId="564"/>
    <cellStyle name="Millares 2_Cédulas 12-31-2009" xfId="164"/>
    <cellStyle name="Millares 20" xfId="165"/>
    <cellStyle name="Millares 21" xfId="166"/>
    <cellStyle name="Millares 21 2" xfId="167"/>
    <cellStyle name="Millares 21_R8-001 Papeles de Trabajo 2009 betsy" xfId="168"/>
    <cellStyle name="Millares 22" xfId="169"/>
    <cellStyle name="Millares 23" xfId="170"/>
    <cellStyle name="Millares 24" xfId="171"/>
    <cellStyle name="Millares 25" xfId="172"/>
    <cellStyle name="Millares 26" xfId="173"/>
    <cellStyle name="Millares 27" xfId="174"/>
    <cellStyle name="Millares 28" xfId="175"/>
    <cellStyle name="Millares 29" xfId="176"/>
    <cellStyle name="Millares 3" xfId="177"/>
    <cellStyle name="Millares 3 10" xfId="178"/>
    <cellStyle name="Millares 3 11" xfId="179"/>
    <cellStyle name="Millares 3 12" xfId="180"/>
    <cellStyle name="Millares 3 13" xfId="181"/>
    <cellStyle name="Millares 3 14" xfId="563"/>
    <cellStyle name="Millares 3 2" xfId="182"/>
    <cellStyle name="Millares 3 3" xfId="183"/>
    <cellStyle name="Millares 3 4" xfId="184"/>
    <cellStyle name="Millares 3 5" xfId="185"/>
    <cellStyle name="Millares 3 6" xfId="186"/>
    <cellStyle name="Millares 3 7" xfId="187"/>
    <cellStyle name="Millares 3 8" xfId="188"/>
    <cellStyle name="Millares 3 9" xfId="189"/>
    <cellStyle name="Millares 3_Cédulas 12-31-2009" xfId="190"/>
    <cellStyle name="Millares 30" xfId="191"/>
    <cellStyle name="Millares 31" xfId="192"/>
    <cellStyle name="Millares 32" xfId="193"/>
    <cellStyle name="Millares 33" xfId="194"/>
    <cellStyle name="Millares 34" xfId="195"/>
    <cellStyle name="Millares 35" xfId="196"/>
    <cellStyle name="Millares 36" xfId="197"/>
    <cellStyle name="Millares 37" xfId="198"/>
    <cellStyle name="Millares 38" xfId="199"/>
    <cellStyle name="Millares 39" xfId="200"/>
    <cellStyle name="Millares 4" xfId="201"/>
    <cellStyle name="Millares 4 2" xfId="202"/>
    <cellStyle name="Millares 4 2 2" xfId="203"/>
    <cellStyle name="Millares 4 3" xfId="204"/>
    <cellStyle name="Millares 4 4" xfId="205"/>
    <cellStyle name="Millares 4 4 2" xfId="206"/>
    <cellStyle name="Millares 4_DIRECTORIO OCTUBRE 2008 REAL (VERSION 3) (3)" xfId="207"/>
    <cellStyle name="Millares 40" xfId="208"/>
    <cellStyle name="Millares 41" xfId="209"/>
    <cellStyle name="Millares 42" xfId="210"/>
    <cellStyle name="Millares 43" xfId="211"/>
    <cellStyle name="Millares 44" xfId="212"/>
    <cellStyle name="Millares 45" xfId="213"/>
    <cellStyle name="Millares 46" xfId="214"/>
    <cellStyle name="Millares 47" xfId="215"/>
    <cellStyle name="Millares 48" xfId="216"/>
    <cellStyle name="Millares 49" xfId="217"/>
    <cellStyle name="Millares 49 2" xfId="218"/>
    <cellStyle name="Millares 5" xfId="219"/>
    <cellStyle name="Millares 50" xfId="220"/>
    <cellStyle name="Millares 50 2" xfId="221"/>
    <cellStyle name="Millares 51" xfId="222"/>
    <cellStyle name="Millares 51 2" xfId="223"/>
    <cellStyle name="Millares 52" xfId="224"/>
    <cellStyle name="Millares 53" xfId="225"/>
    <cellStyle name="Millares 54" xfId="226"/>
    <cellStyle name="Millares 55" xfId="227"/>
    <cellStyle name="Millares 56" xfId="228"/>
    <cellStyle name="Millares 57" xfId="229"/>
    <cellStyle name="Millares 58" xfId="230"/>
    <cellStyle name="Millares 59" xfId="231"/>
    <cellStyle name="Millares 6" xfId="232"/>
    <cellStyle name="Millares 60" xfId="233"/>
    <cellStyle name="Millares 61" xfId="234"/>
    <cellStyle name="Millares 62" xfId="235"/>
    <cellStyle name="Millares 63" xfId="236"/>
    <cellStyle name="Millares 63 2" xfId="237"/>
    <cellStyle name="Millares 64" xfId="238"/>
    <cellStyle name="Millares 65" xfId="239"/>
    <cellStyle name="Millares 65 2" xfId="240"/>
    <cellStyle name="Millares 66" xfId="241"/>
    <cellStyle name="Millares 67" xfId="4"/>
    <cellStyle name="Millares 68" xfId="559"/>
    <cellStyle name="Millares 69" xfId="568"/>
    <cellStyle name="Millares 7" xfId="242"/>
    <cellStyle name="Millares 7 2" xfId="243"/>
    <cellStyle name="Millares 7_Cédulas 12-31-2009" xfId="244"/>
    <cellStyle name="Millares 8" xfId="245"/>
    <cellStyle name="Millares 8 2" xfId="246"/>
    <cellStyle name="Millares 9" xfId="247"/>
    <cellStyle name="Millares 9 2" xfId="248"/>
    <cellStyle name="Millares 9 2 2" xfId="249"/>
    <cellStyle name="Millares 9_Cédulas 12-31-2009" xfId="250"/>
    <cellStyle name="Moneda" xfId="2" builtinId="4"/>
    <cellStyle name="Moneda 2" xfId="251"/>
    <cellStyle name="Moneda 3" xfId="252"/>
    <cellStyle name="No-definido" xfId="253"/>
    <cellStyle name="Normal" xfId="0" builtinId="0"/>
    <cellStyle name="Normal 10" xfId="254"/>
    <cellStyle name="Normal 10 2" xfId="7"/>
    <cellStyle name="Normal 10 3" xfId="255"/>
    <cellStyle name="Normal 10 4" xfId="256"/>
    <cellStyle name="Normal 10 5" xfId="257"/>
    <cellStyle name="Normal 10 6" xfId="258"/>
    <cellStyle name="Normal 10_R8-001 Papeles de Trabajo 2009 betsy" xfId="259"/>
    <cellStyle name="Normal 11" xfId="260"/>
    <cellStyle name="Normal 11 2" xfId="261"/>
    <cellStyle name="Normal 11 3" xfId="262"/>
    <cellStyle name="Normal 11 4" xfId="263"/>
    <cellStyle name="Normal 11 5" xfId="264"/>
    <cellStyle name="Normal 11 6" xfId="265"/>
    <cellStyle name="Normal 11 7" xfId="6"/>
    <cellStyle name="Normal 12" xfId="266"/>
    <cellStyle name="Normal 12 2" xfId="267"/>
    <cellStyle name="Normal 12 3" xfId="268"/>
    <cellStyle name="Normal 12 4" xfId="269"/>
    <cellStyle name="Normal 12 5" xfId="270"/>
    <cellStyle name="Normal 12 6" xfId="271"/>
    <cellStyle name="Normal 13" xfId="272"/>
    <cellStyle name="Normal 13 2" xfId="273"/>
    <cellStyle name="Normal 13 3" xfId="274"/>
    <cellStyle name="Normal 13 4" xfId="275"/>
    <cellStyle name="Normal 13 5" xfId="276"/>
    <cellStyle name="Normal 13 6" xfId="277"/>
    <cellStyle name="Normal 13_Cédulas 12-31-2009" xfId="278"/>
    <cellStyle name="Normal 14" xfId="279"/>
    <cellStyle name="Normal 14 2" xfId="280"/>
    <cellStyle name="Normal 14 3" xfId="281"/>
    <cellStyle name="Normal 14 4" xfId="282"/>
    <cellStyle name="Normal 14 5" xfId="283"/>
    <cellStyle name="Normal 14 6" xfId="284"/>
    <cellStyle name="Normal 15" xfId="285"/>
    <cellStyle name="Normal 15 2" xfId="286"/>
    <cellStyle name="Normal 15 3" xfId="287"/>
    <cellStyle name="Normal 15 4" xfId="288"/>
    <cellStyle name="Normal 15 5" xfId="289"/>
    <cellStyle name="Normal 15 6" xfId="290"/>
    <cellStyle name="Normal 16" xfId="291"/>
    <cellStyle name="Normal 16 2" xfId="292"/>
    <cellStyle name="Normal 16 3" xfId="293"/>
    <cellStyle name="Normal 16 4" xfId="294"/>
    <cellStyle name="Normal 16 5" xfId="295"/>
    <cellStyle name="Normal 16 6" xfId="296"/>
    <cellStyle name="Normal 17" xfId="297"/>
    <cellStyle name="Normal 17 2" xfId="298"/>
    <cellStyle name="Normal 17 3" xfId="299"/>
    <cellStyle name="Normal 17 4" xfId="300"/>
    <cellStyle name="Normal 17 5" xfId="301"/>
    <cellStyle name="Normal 17 6" xfId="302"/>
    <cellStyle name="Normal 18" xfId="303"/>
    <cellStyle name="Normal 18 2" xfId="304"/>
    <cellStyle name="Normal 18 3" xfId="305"/>
    <cellStyle name="Normal 18 4" xfId="306"/>
    <cellStyle name="Normal 18 5" xfId="307"/>
    <cellStyle name="Normal 18 6" xfId="308"/>
    <cellStyle name="Normal 19" xfId="309"/>
    <cellStyle name="Normal 19 2" xfId="310"/>
    <cellStyle name="Normal 19 3" xfId="311"/>
    <cellStyle name="Normal 19 4" xfId="312"/>
    <cellStyle name="Normal 19 5" xfId="313"/>
    <cellStyle name="Normal 19 6" xfId="314"/>
    <cellStyle name="Normal 2" xfId="5"/>
    <cellStyle name="Normal 2 10" xfId="585"/>
    <cellStyle name="Normal 2 2" xfId="315"/>
    <cellStyle name="Normal 2 2 2" xfId="316"/>
    <cellStyle name="Normal 2 2_Cédulas 12-31-2009" xfId="317"/>
    <cellStyle name="Normal 2 3" xfId="318"/>
    <cellStyle name="Normal 2 3 2" xfId="577"/>
    <cellStyle name="Normal 2 4" xfId="319"/>
    <cellStyle name="Normal 2 5" xfId="320"/>
    <cellStyle name="Normal 2 6" xfId="565"/>
    <cellStyle name="Normal 2 7" xfId="575"/>
    <cellStyle name="Normal 2_AF Y SUELDOS" xfId="321"/>
    <cellStyle name="Normal 20" xfId="322"/>
    <cellStyle name="Normal 21" xfId="323"/>
    <cellStyle name="Normal 21 2" xfId="324"/>
    <cellStyle name="Normal 21 3" xfId="325"/>
    <cellStyle name="Normal 21 4" xfId="326"/>
    <cellStyle name="Normal 21 5" xfId="327"/>
    <cellStyle name="Normal 21 6" xfId="328"/>
    <cellStyle name="Normal 22" xfId="329"/>
    <cellStyle name="Normal 22 2" xfId="330"/>
    <cellStyle name="Normal 22 3" xfId="331"/>
    <cellStyle name="Normal 22 4" xfId="332"/>
    <cellStyle name="Normal 22 5" xfId="333"/>
    <cellStyle name="Normal 22 6" xfId="334"/>
    <cellStyle name="Normal 23" xfId="335"/>
    <cellStyle name="Normal 23 2" xfId="336"/>
    <cellStyle name="Normal 23 3" xfId="337"/>
    <cellStyle name="Normal 23 4" xfId="338"/>
    <cellStyle name="Normal 23 5" xfId="339"/>
    <cellStyle name="Normal 23 6" xfId="340"/>
    <cellStyle name="Normal 24" xfId="341"/>
    <cellStyle name="Normal 24 2" xfId="342"/>
    <cellStyle name="Normal 24 3" xfId="343"/>
    <cellStyle name="Normal 24 4" xfId="344"/>
    <cellStyle name="Normal 24 5" xfId="345"/>
    <cellStyle name="Normal 24 6" xfId="346"/>
    <cellStyle name="Normal 25" xfId="347"/>
    <cellStyle name="Normal 25 2" xfId="348"/>
    <cellStyle name="Normal 25 3" xfId="349"/>
    <cellStyle name="Normal 25 4" xfId="350"/>
    <cellStyle name="Normal 25 5" xfId="351"/>
    <cellStyle name="Normal 25 6" xfId="352"/>
    <cellStyle name="Normal 26" xfId="353"/>
    <cellStyle name="Normal 26 2" xfId="354"/>
    <cellStyle name="Normal 26 3" xfId="355"/>
    <cellStyle name="Normal 26 4" xfId="356"/>
    <cellStyle name="Normal 26 5" xfId="357"/>
    <cellStyle name="Normal 26 6" xfId="358"/>
    <cellStyle name="Normal 27" xfId="359"/>
    <cellStyle name="Normal 27 2" xfId="360"/>
    <cellStyle name="Normal 27 2 3" xfId="582"/>
    <cellStyle name="Normal 27 3" xfId="361"/>
    <cellStyle name="Normal 27 4" xfId="362"/>
    <cellStyle name="Normal 27 5" xfId="363"/>
    <cellStyle name="Normal 27 6" xfId="364"/>
    <cellStyle name="Normal 28" xfId="365"/>
    <cellStyle name="Normal 28 2" xfId="366"/>
    <cellStyle name="Normal 28 3" xfId="367"/>
    <cellStyle name="Normal 28 4" xfId="368"/>
    <cellStyle name="Normal 28 5" xfId="369"/>
    <cellStyle name="Normal 28 6" xfId="370"/>
    <cellStyle name="Normal 29" xfId="371"/>
    <cellStyle name="Normal 29 2" xfId="372"/>
    <cellStyle name="Normal 29 3" xfId="373"/>
    <cellStyle name="Normal 29 4" xfId="374"/>
    <cellStyle name="Normal 29 5" xfId="375"/>
    <cellStyle name="Normal 29 6" xfId="376"/>
    <cellStyle name="Normal 3" xfId="377"/>
    <cellStyle name="Normal 3 10" xfId="378"/>
    <cellStyle name="Normal 3 11" xfId="379"/>
    <cellStyle name="Normal 3 12" xfId="380"/>
    <cellStyle name="Normal 3 13" xfId="566"/>
    <cellStyle name="Normal 3 2" xfId="381"/>
    <cellStyle name="Normal 3 3" xfId="382"/>
    <cellStyle name="Normal 3 4" xfId="383"/>
    <cellStyle name="Normal 3 5" xfId="384"/>
    <cellStyle name="Normal 3 6" xfId="385"/>
    <cellStyle name="Normal 3 7" xfId="386"/>
    <cellStyle name="Normal 3 8" xfId="387"/>
    <cellStyle name="Normal 3 9" xfId="388"/>
    <cellStyle name="Normal 3_Cédulas 12-31-2009" xfId="389"/>
    <cellStyle name="Normal 30" xfId="390"/>
    <cellStyle name="Normal 30 2" xfId="391"/>
    <cellStyle name="Normal 30 3" xfId="392"/>
    <cellStyle name="Normal 30 4" xfId="393"/>
    <cellStyle name="Normal 30 5" xfId="394"/>
    <cellStyle name="Normal 30 6" xfId="395"/>
    <cellStyle name="Normal 31" xfId="396"/>
    <cellStyle name="Normal 31 2" xfId="397"/>
    <cellStyle name="Normal 31 3" xfId="398"/>
    <cellStyle name="Normal 31 4" xfId="399"/>
    <cellStyle name="Normal 31 5" xfId="400"/>
    <cellStyle name="Normal 31 6" xfId="401"/>
    <cellStyle name="Normal 32" xfId="402"/>
    <cellStyle name="Normal 32 2" xfId="403"/>
    <cellStyle name="Normal 32 3" xfId="404"/>
    <cellStyle name="Normal 32 4" xfId="405"/>
    <cellStyle name="Normal 32 5" xfId="406"/>
    <cellStyle name="Normal 32 6" xfId="407"/>
    <cellStyle name="Normal 33" xfId="408"/>
    <cellStyle name="Normal 33 2" xfId="409"/>
    <cellStyle name="Normal 33 3" xfId="410"/>
    <cellStyle name="Normal 33 4" xfId="411"/>
    <cellStyle name="Normal 33 5" xfId="412"/>
    <cellStyle name="Normal 33 6" xfId="413"/>
    <cellStyle name="Normal 34" xfId="414"/>
    <cellStyle name="Normal 34 2" xfId="415"/>
    <cellStyle name="Normal 34 3" xfId="416"/>
    <cellStyle name="Normal 34 4" xfId="417"/>
    <cellStyle name="Normal 34 5" xfId="418"/>
    <cellStyle name="Normal 34 6" xfId="419"/>
    <cellStyle name="Normal 35" xfId="420"/>
    <cellStyle name="Normal 35 2" xfId="421"/>
    <cellStyle name="Normal 35 3" xfId="422"/>
    <cellStyle name="Normal 35 4" xfId="423"/>
    <cellStyle name="Normal 35 5" xfId="424"/>
    <cellStyle name="Normal 35 6" xfId="425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7" xfId="432"/>
    <cellStyle name="Normal 37 2" xfId="433"/>
    <cellStyle name="Normal 37 3" xfId="434"/>
    <cellStyle name="Normal 37 4" xfId="435"/>
    <cellStyle name="Normal 37 5" xfId="436"/>
    <cellStyle name="Normal 37 6" xfId="437"/>
    <cellStyle name="Normal 38" xfId="438"/>
    <cellStyle name="Normal 38 2" xfId="439"/>
    <cellStyle name="Normal 38 3" xfId="440"/>
    <cellStyle name="Normal 38 4" xfId="441"/>
    <cellStyle name="Normal 38 5" xfId="442"/>
    <cellStyle name="Normal 38 6" xfId="443"/>
    <cellStyle name="Normal 39" xfId="444"/>
    <cellStyle name="Normal 39 2" xfId="445"/>
    <cellStyle name="Normal 39 3" xfId="446"/>
    <cellStyle name="Normal 39 4" xfId="447"/>
    <cellStyle name="Normal 39 5" xfId="448"/>
    <cellStyle name="Normal 39 6" xfId="449"/>
    <cellStyle name="Normal 4" xfId="450"/>
    <cellStyle name="Normal 4 2" xfId="567"/>
    <cellStyle name="Normal 40" xfId="451"/>
    <cellStyle name="Normal 41" xfId="452"/>
    <cellStyle name="Normal 41 2" xfId="453"/>
    <cellStyle name="Normal 41 3" xfId="454"/>
    <cellStyle name="Normal 41 4" xfId="455"/>
    <cellStyle name="Normal 41 5" xfId="456"/>
    <cellStyle name="Normal 41 6" xfId="457"/>
    <cellStyle name="Normal 42" xfId="458"/>
    <cellStyle name="Normal 42 2" xfId="459"/>
    <cellStyle name="Normal 42 3" xfId="460"/>
    <cellStyle name="Normal 42 4" xfId="461"/>
    <cellStyle name="Normal 42 5" xfId="462"/>
    <cellStyle name="Normal 42 6" xfId="463"/>
    <cellStyle name="Normal 43" xfId="464"/>
    <cellStyle name="Normal 44" xfId="465"/>
    <cellStyle name="Normal 45" xfId="466"/>
    <cellStyle name="Normal 46" xfId="467"/>
    <cellStyle name="Normal 47" xfId="468"/>
    <cellStyle name="Normal 47 2" xfId="469"/>
    <cellStyle name="Normal 48" xfId="470"/>
    <cellStyle name="Normal 49" xfId="471"/>
    <cellStyle name="Normal 5" xfId="472"/>
    <cellStyle name="Normal 5 10" xfId="473"/>
    <cellStyle name="Normal 5 11" xfId="474"/>
    <cellStyle name="Normal 5 12" xfId="475"/>
    <cellStyle name="Normal 5 2" xfId="476"/>
    <cellStyle name="Normal 5 3" xfId="477"/>
    <cellStyle name="Normal 5 4" xfId="478"/>
    <cellStyle name="Normal 5 5" xfId="479"/>
    <cellStyle name="Normal 5 6" xfId="480"/>
    <cellStyle name="Normal 5 7" xfId="481"/>
    <cellStyle name="Normal 5 8" xfId="482"/>
    <cellStyle name="Normal 5 9" xfId="483"/>
    <cellStyle name="Normal 5_Prueba de Sueldos 2" xfId="484"/>
    <cellStyle name="Normal 50" xfId="485"/>
    <cellStyle name="Normal 51" xfId="486"/>
    <cellStyle name="Normal 51 2" xfId="487"/>
    <cellStyle name="Normal 52" xfId="488"/>
    <cellStyle name="Normal 53" xfId="489"/>
    <cellStyle name="Normal 54" xfId="490"/>
    <cellStyle name="Normal 55" xfId="491"/>
    <cellStyle name="Normal 56" xfId="492"/>
    <cellStyle name="Normal 57" xfId="493"/>
    <cellStyle name="Normal 58" xfId="494"/>
    <cellStyle name="Normal 59" xfId="495"/>
    <cellStyle name="Normal 6" xfId="496"/>
    <cellStyle name="Normal 6 2" xfId="497"/>
    <cellStyle name="Normal 6 3" xfId="498"/>
    <cellStyle name="Normal 6 4" xfId="499"/>
    <cellStyle name="Normal 6 5" xfId="500"/>
    <cellStyle name="Normal 6 6" xfId="501"/>
    <cellStyle name="Normal 6 7" xfId="561"/>
    <cellStyle name="Normal 6 8" xfId="502"/>
    <cellStyle name="Normal 6_Prueba de Sueldos 2" xfId="503"/>
    <cellStyle name="Normal 60" xfId="504"/>
    <cellStyle name="Normal 61" xfId="505"/>
    <cellStyle name="Normal 62" xfId="506"/>
    <cellStyle name="Normal 63" xfId="507"/>
    <cellStyle name="Normal 63 2" xfId="508"/>
    <cellStyle name="Normal 63_prestamos bancarios " xfId="509"/>
    <cellStyle name="Normal 64" xfId="558"/>
    <cellStyle name="Normal 65" xfId="574"/>
    <cellStyle name="Normal 66" xfId="510"/>
    <cellStyle name="Normal 7" xfId="511"/>
    <cellStyle name="Normal 7 2" xfId="512"/>
    <cellStyle name="Normal 7 3" xfId="513"/>
    <cellStyle name="Normal 7 4" xfId="514"/>
    <cellStyle name="Normal 7 5" xfId="515"/>
    <cellStyle name="Normal 7 6" xfId="516"/>
    <cellStyle name="Normal 8" xfId="517"/>
    <cellStyle name="Normal 8 2" xfId="518"/>
    <cellStyle name="Normal 8 3" xfId="519"/>
    <cellStyle name="Normal 8 4" xfId="520"/>
    <cellStyle name="Normal 8 5" xfId="521"/>
    <cellStyle name="Normal 8 6" xfId="522"/>
    <cellStyle name="Normal 8_R8-001 Papeles de Trabajo 2009 betsy" xfId="523"/>
    <cellStyle name="Normal 80" xfId="580"/>
    <cellStyle name="Normal 9" xfId="524"/>
    <cellStyle name="Normal 9 2" xfId="525"/>
    <cellStyle name="Normal 9 3" xfId="526"/>
    <cellStyle name="Normal 9 4" xfId="527"/>
    <cellStyle name="Normal 9 5" xfId="528"/>
    <cellStyle name="Normal 9 6" xfId="529"/>
    <cellStyle name="Normal 9_Cédulas 12-31-2009" xfId="530"/>
    <cellStyle name="PESO" xfId="531"/>
    <cellStyle name="PESO 2" xfId="532"/>
    <cellStyle name="PESO 3" xfId="533"/>
    <cellStyle name="PESO 4" xfId="534"/>
    <cellStyle name="PESO 5" xfId="535"/>
    <cellStyle name="PESO 6" xfId="536"/>
    <cellStyle name="PESO_Cédulas 12-31-2009" xfId="537"/>
    <cellStyle name="Piloto de Datos Ángulo" xfId="569"/>
    <cellStyle name="Piloto de Datos Campo" xfId="570"/>
    <cellStyle name="Piloto de Datos Resultado" xfId="571"/>
    <cellStyle name="Piloto de Datos Título" xfId="572"/>
    <cellStyle name="Piloto de Datos Valor" xfId="573"/>
    <cellStyle name="Porcentaje" xfId="3" builtinId="5"/>
    <cellStyle name="Porcentaje 2" xfId="560"/>
    <cellStyle name="Porcentual 10" xfId="538"/>
    <cellStyle name="Porcentual 2" xfId="539"/>
    <cellStyle name="Porcentual 2 2" xfId="540"/>
    <cellStyle name="Porcentual 2 2 2" xfId="541"/>
    <cellStyle name="Porcentual 2 3" xfId="542"/>
    <cellStyle name="Porcentual 3" xfId="543"/>
    <cellStyle name="Porcentual 3 2" xfId="544"/>
    <cellStyle name="Porcentual 3 3" xfId="545"/>
    <cellStyle name="Porcentual 3 4" xfId="546"/>
    <cellStyle name="Porcentual 4" xfId="547"/>
    <cellStyle name="Porcentual 5" xfId="548"/>
    <cellStyle name="Porcentual 6" xfId="549"/>
    <cellStyle name="Porcentual 7" xfId="550"/>
    <cellStyle name="Porcentual 8" xfId="551"/>
    <cellStyle name="Porcentual 8 2" xfId="552"/>
    <cellStyle name="Porcentual 9" xfId="553"/>
    <cellStyle name="STYLE1" xfId="554"/>
    <cellStyle name="STYLE2" xfId="555"/>
    <cellStyle name="STYLE3" xfId="556"/>
    <cellStyle name="STYLE4" xfId="5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meida/AppData/Local/Microsoft/Windows/Temporary%20Internet%20Files/Content.Outlook/UNUCO3KS/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meida/AppData/Local/Microsoft/Windows/Temporary%20Internet%20Files/Content.Outlook/UNUCO3KS/Evaluaci&#243;n%20de%20variaciones%202015-2016%20Telconet%20y%20Subsidiar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>
        <row r="101">
          <cell r="C101">
            <v>9357519.0706554651</v>
          </cell>
        </row>
      </sheetData>
      <sheetData sheetId="1"/>
      <sheetData sheetId="2"/>
      <sheetData sheetId="3">
        <row r="32">
          <cell r="D32">
            <v>828548.36364874605</v>
          </cell>
        </row>
      </sheetData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 2015"/>
      <sheetName val="VariaciónPatrimonios"/>
      <sheetName val="Asientos 2016"/>
    </sheetNames>
    <sheetDataSet>
      <sheetData sheetId="0"/>
      <sheetData sheetId="1">
        <row r="18">
          <cell r="C18">
            <v>646013</v>
          </cell>
        </row>
        <row r="49">
          <cell r="C49">
            <v>49015</v>
          </cell>
        </row>
        <row r="65">
          <cell r="C65">
            <v>330450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85"/>
  <sheetViews>
    <sheetView tabSelected="1" view="pageBreakPreview" zoomScale="60" zoomScaleNormal="80" workbookViewId="0"/>
  </sheetViews>
  <sheetFormatPr baseColWidth="10" defaultColWidth="11.44140625" defaultRowHeight="14.4"/>
  <cols>
    <col min="1" max="1" width="47.6640625" style="96" bestFit="1" customWidth="1"/>
    <col min="2" max="2" width="17.6640625" style="96" hidden="1" customWidth="1"/>
    <col min="3" max="3" width="23.109375" style="96" hidden="1" customWidth="1"/>
    <col min="4" max="14" width="17.6640625" style="96" hidden="1" customWidth="1"/>
    <col min="15" max="15" width="9.5546875" style="96" hidden="1" customWidth="1"/>
    <col min="16" max="17" width="14.109375" style="96" hidden="1" customWidth="1"/>
    <col min="18" max="18" width="28" style="96" hidden="1" customWidth="1"/>
    <col min="19" max="19" width="23.44140625" style="96" customWidth="1"/>
    <col min="20" max="20" width="20.44140625" style="96" bestFit="1" customWidth="1"/>
    <col min="21" max="21" width="21.109375" style="96" bestFit="1" customWidth="1"/>
    <col min="22" max="22" width="18" style="96" bestFit="1" customWidth="1"/>
    <col min="23" max="24" width="16.88671875" style="96" bestFit="1" customWidth="1"/>
    <col min="25" max="25" width="12.5546875" style="96" customWidth="1"/>
    <col min="26" max="26" width="15.88671875" style="96" customWidth="1"/>
    <col min="27" max="27" width="16.33203125" style="96" customWidth="1"/>
    <col min="28" max="30" width="14.33203125" style="96" customWidth="1"/>
    <col min="31" max="31" width="14.88671875" style="96" customWidth="1"/>
    <col min="32" max="32" width="8.33203125" style="96" customWidth="1"/>
    <col min="33" max="33" width="13.6640625" style="96" customWidth="1"/>
    <col min="34" max="34" width="15.33203125" style="96" customWidth="1"/>
    <col min="35" max="35" width="17.44140625" style="96" customWidth="1"/>
    <col min="36" max="36" width="17.44140625" style="96" hidden="1" customWidth="1"/>
    <col min="37" max="37" width="19" style="96" hidden="1" customWidth="1"/>
    <col min="38" max="38" width="14.33203125" style="96" bestFit="1" customWidth="1"/>
    <col min="39" max="39" width="14.44140625" style="96" customWidth="1"/>
    <col min="40" max="40" width="11.44140625" style="96"/>
    <col min="41" max="41" width="14" style="96" customWidth="1"/>
    <col min="42" max="42" width="13.33203125" style="96" customWidth="1"/>
    <col min="43" max="16384" width="11.44140625" style="96"/>
  </cols>
  <sheetData>
    <row r="1" spans="1:41">
      <c r="A1" s="346" t="s">
        <v>49</v>
      </c>
      <c r="C1" s="346"/>
      <c r="E1" s="346"/>
      <c r="F1" s="346"/>
      <c r="G1" s="347"/>
      <c r="H1" s="347"/>
      <c r="I1" s="347"/>
      <c r="J1" s="347"/>
      <c r="K1" s="347"/>
      <c r="L1" s="347"/>
      <c r="M1" s="347"/>
      <c r="N1" s="347"/>
      <c r="P1" s="348"/>
      <c r="Q1" s="347"/>
      <c r="R1" s="347"/>
      <c r="T1" s="316"/>
      <c r="AJ1" s="347"/>
      <c r="AK1" s="347"/>
    </row>
    <row r="2" spans="1:41">
      <c r="A2" s="349" t="s">
        <v>36</v>
      </c>
      <c r="B2" s="347"/>
      <c r="C2" s="349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P2" s="347"/>
      <c r="Q2" s="347"/>
      <c r="R2" s="347"/>
      <c r="T2" s="318"/>
      <c r="AJ2" s="347"/>
      <c r="AK2" s="347"/>
    </row>
    <row r="3" spans="1:41" ht="24.75" customHeight="1">
      <c r="A3" s="350"/>
      <c r="C3" s="350"/>
      <c r="F3" s="351"/>
      <c r="G3" s="316"/>
      <c r="P3" s="599" t="s">
        <v>11</v>
      </c>
      <c r="Q3" s="600"/>
      <c r="V3" s="316"/>
      <c r="AG3" s="599" t="s">
        <v>11</v>
      </c>
      <c r="AH3" s="600"/>
    </row>
    <row r="4" spans="1:41" ht="78" customHeight="1">
      <c r="A4" s="352" t="s">
        <v>4</v>
      </c>
      <c r="B4" s="353" t="s">
        <v>97</v>
      </c>
      <c r="C4" s="352" t="s">
        <v>245</v>
      </c>
      <c r="D4" s="353" t="s">
        <v>301</v>
      </c>
      <c r="E4" s="353" t="s">
        <v>180</v>
      </c>
      <c r="F4" s="353" t="s">
        <v>103</v>
      </c>
      <c r="G4" s="353" t="s">
        <v>98</v>
      </c>
      <c r="H4" s="353" t="s">
        <v>99</v>
      </c>
      <c r="I4" s="353" t="s">
        <v>100</v>
      </c>
      <c r="J4" s="353" t="s">
        <v>101</v>
      </c>
      <c r="K4" s="353" t="s">
        <v>106</v>
      </c>
      <c r="L4" s="353" t="s">
        <v>102</v>
      </c>
      <c r="M4" s="353" t="s">
        <v>104</v>
      </c>
      <c r="N4" s="353" t="s">
        <v>24</v>
      </c>
      <c r="O4" s="353" t="s">
        <v>10</v>
      </c>
      <c r="P4" s="353" t="s">
        <v>12</v>
      </c>
      <c r="Q4" s="353" t="s">
        <v>13</v>
      </c>
      <c r="R4" s="353" t="s">
        <v>302</v>
      </c>
      <c r="S4" s="353" t="s">
        <v>400</v>
      </c>
      <c r="T4" s="353" t="s">
        <v>390</v>
      </c>
      <c r="U4" s="353" t="s">
        <v>391</v>
      </c>
      <c r="V4" s="353" t="s">
        <v>411</v>
      </c>
      <c r="W4" s="353" t="s">
        <v>417</v>
      </c>
      <c r="X4" s="353" t="s">
        <v>418</v>
      </c>
      <c r="Y4" s="353" t="s">
        <v>401</v>
      </c>
      <c r="Z4" s="353" t="s">
        <v>403</v>
      </c>
      <c r="AA4" s="353" t="s">
        <v>402</v>
      </c>
      <c r="AB4" s="353" t="s">
        <v>393</v>
      </c>
      <c r="AC4" s="353" t="s">
        <v>392</v>
      </c>
      <c r="AD4" s="353" t="s">
        <v>295</v>
      </c>
      <c r="AE4" s="353" t="s">
        <v>24</v>
      </c>
      <c r="AF4" s="353" t="s">
        <v>10</v>
      </c>
      <c r="AG4" s="353" t="s">
        <v>12</v>
      </c>
      <c r="AH4" s="353" t="s">
        <v>13</v>
      </c>
      <c r="AI4" s="353" t="s">
        <v>431</v>
      </c>
      <c r="AJ4" s="353" t="s">
        <v>245</v>
      </c>
      <c r="AK4" s="353" t="s">
        <v>303</v>
      </c>
    </row>
    <row r="5" spans="1:41" s="390" customFormat="1" ht="15.75" customHeight="1">
      <c r="A5" s="386" t="s">
        <v>22</v>
      </c>
      <c r="B5" s="385">
        <v>2767055</v>
      </c>
      <c r="C5" s="387">
        <f>D5-B5</f>
        <v>0</v>
      </c>
      <c r="D5" s="385">
        <v>2767055</v>
      </c>
      <c r="E5" s="385">
        <v>11901</v>
      </c>
      <c r="F5" s="385">
        <v>2651.43</v>
      </c>
      <c r="G5" s="385">
        <v>67392.38</v>
      </c>
      <c r="H5" s="385">
        <v>914.33</v>
      </c>
      <c r="I5" s="385">
        <v>0</v>
      </c>
      <c r="J5" s="385">
        <v>0</v>
      </c>
      <c r="K5" s="385">
        <v>10000</v>
      </c>
      <c r="L5" s="385">
        <v>0</v>
      </c>
      <c r="M5" s="385">
        <v>800</v>
      </c>
      <c r="N5" s="388">
        <f t="shared" ref="N5:N25" si="0">SUM(D5:M5)</f>
        <v>2860714.14</v>
      </c>
      <c r="O5" s="389"/>
      <c r="P5" s="385"/>
      <c r="Q5" s="385"/>
      <c r="R5" s="385">
        <f>N5+P5-Q5</f>
        <v>2860714.14</v>
      </c>
      <c r="S5" s="385">
        <v>1607132</v>
      </c>
      <c r="T5" s="385">
        <v>42926</v>
      </c>
      <c r="U5" s="385">
        <v>6856</v>
      </c>
      <c r="V5" s="385">
        <v>2227</v>
      </c>
      <c r="W5" s="385">
        <v>3845</v>
      </c>
      <c r="X5" s="385">
        <v>0</v>
      </c>
      <c r="Y5" s="385">
        <v>0</v>
      </c>
      <c r="Z5" s="385">
        <v>10000</v>
      </c>
      <c r="AA5" s="385">
        <v>0</v>
      </c>
      <c r="AB5" s="385">
        <v>5631</v>
      </c>
      <c r="AC5" s="385">
        <v>10301</v>
      </c>
      <c r="AD5" s="385">
        <v>53644</v>
      </c>
      <c r="AE5" s="388">
        <f>SUM(S5:AD5)</f>
        <v>1742562</v>
      </c>
      <c r="AF5" s="389"/>
      <c r="AG5" s="385"/>
      <c r="AH5" s="385"/>
      <c r="AI5" s="385">
        <f>AE5+AG5-AH5</f>
        <v>1742562</v>
      </c>
      <c r="AJ5" s="385">
        <f>AI5-AK5</f>
        <v>-1118152</v>
      </c>
      <c r="AK5" s="385">
        <v>2860714</v>
      </c>
    </row>
    <row r="6" spans="1:41" s="390" customFormat="1" ht="27.75" customHeight="1">
      <c r="A6" s="386" t="s">
        <v>65</v>
      </c>
      <c r="B6" s="385">
        <v>1874777</v>
      </c>
      <c r="C6" s="387">
        <f t="shared" ref="C6:C25" si="1">D6-B6</f>
        <v>0</v>
      </c>
      <c r="D6" s="385">
        <v>1874777</v>
      </c>
      <c r="E6" s="385">
        <v>0</v>
      </c>
      <c r="F6" s="385">
        <v>0</v>
      </c>
      <c r="G6" s="385">
        <v>0</v>
      </c>
      <c r="H6" s="385">
        <v>0</v>
      </c>
      <c r="I6" s="385">
        <v>0</v>
      </c>
      <c r="J6" s="385">
        <v>0</v>
      </c>
      <c r="K6" s="385">
        <v>0</v>
      </c>
      <c r="L6" s="385">
        <v>0</v>
      </c>
      <c r="M6" s="385">
        <v>0</v>
      </c>
      <c r="N6" s="388">
        <f t="shared" si="0"/>
        <v>1874777</v>
      </c>
      <c r="O6" s="389"/>
      <c r="P6" s="385"/>
      <c r="Q6" s="385"/>
      <c r="R6" s="385">
        <f>N6+P6-Q6</f>
        <v>1874777</v>
      </c>
      <c r="S6" s="385">
        <v>2644455</v>
      </c>
      <c r="T6" s="385">
        <v>0</v>
      </c>
      <c r="U6" s="385">
        <v>0</v>
      </c>
      <c r="V6" s="385">
        <v>0</v>
      </c>
      <c r="W6" s="385">
        <v>0</v>
      </c>
      <c r="X6" s="385">
        <v>0</v>
      </c>
      <c r="Y6" s="385">
        <v>0</v>
      </c>
      <c r="Z6" s="385">
        <v>0</v>
      </c>
      <c r="AA6" s="385">
        <v>0</v>
      </c>
      <c r="AB6" s="385">
        <v>0</v>
      </c>
      <c r="AC6" s="385">
        <v>0</v>
      </c>
      <c r="AD6" s="385">
        <v>0</v>
      </c>
      <c r="AE6" s="388">
        <f t="shared" ref="AE6:AE24" si="2">SUM(S6:AD6)</f>
        <v>2644455</v>
      </c>
      <c r="AF6" s="389"/>
      <c r="AG6" s="385"/>
      <c r="AH6" s="385"/>
      <c r="AI6" s="385">
        <f>AE6+AG6-AH6</f>
        <v>2644455</v>
      </c>
      <c r="AJ6" s="385">
        <f t="shared" ref="AJ6:AJ58" si="3">AI6-AK6</f>
        <v>769678</v>
      </c>
      <c r="AK6" s="385">
        <v>1874777</v>
      </c>
    </row>
    <row r="7" spans="1:41" s="390" customFormat="1" ht="26.25" customHeight="1">
      <c r="A7" s="386" t="s">
        <v>66</v>
      </c>
      <c r="B7" s="385">
        <v>4274933</v>
      </c>
      <c r="C7" s="387">
        <f t="shared" si="1"/>
        <v>0</v>
      </c>
      <c r="D7" s="385">
        <v>4274933</v>
      </c>
      <c r="E7" s="385">
        <v>0</v>
      </c>
      <c r="F7" s="385">
        <v>0</v>
      </c>
      <c r="G7" s="385">
        <v>0</v>
      </c>
      <c r="H7" s="385">
        <v>0</v>
      </c>
      <c r="I7" s="385">
        <v>0</v>
      </c>
      <c r="J7" s="385">
        <v>0</v>
      </c>
      <c r="K7" s="385">
        <v>0</v>
      </c>
      <c r="L7" s="385">
        <v>0</v>
      </c>
      <c r="M7" s="385">
        <v>0</v>
      </c>
      <c r="N7" s="388">
        <f t="shared" si="0"/>
        <v>4274933</v>
      </c>
      <c r="O7" s="389"/>
      <c r="P7" s="385"/>
      <c r="Q7" s="385"/>
      <c r="R7" s="385">
        <f>N7+P7-Q7</f>
        <v>4274933</v>
      </c>
      <c r="S7" s="385">
        <v>102620</v>
      </c>
      <c r="T7" s="385">
        <v>0</v>
      </c>
      <c r="U7" s="385">
        <v>0</v>
      </c>
      <c r="V7" s="385">
        <v>0</v>
      </c>
      <c r="W7" s="385">
        <v>0</v>
      </c>
      <c r="X7" s="385">
        <v>0</v>
      </c>
      <c r="Y7" s="385">
        <v>0</v>
      </c>
      <c r="Z7" s="385">
        <v>0</v>
      </c>
      <c r="AA7" s="385">
        <v>0</v>
      </c>
      <c r="AB7" s="385">
        <v>0</v>
      </c>
      <c r="AC7" s="385">
        <v>0</v>
      </c>
      <c r="AD7" s="385">
        <v>0</v>
      </c>
      <c r="AE7" s="388">
        <f t="shared" si="2"/>
        <v>102620</v>
      </c>
      <c r="AF7" s="389"/>
      <c r="AG7" s="385"/>
      <c r="AH7" s="385"/>
      <c r="AI7" s="385">
        <f>AE7+AG7-AH7</f>
        <v>102620</v>
      </c>
      <c r="AJ7" s="385">
        <f t="shared" si="3"/>
        <v>-4172313</v>
      </c>
      <c r="AK7" s="385">
        <v>4274933</v>
      </c>
    </row>
    <row r="8" spans="1:41" s="390" customFormat="1" ht="15.75" customHeight="1">
      <c r="A8" s="386" t="s">
        <v>67</v>
      </c>
      <c r="B8" s="385">
        <v>18677464</v>
      </c>
      <c r="C8" s="387">
        <f t="shared" si="1"/>
        <v>0</v>
      </c>
      <c r="D8" s="385">
        <v>18677464</v>
      </c>
      <c r="E8" s="385">
        <v>0</v>
      </c>
      <c r="F8" s="385">
        <v>0</v>
      </c>
      <c r="G8" s="385">
        <v>0</v>
      </c>
      <c r="H8" s="385">
        <f>13716.03-435.11</f>
        <v>13280.92</v>
      </c>
      <c r="I8" s="385">
        <v>0</v>
      </c>
      <c r="J8" s="385">
        <v>0</v>
      </c>
      <c r="K8" s="385">
        <v>0</v>
      </c>
      <c r="L8" s="385">
        <v>0</v>
      </c>
      <c r="M8" s="385">
        <v>0</v>
      </c>
      <c r="N8" s="388">
        <f t="shared" si="0"/>
        <v>18690744.920000002</v>
      </c>
      <c r="O8" s="389"/>
      <c r="P8" s="385"/>
      <c r="Q8" s="385"/>
      <c r="R8" s="385">
        <f t="shared" ref="R8:R24" si="4">N8+P8-Q8</f>
        <v>18690744.920000002</v>
      </c>
      <c r="S8" s="393">
        <v>10565005</v>
      </c>
      <c r="T8" s="385">
        <v>4461516</v>
      </c>
      <c r="U8" s="385">
        <v>273861</v>
      </c>
      <c r="V8" s="385">
        <v>0</v>
      </c>
      <c r="W8" s="385">
        <v>18892</v>
      </c>
      <c r="X8" s="385">
        <v>0</v>
      </c>
      <c r="Y8" s="385">
        <v>0</v>
      </c>
      <c r="Z8" s="385">
        <v>0</v>
      </c>
      <c r="AA8" s="385">
        <v>0</v>
      </c>
      <c r="AB8" s="385">
        <v>41672</v>
      </c>
      <c r="AC8" s="385">
        <f>81977-46414</f>
        <v>35563</v>
      </c>
      <c r="AD8" s="385">
        <v>166895</v>
      </c>
      <c r="AE8" s="388">
        <f t="shared" si="2"/>
        <v>15563404</v>
      </c>
      <c r="AF8" s="389" t="s">
        <v>286</v>
      </c>
      <c r="AG8" s="385"/>
      <c r="AH8" s="385">
        <f>+'Diarios Cxc Cxp relac (c)'!E36</f>
        <v>0</v>
      </c>
      <c r="AI8" s="385">
        <f t="shared" ref="AI8:AI25" si="5">AE8+AG8-AH8</f>
        <v>15563404</v>
      </c>
      <c r="AJ8" s="385">
        <f t="shared" si="3"/>
        <v>-3127341</v>
      </c>
      <c r="AK8" s="385">
        <v>18690745</v>
      </c>
      <c r="AL8" s="390">
        <v>2620913.81</v>
      </c>
      <c r="AM8" s="391">
        <f>T8-AL8</f>
        <v>1840602.19</v>
      </c>
    </row>
    <row r="9" spans="1:41" s="401" customFormat="1">
      <c r="A9" s="397" t="s">
        <v>5</v>
      </c>
      <c r="B9" s="395">
        <v>7836813</v>
      </c>
      <c r="C9" s="398">
        <f t="shared" si="1"/>
        <v>505882</v>
      </c>
      <c r="D9" s="395">
        <v>8342695</v>
      </c>
      <c r="E9" s="395">
        <v>116867</v>
      </c>
      <c r="F9" s="395">
        <f>900.42+10742.79</f>
        <v>11643.210000000001</v>
      </c>
      <c r="G9" s="395">
        <v>1646872.1</v>
      </c>
      <c r="H9" s="395">
        <v>0</v>
      </c>
      <c r="I9" s="395">
        <v>0</v>
      </c>
      <c r="J9" s="395">
        <v>0</v>
      </c>
      <c r="K9" s="395">
        <v>0</v>
      </c>
      <c r="L9" s="395">
        <v>0</v>
      </c>
      <c r="M9" s="395">
        <v>0</v>
      </c>
      <c r="N9" s="399">
        <f t="shared" si="0"/>
        <v>10118077.310000001</v>
      </c>
      <c r="O9" s="400" t="s">
        <v>178</v>
      </c>
      <c r="P9" s="395"/>
      <c r="Q9" s="395">
        <f>+'Asientos - para Consolidado'!E69+'Asientos - para Consolidado'!E66+'Asientos - para Consolidado'!E67+'Asientos - para Consolidado'!E68+'Asientos - para Consolidado'!E70</f>
        <v>6488095.8899999997</v>
      </c>
      <c r="R9" s="395">
        <f t="shared" si="4"/>
        <v>3629981.4200000009</v>
      </c>
      <c r="S9" s="395">
        <v>32908556</v>
      </c>
      <c r="T9" s="395">
        <v>2044176</v>
      </c>
      <c r="U9" s="395">
        <v>717537</v>
      </c>
      <c r="V9" s="395">
        <v>990080</v>
      </c>
      <c r="W9" s="395">
        <v>0</v>
      </c>
      <c r="X9" s="395">
        <v>0</v>
      </c>
      <c r="Y9" s="395">
        <v>0</v>
      </c>
      <c r="Z9" s="395">
        <v>0</v>
      </c>
      <c r="AA9" s="395">
        <v>0</v>
      </c>
      <c r="AB9" s="395">
        <v>0</v>
      </c>
      <c r="AC9" s="395">
        <v>0</v>
      </c>
      <c r="AD9" s="395">
        <v>10000</v>
      </c>
      <c r="AE9" s="399">
        <f t="shared" si="2"/>
        <v>36670349</v>
      </c>
      <c r="AF9" s="400" t="s">
        <v>286</v>
      </c>
      <c r="AG9" s="395"/>
      <c r="AH9" s="395">
        <f>+'Diarios Cxc Cxp relac (c)'!E33</f>
        <v>8986223</v>
      </c>
      <c r="AI9" s="395">
        <f t="shared" si="5"/>
        <v>27684126</v>
      </c>
      <c r="AJ9" s="395">
        <f t="shared" si="3"/>
        <v>24054145</v>
      </c>
      <c r="AK9" s="395">
        <v>3629981</v>
      </c>
    </row>
    <row r="10" spans="1:41" s="390" customFormat="1" ht="15.75" customHeight="1">
      <c r="A10" s="386" t="s">
        <v>68</v>
      </c>
      <c r="B10" s="385">
        <v>7558486</v>
      </c>
      <c r="C10" s="387">
        <f t="shared" si="1"/>
        <v>-505882</v>
      </c>
      <c r="D10" s="385">
        <v>7052604</v>
      </c>
      <c r="E10" s="385">
        <v>0</v>
      </c>
      <c r="F10" s="385">
        <v>0</v>
      </c>
      <c r="G10" s="385">
        <v>0</v>
      </c>
      <c r="H10" s="385">
        <v>13467.8</v>
      </c>
      <c r="I10" s="385">
        <v>0</v>
      </c>
      <c r="J10" s="385">
        <v>0</v>
      </c>
      <c r="K10" s="385">
        <v>0</v>
      </c>
      <c r="L10" s="385">
        <v>0</v>
      </c>
      <c r="M10" s="385">
        <v>0</v>
      </c>
      <c r="N10" s="388">
        <f t="shared" si="0"/>
        <v>7066071.7999999998</v>
      </c>
      <c r="O10" s="389" t="s">
        <v>178</v>
      </c>
      <c r="P10" s="385"/>
      <c r="Q10" s="385"/>
      <c r="R10" s="385">
        <f t="shared" si="4"/>
        <v>7066071.7999999998</v>
      </c>
      <c r="S10" s="385">
        <v>5481731</v>
      </c>
      <c r="T10" s="385">
        <v>4477</v>
      </c>
      <c r="U10" s="385">
        <v>0</v>
      </c>
      <c r="V10" s="385">
        <v>0</v>
      </c>
      <c r="W10" s="385"/>
      <c r="X10" s="385">
        <v>0</v>
      </c>
      <c r="Y10" s="385">
        <v>0</v>
      </c>
      <c r="Z10" s="385">
        <v>0</v>
      </c>
      <c r="AA10" s="385">
        <v>0</v>
      </c>
      <c r="AB10" s="385">
        <v>448</v>
      </c>
      <c r="AC10" s="385">
        <f>35886+1569+4835</f>
        <v>42290</v>
      </c>
      <c r="AD10" s="385">
        <v>9502</v>
      </c>
      <c r="AE10" s="388">
        <f t="shared" si="2"/>
        <v>5538448</v>
      </c>
      <c r="AF10" s="389" t="s">
        <v>286</v>
      </c>
      <c r="AG10" s="385"/>
      <c r="AH10" s="385">
        <f>'Diarios Cxc Cxp relac (c)'!E35</f>
        <v>0</v>
      </c>
      <c r="AI10" s="385">
        <f t="shared" si="5"/>
        <v>5538448</v>
      </c>
      <c r="AJ10" s="385">
        <f t="shared" si="3"/>
        <v>-1527624</v>
      </c>
      <c r="AK10" s="385">
        <v>7066072</v>
      </c>
    </row>
    <row r="11" spans="1:41" s="390" customFormat="1" ht="15.75" customHeight="1">
      <c r="A11" s="386" t="s">
        <v>69</v>
      </c>
      <c r="B11" s="385">
        <v>1085701</v>
      </c>
      <c r="C11" s="387">
        <f t="shared" si="1"/>
        <v>0</v>
      </c>
      <c r="D11" s="385">
        <v>1085701</v>
      </c>
      <c r="E11" s="385">
        <v>0</v>
      </c>
      <c r="F11" s="385">
        <f>557539.9+7.5</f>
        <v>557547.4</v>
      </c>
      <c r="G11" s="385">
        <v>130431.64</v>
      </c>
      <c r="H11" s="385">
        <f>13300.66+68836.97</f>
        <v>82137.63</v>
      </c>
      <c r="I11" s="385">
        <v>0</v>
      </c>
      <c r="J11" s="385">
        <f>6821.11+1167.48</f>
        <v>7988.59</v>
      </c>
      <c r="K11" s="385">
        <v>0</v>
      </c>
      <c r="L11" s="385">
        <v>0</v>
      </c>
      <c r="M11" s="385">
        <v>0</v>
      </c>
      <c r="N11" s="388">
        <f t="shared" si="0"/>
        <v>1863806.26</v>
      </c>
      <c r="O11" s="389"/>
      <c r="P11" s="385"/>
      <c r="Q11" s="385"/>
      <c r="R11" s="385">
        <f t="shared" si="4"/>
        <v>1863806.26</v>
      </c>
      <c r="S11" s="393">
        <v>480186</v>
      </c>
      <c r="T11" s="385">
        <v>0</v>
      </c>
      <c r="U11" s="385">
        <v>60656</v>
      </c>
      <c r="V11" s="385">
        <v>134914</v>
      </c>
      <c r="W11" s="385">
        <v>123577</v>
      </c>
      <c r="X11" s="385">
        <v>0</v>
      </c>
      <c r="Y11" s="385">
        <v>7989</v>
      </c>
      <c r="Z11" s="385">
        <v>0</v>
      </c>
      <c r="AA11" s="385">
        <v>0</v>
      </c>
      <c r="AB11" s="385">
        <v>242520</v>
      </c>
      <c r="AC11" s="385">
        <v>74937</v>
      </c>
      <c r="AD11" s="385" t="s">
        <v>347</v>
      </c>
      <c r="AE11" s="388">
        <f t="shared" si="2"/>
        <v>1124779</v>
      </c>
      <c r="AF11" s="389"/>
      <c r="AG11" s="385"/>
      <c r="AH11" s="385"/>
      <c r="AI11" s="385">
        <f t="shared" si="5"/>
        <v>1124779</v>
      </c>
      <c r="AJ11" s="385">
        <f t="shared" si="3"/>
        <v>-739027</v>
      </c>
      <c r="AK11" s="385">
        <v>1863806</v>
      </c>
    </row>
    <row r="12" spans="1:41" ht="15.75" customHeight="1">
      <c r="A12" s="3" t="s">
        <v>70</v>
      </c>
      <c r="B12" s="4">
        <v>2140316</v>
      </c>
      <c r="C12" s="200">
        <f t="shared" si="1"/>
        <v>0</v>
      </c>
      <c r="D12" s="4">
        <v>2140316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3">
        <f t="shared" si="0"/>
        <v>2140316</v>
      </c>
      <c r="O12" s="12"/>
      <c r="P12" s="4"/>
      <c r="Q12" s="4"/>
      <c r="R12" s="4">
        <f t="shared" si="4"/>
        <v>2140316</v>
      </c>
      <c r="S12" s="4">
        <v>625964</v>
      </c>
      <c r="T12" s="4">
        <v>0</v>
      </c>
      <c r="U12" s="4">
        <v>152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16068</v>
      </c>
      <c r="AC12" s="4">
        <v>0</v>
      </c>
      <c r="AD12" s="4">
        <v>0</v>
      </c>
      <c r="AE12" s="13">
        <f t="shared" si="2"/>
        <v>642184</v>
      </c>
      <c r="AF12" s="12"/>
      <c r="AG12" s="4"/>
      <c r="AH12" s="4"/>
      <c r="AI12" s="4">
        <f t="shared" si="5"/>
        <v>642184</v>
      </c>
      <c r="AJ12" s="4">
        <f t="shared" si="3"/>
        <v>-1498133</v>
      </c>
      <c r="AK12" s="4">
        <v>2140317</v>
      </c>
    </row>
    <row r="13" spans="1:41" s="390" customFormat="1" ht="15.75" customHeight="1">
      <c r="A13" s="386" t="s">
        <v>6</v>
      </c>
      <c r="B13" s="385">
        <v>19594268</v>
      </c>
      <c r="C13" s="387">
        <f t="shared" si="1"/>
        <v>0</v>
      </c>
      <c r="D13" s="385">
        <v>19594268</v>
      </c>
      <c r="E13" s="385">
        <v>0</v>
      </c>
      <c r="F13" s="385">
        <v>0</v>
      </c>
      <c r="G13" s="385">
        <v>0</v>
      </c>
      <c r="H13" s="385">
        <v>0</v>
      </c>
      <c r="I13" s="385">
        <v>0</v>
      </c>
      <c r="J13" s="385">
        <v>0</v>
      </c>
      <c r="K13" s="385">
        <v>0</v>
      </c>
      <c r="L13" s="385">
        <v>0</v>
      </c>
      <c r="M13" s="385">
        <v>0</v>
      </c>
      <c r="N13" s="388">
        <f t="shared" si="0"/>
        <v>19594268</v>
      </c>
      <c r="O13" s="389"/>
      <c r="P13" s="385"/>
      <c r="Q13" s="385"/>
      <c r="R13" s="385">
        <f t="shared" si="4"/>
        <v>19594268</v>
      </c>
      <c r="S13" s="385">
        <v>14883321</v>
      </c>
      <c r="T13" s="385">
        <v>0</v>
      </c>
      <c r="U13" s="385">
        <v>1706</v>
      </c>
      <c r="V13" s="385">
        <v>0</v>
      </c>
      <c r="W13" s="385">
        <v>0</v>
      </c>
      <c r="X13" s="385">
        <v>0</v>
      </c>
      <c r="Y13" s="385">
        <v>0</v>
      </c>
      <c r="Z13" s="385">
        <v>0</v>
      </c>
      <c r="AA13" s="385">
        <v>0</v>
      </c>
      <c r="AB13" s="385">
        <v>11306</v>
      </c>
      <c r="AC13" s="385">
        <v>0</v>
      </c>
      <c r="AD13" s="385">
        <v>0</v>
      </c>
      <c r="AE13" s="388">
        <f t="shared" si="2"/>
        <v>14896333</v>
      </c>
      <c r="AF13" s="389"/>
      <c r="AG13" s="385"/>
      <c r="AH13" s="385">
        <f>'Ventas-Compras (d)'!E30</f>
        <v>11306</v>
      </c>
      <c r="AI13" s="385">
        <f t="shared" si="5"/>
        <v>14885027</v>
      </c>
      <c r="AJ13" s="385">
        <f t="shared" si="3"/>
        <v>-4709241</v>
      </c>
      <c r="AK13" s="385">
        <v>19594268</v>
      </c>
    </row>
    <row r="14" spans="1:41" ht="15.75" customHeight="1">
      <c r="A14" s="3" t="s">
        <v>71</v>
      </c>
      <c r="B14" s="4">
        <v>11189237</v>
      </c>
      <c r="C14" s="200">
        <f t="shared" si="1"/>
        <v>0</v>
      </c>
      <c r="D14" s="4">
        <v>11189237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3">
        <f t="shared" si="0"/>
        <v>11189237</v>
      </c>
      <c r="O14" s="12"/>
      <c r="P14" s="4"/>
      <c r="Q14" s="4"/>
      <c r="R14" s="4">
        <f t="shared" si="4"/>
        <v>11189237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13">
        <f t="shared" si="2"/>
        <v>0</v>
      </c>
      <c r="AF14" s="12"/>
      <c r="AG14" s="4"/>
      <c r="AH14" s="4"/>
      <c r="AI14" s="4">
        <f t="shared" si="5"/>
        <v>0</v>
      </c>
      <c r="AJ14" s="4">
        <f t="shared" si="3"/>
        <v>-11189237</v>
      </c>
      <c r="AK14" s="4">
        <v>11189237</v>
      </c>
    </row>
    <row r="15" spans="1:41" ht="15.75" customHeight="1">
      <c r="A15" s="3" t="s">
        <v>290</v>
      </c>
      <c r="B15" s="4">
        <v>0</v>
      </c>
      <c r="C15" s="200">
        <f t="shared" si="1"/>
        <v>0</v>
      </c>
      <c r="D15" s="4">
        <v>0</v>
      </c>
      <c r="E15" s="4"/>
      <c r="F15" s="4"/>
      <c r="G15" s="4"/>
      <c r="H15" s="4"/>
      <c r="I15" s="4"/>
      <c r="J15" s="4"/>
      <c r="K15" s="4"/>
      <c r="L15" s="4"/>
      <c r="M15" s="4"/>
      <c r="N15" s="13">
        <f t="shared" si="0"/>
        <v>0</v>
      </c>
      <c r="O15" s="12"/>
      <c r="P15" s="4"/>
      <c r="Q15" s="4"/>
      <c r="R15" s="4">
        <f t="shared" si="4"/>
        <v>0</v>
      </c>
      <c r="S15" s="4">
        <v>40694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13">
        <f t="shared" si="2"/>
        <v>40694</v>
      </c>
      <c r="AF15" s="12" t="s">
        <v>286</v>
      </c>
      <c r="AG15" s="4"/>
      <c r="AH15" s="4">
        <f>'Diarios Cxc Cxp relac (c)'!E34</f>
        <v>40694</v>
      </c>
      <c r="AI15" s="4">
        <f t="shared" si="5"/>
        <v>0</v>
      </c>
      <c r="AJ15" s="4">
        <f t="shared" si="3"/>
        <v>0</v>
      </c>
      <c r="AK15" s="4">
        <v>0</v>
      </c>
    </row>
    <row r="16" spans="1:41" s="390" customFormat="1" ht="15.75" customHeight="1">
      <c r="A16" s="386" t="s">
        <v>72</v>
      </c>
      <c r="B16" s="385">
        <v>2899664</v>
      </c>
      <c r="C16" s="387">
        <f t="shared" si="1"/>
        <v>0</v>
      </c>
      <c r="D16" s="385">
        <v>2899664</v>
      </c>
      <c r="E16" s="385">
        <v>0</v>
      </c>
      <c r="F16" s="385">
        <v>0</v>
      </c>
      <c r="G16" s="385">
        <v>0</v>
      </c>
      <c r="H16" s="385">
        <v>0</v>
      </c>
      <c r="I16" s="385">
        <v>0</v>
      </c>
      <c r="J16" s="385">
        <v>0</v>
      </c>
      <c r="K16" s="385">
        <v>0</v>
      </c>
      <c r="L16" s="385">
        <v>0</v>
      </c>
      <c r="M16" s="385">
        <v>0</v>
      </c>
      <c r="N16" s="388">
        <f t="shared" si="0"/>
        <v>2899664</v>
      </c>
      <c r="O16" s="389"/>
      <c r="P16" s="385"/>
      <c r="Q16" s="385"/>
      <c r="R16" s="385">
        <f t="shared" si="4"/>
        <v>2899664</v>
      </c>
      <c r="S16" s="385">
        <v>3212434</v>
      </c>
      <c r="T16" s="385">
        <v>0</v>
      </c>
      <c r="U16" s="385">
        <v>0</v>
      </c>
      <c r="V16" s="385">
        <v>0</v>
      </c>
      <c r="W16" s="385">
        <v>0</v>
      </c>
      <c r="X16" s="385">
        <v>0</v>
      </c>
      <c r="Y16" s="385">
        <v>0</v>
      </c>
      <c r="Z16" s="385">
        <v>0</v>
      </c>
      <c r="AA16" s="385">
        <v>0</v>
      </c>
      <c r="AB16" s="385">
        <v>0</v>
      </c>
      <c r="AC16" s="385">
        <v>0</v>
      </c>
      <c r="AD16" s="385">
        <v>0</v>
      </c>
      <c r="AE16" s="388">
        <f t="shared" si="2"/>
        <v>3212434</v>
      </c>
      <c r="AF16" s="389"/>
      <c r="AG16" s="385"/>
      <c r="AH16" s="385"/>
      <c r="AI16" s="385">
        <f t="shared" si="5"/>
        <v>3212434</v>
      </c>
      <c r="AJ16" s="385">
        <f t="shared" si="3"/>
        <v>312770</v>
      </c>
      <c r="AK16" s="385">
        <v>2899664</v>
      </c>
      <c r="AO16" s="391">
        <f>S16-AI16</f>
        <v>0</v>
      </c>
    </row>
    <row r="17" spans="1:39" ht="15.75" customHeight="1">
      <c r="A17" s="3" t="s">
        <v>73</v>
      </c>
      <c r="B17" s="4">
        <v>57179789</v>
      </c>
      <c r="C17" s="200">
        <f t="shared" si="1"/>
        <v>-1084012</v>
      </c>
      <c r="D17" s="4">
        <v>56095777</v>
      </c>
      <c r="E17" s="4">
        <v>0</v>
      </c>
      <c r="F17" s="4">
        <f>152350+3565270.86</f>
        <v>3717620.86</v>
      </c>
      <c r="G17" s="4">
        <v>471133.12</v>
      </c>
      <c r="H17" s="4">
        <f>110964+150978.89+358100.26-353189.6</f>
        <v>266853.55000000005</v>
      </c>
      <c r="I17" s="4">
        <v>400660.97</v>
      </c>
      <c r="J17" s="4">
        <v>0</v>
      </c>
      <c r="K17" s="4">
        <v>0</v>
      </c>
      <c r="L17" s="4">
        <f>1140.17</f>
        <v>1140.17</v>
      </c>
      <c r="M17" s="4">
        <v>0</v>
      </c>
      <c r="N17" s="13">
        <f t="shared" si="0"/>
        <v>60953185.669999994</v>
      </c>
      <c r="O17" s="12" t="s">
        <v>42</v>
      </c>
      <c r="P17" s="4">
        <f>+'Asientos - para Consolidado'!D33</f>
        <v>881973.00000000559</v>
      </c>
      <c r="Q17" s="4"/>
      <c r="R17" s="4">
        <f t="shared" si="4"/>
        <v>61835158.670000002</v>
      </c>
      <c r="S17" s="4">
        <v>66573020</v>
      </c>
      <c r="T17" s="4">
        <v>44671913</v>
      </c>
      <c r="U17" s="4">
        <v>3233810</v>
      </c>
      <c r="V17" s="4">
        <v>33545</v>
      </c>
      <c r="W17" s="4">
        <v>218631</v>
      </c>
      <c r="X17" s="4">
        <v>373713</v>
      </c>
      <c r="Y17" s="4">
        <v>0</v>
      </c>
      <c r="Z17" s="4">
        <v>0</v>
      </c>
      <c r="AA17" s="4">
        <v>1140</v>
      </c>
      <c r="AB17" s="4">
        <v>1718909</v>
      </c>
      <c r="AC17" s="4">
        <v>367967</v>
      </c>
      <c r="AD17" s="4">
        <v>209213</v>
      </c>
      <c r="AE17" s="13">
        <f t="shared" si="2"/>
        <v>117401861</v>
      </c>
      <c r="AF17" s="12" t="s">
        <v>285</v>
      </c>
      <c r="AG17" s="4">
        <f>'Diario 2015 (a)'!C10</f>
        <v>881973.00000000559</v>
      </c>
      <c r="AH17" s="4"/>
      <c r="AI17" s="4">
        <f t="shared" si="5"/>
        <v>118283834</v>
      </c>
      <c r="AJ17" s="4">
        <f t="shared" si="3"/>
        <v>56448675</v>
      </c>
      <c r="AK17" s="4">
        <v>61835159</v>
      </c>
    </row>
    <row r="18" spans="1:39" s="390" customFormat="1" ht="15.75" customHeight="1">
      <c r="A18" s="386" t="s">
        <v>16</v>
      </c>
      <c r="B18" s="385">
        <v>1073683</v>
      </c>
      <c r="C18" s="387">
        <f t="shared" si="1"/>
        <v>-213217</v>
      </c>
      <c r="D18" s="385">
        <v>860466</v>
      </c>
      <c r="E18" s="385">
        <v>0</v>
      </c>
      <c r="F18" s="385">
        <v>0</v>
      </c>
      <c r="G18" s="385">
        <v>0</v>
      </c>
      <c r="H18" s="385">
        <v>0</v>
      </c>
      <c r="I18" s="385">
        <v>0</v>
      </c>
      <c r="J18" s="385">
        <v>0</v>
      </c>
      <c r="K18" s="385">
        <v>0</v>
      </c>
      <c r="L18" s="385">
        <v>0</v>
      </c>
      <c r="M18" s="385">
        <v>0</v>
      </c>
      <c r="N18" s="388">
        <f t="shared" si="0"/>
        <v>860466</v>
      </c>
      <c r="O18" s="389"/>
      <c r="P18" s="385"/>
      <c r="Q18" s="385"/>
      <c r="R18" s="385">
        <f t="shared" si="4"/>
        <v>860466</v>
      </c>
      <c r="S18" s="385">
        <v>661755</v>
      </c>
      <c r="T18" s="385">
        <v>0</v>
      </c>
      <c r="U18" s="385">
        <v>0</v>
      </c>
      <c r="V18" s="385">
        <v>0</v>
      </c>
      <c r="W18" s="385">
        <v>0</v>
      </c>
      <c r="X18" s="385">
        <v>0</v>
      </c>
      <c r="Y18" s="385">
        <v>0</v>
      </c>
      <c r="Z18" s="385">
        <v>0</v>
      </c>
      <c r="AA18" s="385">
        <v>0</v>
      </c>
      <c r="AB18" s="385">
        <v>0</v>
      </c>
      <c r="AC18" s="385"/>
      <c r="AD18" s="385">
        <v>0</v>
      </c>
      <c r="AE18" s="388">
        <f t="shared" si="2"/>
        <v>661755</v>
      </c>
      <c r="AF18" s="389"/>
      <c r="AG18" s="385"/>
      <c r="AH18" s="385"/>
      <c r="AI18" s="385">
        <f t="shared" si="5"/>
        <v>661755</v>
      </c>
      <c r="AJ18" s="385">
        <f t="shared" si="3"/>
        <v>-198711</v>
      </c>
      <c r="AK18" s="385">
        <v>860466</v>
      </c>
    </row>
    <row r="19" spans="1:39" ht="15.75" customHeight="1">
      <c r="A19" s="3" t="s">
        <v>74</v>
      </c>
      <c r="B19" s="4">
        <v>12927724</v>
      </c>
      <c r="C19" s="200">
        <f t="shared" si="1"/>
        <v>0</v>
      </c>
      <c r="D19" s="4">
        <v>12927724</v>
      </c>
      <c r="E19" s="4">
        <f>6749770-6747316</f>
        <v>2454</v>
      </c>
      <c r="F19" s="4">
        <v>0</v>
      </c>
      <c r="G19" s="4">
        <v>552.25</v>
      </c>
      <c r="H19" s="4">
        <f>5778.16-5778.16</f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3">
        <f t="shared" si="0"/>
        <v>12930730.25</v>
      </c>
      <c r="O19" s="12" t="s">
        <v>178</v>
      </c>
      <c r="P19" s="4"/>
      <c r="Q19" s="4">
        <f>+'Asientos - para Consolidado'!E71</f>
        <v>940330</v>
      </c>
      <c r="R19" s="4">
        <f t="shared" si="4"/>
        <v>11990400.25</v>
      </c>
      <c r="S19" s="4">
        <v>11586243</v>
      </c>
      <c r="T19" s="35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117971</v>
      </c>
      <c r="AD19" s="4">
        <v>0</v>
      </c>
      <c r="AE19" s="13">
        <f t="shared" si="2"/>
        <v>11704214</v>
      </c>
      <c r="AF19" s="12" t="s">
        <v>42</v>
      </c>
      <c r="AG19" s="4"/>
      <c r="AH19" s="4">
        <f>'Diarios Var.Inversión -Patr (b)'!E160</f>
        <v>6262957</v>
      </c>
      <c r="AI19" s="4">
        <f t="shared" si="5"/>
        <v>5441257</v>
      </c>
      <c r="AJ19" s="4">
        <f t="shared" si="3"/>
        <v>-6549143</v>
      </c>
      <c r="AK19" s="4">
        <v>11990400</v>
      </c>
      <c r="AM19" s="316">
        <f>AK19+AK25</f>
        <v>12384735</v>
      </c>
    </row>
    <row r="20" spans="1:39">
      <c r="A20" s="3" t="s">
        <v>75</v>
      </c>
      <c r="B20" s="4">
        <v>29438688</v>
      </c>
      <c r="C20" s="200">
        <f t="shared" si="1"/>
        <v>-2307659</v>
      </c>
      <c r="D20" s="4">
        <v>27131029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3">
        <f t="shared" si="0"/>
        <v>27131029</v>
      </c>
      <c r="O20" s="12" t="s">
        <v>178</v>
      </c>
      <c r="P20" s="4"/>
      <c r="Q20" s="4">
        <f>+'Asientos - para Consolidado'!E72</f>
        <v>27269564.260000002</v>
      </c>
      <c r="R20" s="4">
        <f t="shared" si="4"/>
        <v>-138535.26000000164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13">
        <f t="shared" si="2"/>
        <v>0</v>
      </c>
      <c r="AF20" s="12"/>
      <c r="AG20" s="4"/>
      <c r="AH20" s="4"/>
      <c r="AI20" s="4">
        <f t="shared" si="5"/>
        <v>0</v>
      </c>
      <c r="AJ20" s="4">
        <f t="shared" si="3"/>
        <v>138535</v>
      </c>
      <c r="AK20" s="4">
        <v>-138535</v>
      </c>
      <c r="AM20" s="316">
        <f>AK20+AK23</f>
        <v>40281700</v>
      </c>
    </row>
    <row r="21" spans="1:39">
      <c r="A21" s="3" t="s">
        <v>212</v>
      </c>
      <c r="B21" s="4">
        <v>0</v>
      </c>
      <c r="C21" s="200">
        <f t="shared" si="1"/>
        <v>1297229</v>
      </c>
      <c r="D21" s="4">
        <v>1297229</v>
      </c>
      <c r="E21" s="4"/>
      <c r="F21" s="4"/>
      <c r="G21" s="4"/>
      <c r="H21" s="4"/>
      <c r="I21" s="4"/>
      <c r="J21" s="4"/>
      <c r="K21" s="4"/>
      <c r="L21" s="4"/>
      <c r="M21" s="4"/>
      <c r="N21" s="13">
        <f t="shared" si="0"/>
        <v>1297229</v>
      </c>
      <c r="O21" s="12"/>
      <c r="P21" s="4"/>
      <c r="Q21" s="4"/>
      <c r="R21" s="4">
        <f t="shared" si="4"/>
        <v>1297229</v>
      </c>
      <c r="S21" s="4">
        <v>1422229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13">
        <f t="shared" si="2"/>
        <v>1422229</v>
      </c>
      <c r="AF21" s="12"/>
      <c r="AG21" s="4"/>
      <c r="AH21" s="4"/>
      <c r="AI21" s="4">
        <f t="shared" si="5"/>
        <v>1422229</v>
      </c>
      <c r="AJ21" s="4">
        <f t="shared" si="3"/>
        <v>125000</v>
      </c>
      <c r="AK21" s="4">
        <v>1297229</v>
      </c>
    </row>
    <row r="22" spans="1:39">
      <c r="A22" s="3" t="s">
        <v>76</v>
      </c>
      <c r="B22" s="4">
        <v>10163519</v>
      </c>
      <c r="C22" s="200">
        <f t="shared" si="1"/>
        <v>0</v>
      </c>
      <c r="D22" s="4">
        <v>10163519</v>
      </c>
      <c r="E22" s="4">
        <v>100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3">
        <f t="shared" si="0"/>
        <v>10163619</v>
      </c>
      <c r="O22" s="12" t="s">
        <v>200</v>
      </c>
      <c r="P22" s="4"/>
      <c r="Q22" s="4">
        <f>+'Asientos - para Consolidado'!E17+'Asientos - para Consolidado'!E35+'Asientos - para Consolidado'!E80</f>
        <v>4846189.339999998</v>
      </c>
      <c r="R22" s="4">
        <f t="shared" ref="R22" si="6">N22+P22-Q22</f>
        <v>5317429.660000002</v>
      </c>
      <c r="S22" s="4">
        <v>44513438</v>
      </c>
      <c r="T22" s="4">
        <v>100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13">
        <f t="shared" si="2"/>
        <v>44513538</v>
      </c>
      <c r="AF22" s="12" t="s">
        <v>287</v>
      </c>
      <c r="AG22" s="4">
        <f>'Diarios Var.Inversión -Patr (b)'!D159</f>
        <v>1231351</v>
      </c>
      <c r="AH22" s="4">
        <f>'Diario 2015 (a)'!D12+'Diarios Var.Inversión -Patr (b)'!E159</f>
        <v>36916137.999999993</v>
      </c>
      <c r="AI22" s="4">
        <f t="shared" si="5"/>
        <v>8828751.0000000075</v>
      </c>
      <c r="AJ22" s="4">
        <f t="shared" si="3"/>
        <v>3511321.0000000075</v>
      </c>
      <c r="AK22" s="4">
        <v>5317430</v>
      </c>
    </row>
    <row r="23" spans="1:39">
      <c r="A23" s="3" t="s">
        <v>181</v>
      </c>
      <c r="B23" s="61">
        <v>0</v>
      </c>
      <c r="C23" s="200">
        <f t="shared" si="1"/>
        <v>0</v>
      </c>
      <c r="D23" s="61">
        <v>0</v>
      </c>
      <c r="E23" s="61">
        <v>40420235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13">
        <f t="shared" si="0"/>
        <v>40420235</v>
      </c>
      <c r="O23" s="12"/>
      <c r="P23" s="4"/>
      <c r="Q23" s="4"/>
      <c r="R23" s="4">
        <f t="shared" si="4"/>
        <v>40420235</v>
      </c>
      <c r="S23" s="61">
        <v>0</v>
      </c>
      <c r="T23" s="61">
        <v>883849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C23" s="4">
        <v>0</v>
      </c>
      <c r="AD23" s="4">
        <v>0</v>
      </c>
      <c r="AE23" s="13">
        <f t="shared" si="2"/>
        <v>883849</v>
      </c>
      <c r="AF23" s="12"/>
      <c r="AG23" s="4"/>
      <c r="AH23" s="4"/>
      <c r="AI23" s="4">
        <f t="shared" si="5"/>
        <v>883849</v>
      </c>
      <c r="AJ23" s="4">
        <f t="shared" si="3"/>
        <v>-39536386</v>
      </c>
      <c r="AK23" s="4">
        <v>40420235</v>
      </c>
    </row>
    <row r="24" spans="1:39">
      <c r="A24" s="3" t="s">
        <v>77</v>
      </c>
      <c r="B24" s="61">
        <v>105895</v>
      </c>
      <c r="C24" s="200">
        <f t="shared" si="1"/>
        <v>0</v>
      </c>
      <c r="D24" s="61">
        <v>105895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13">
        <f t="shared" si="0"/>
        <v>105895</v>
      </c>
      <c r="O24" s="12"/>
      <c r="P24" s="4"/>
      <c r="Q24" s="4"/>
      <c r="R24" s="4">
        <f t="shared" si="4"/>
        <v>105895</v>
      </c>
      <c r="S24" s="61">
        <v>105894</v>
      </c>
      <c r="T24" s="4">
        <v>0</v>
      </c>
      <c r="U24" s="4">
        <v>373443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2963501</v>
      </c>
      <c r="AC24" s="4">
        <v>0</v>
      </c>
      <c r="AD24" s="4">
        <v>0</v>
      </c>
      <c r="AE24" s="13">
        <f t="shared" si="2"/>
        <v>3442838</v>
      </c>
      <c r="AF24" s="12"/>
      <c r="AG24" s="4"/>
      <c r="AH24" s="4"/>
      <c r="AI24" s="4">
        <f t="shared" si="5"/>
        <v>3442838</v>
      </c>
      <c r="AJ24" s="4">
        <f t="shared" si="3"/>
        <v>3336943</v>
      </c>
      <c r="AK24" s="4">
        <v>105895</v>
      </c>
    </row>
    <row r="25" spans="1:39" ht="15" thickBot="1">
      <c r="A25" s="3" t="s">
        <v>166</v>
      </c>
      <c r="B25" s="44">
        <v>0</v>
      </c>
      <c r="C25" s="200">
        <f t="shared" si="1"/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6">
        <f t="shared" si="0"/>
        <v>0</v>
      </c>
      <c r="O25" s="12" t="s">
        <v>42</v>
      </c>
      <c r="P25" s="4">
        <f>+'Asientos - para Consolidado'!D31</f>
        <v>394335.36694421433</v>
      </c>
      <c r="Q25" s="4"/>
      <c r="R25" s="44">
        <f t="shared" ref="R25" si="7">N25+P25-Q25</f>
        <v>394335.36694421433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6">
        <f>SUM(S25:AD25)</f>
        <v>0</v>
      </c>
      <c r="AF25" s="12" t="s">
        <v>285</v>
      </c>
      <c r="AG25" s="4">
        <f>'Diario 2015 (a)'!C8</f>
        <v>394335.36694421433</v>
      </c>
      <c r="AH25" s="4"/>
      <c r="AI25" s="44">
        <f t="shared" si="5"/>
        <v>394335.36694421433</v>
      </c>
      <c r="AJ25" s="44">
        <f t="shared" si="3"/>
        <v>0.3669442143291235</v>
      </c>
      <c r="AK25" s="44">
        <v>394335</v>
      </c>
    </row>
    <row r="26" spans="1:39">
      <c r="A26" s="5" t="s">
        <v>39</v>
      </c>
      <c r="B26" s="43">
        <f t="shared" ref="B26" si="8">SUM(B5:B25)</f>
        <v>190788012</v>
      </c>
      <c r="C26" s="5"/>
      <c r="D26" s="43">
        <f t="shared" ref="D26:J26" si="9">SUM(D5:D25)</f>
        <v>188480353</v>
      </c>
      <c r="E26" s="43">
        <f t="shared" si="9"/>
        <v>40551557</v>
      </c>
      <c r="F26" s="43">
        <f t="shared" si="9"/>
        <v>4289462.9000000004</v>
      </c>
      <c r="G26" s="43">
        <f t="shared" si="9"/>
        <v>2316381.4899999998</v>
      </c>
      <c r="H26" s="43">
        <f t="shared" si="9"/>
        <v>376654.23000000004</v>
      </c>
      <c r="I26" s="43">
        <f t="shared" si="9"/>
        <v>400660.97</v>
      </c>
      <c r="J26" s="43">
        <f t="shared" si="9"/>
        <v>7988.59</v>
      </c>
      <c r="K26" s="43">
        <f t="shared" ref="K26:M26" si="10">SUM(K5:K25)</f>
        <v>10000</v>
      </c>
      <c r="L26" s="43">
        <f t="shared" si="10"/>
        <v>1140.17</v>
      </c>
      <c r="M26" s="43">
        <f t="shared" si="10"/>
        <v>800</v>
      </c>
      <c r="N26" s="43">
        <f>SUM(N5:N25)</f>
        <v>236434998.34999999</v>
      </c>
      <c r="O26" s="12"/>
      <c r="P26" s="43"/>
      <c r="Q26" s="43"/>
      <c r="R26" s="43">
        <f>SUM(R5:R25)</f>
        <v>198167127.22694421</v>
      </c>
      <c r="S26" s="4">
        <f t="shared" ref="S26:AD26" si="11">SUM(S5:S25)</f>
        <v>197414677</v>
      </c>
      <c r="T26" s="43">
        <f t="shared" ref="T26" si="12">SUM(T5:T25)</f>
        <v>52108957</v>
      </c>
      <c r="U26" s="43">
        <f t="shared" si="11"/>
        <v>4668021</v>
      </c>
      <c r="V26" s="43">
        <f t="shared" si="11"/>
        <v>1160766</v>
      </c>
      <c r="W26" s="43">
        <f t="shared" si="11"/>
        <v>364945</v>
      </c>
      <c r="X26" s="43">
        <f t="shared" si="11"/>
        <v>373713</v>
      </c>
      <c r="Y26" s="43">
        <f t="shared" si="11"/>
        <v>7989</v>
      </c>
      <c r="Z26" s="43">
        <f t="shared" si="11"/>
        <v>10000</v>
      </c>
      <c r="AA26" s="43">
        <f t="shared" si="11"/>
        <v>1140</v>
      </c>
      <c r="AB26" s="43">
        <f t="shared" si="11"/>
        <v>5000055</v>
      </c>
      <c r="AC26" s="43">
        <f t="shared" si="11"/>
        <v>649029</v>
      </c>
      <c r="AD26" s="43">
        <f t="shared" si="11"/>
        <v>449254</v>
      </c>
      <c r="AE26" s="43">
        <f>SUM(AE5:AE25)</f>
        <v>262208546</v>
      </c>
      <c r="AF26" s="12"/>
      <c r="AG26" s="43" t="s">
        <v>347</v>
      </c>
      <c r="AH26" s="43" t="s">
        <v>347</v>
      </c>
      <c r="AI26" s="43">
        <f>SUM(AI5:AI25)</f>
        <v>212498887.36694422</v>
      </c>
      <c r="AJ26" s="43">
        <f t="shared" si="3"/>
        <v>14331759.366944224</v>
      </c>
      <c r="AK26" s="43">
        <f>SUM(AK5:AK25)</f>
        <v>198167128</v>
      </c>
    </row>
    <row r="27" spans="1:39">
      <c r="A27" s="3" t="s">
        <v>394</v>
      </c>
      <c r="B27" s="43"/>
      <c r="C27" s="5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12"/>
      <c r="P27" s="43"/>
      <c r="Q27" s="43"/>
      <c r="R27" s="43"/>
      <c r="S27" s="4">
        <v>260402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13">
        <f>SUM(S27:AD27)</f>
        <v>260402</v>
      </c>
      <c r="AF27" s="12"/>
      <c r="AG27" s="43">
        <v>0</v>
      </c>
      <c r="AH27" s="43">
        <v>0</v>
      </c>
      <c r="AI27" s="4">
        <f>AE27-AG27+AH27</f>
        <v>260402</v>
      </c>
      <c r="AJ27" s="43"/>
      <c r="AK27" s="43"/>
    </row>
    <row r="28" spans="1:39" s="390" customFormat="1">
      <c r="A28" s="386" t="s">
        <v>395</v>
      </c>
      <c r="B28" s="385">
        <v>25932582</v>
      </c>
      <c r="C28" s="387">
        <f t="shared" ref="C28:C46" si="13">D28-B28</f>
        <v>0</v>
      </c>
      <c r="D28" s="385">
        <v>25932582</v>
      </c>
      <c r="E28" s="385">
        <v>0</v>
      </c>
      <c r="F28" s="385">
        <v>0</v>
      </c>
      <c r="G28" s="385">
        <v>1776</v>
      </c>
      <c r="H28" s="385">
        <v>0</v>
      </c>
      <c r="I28" s="385">
        <v>0</v>
      </c>
      <c r="J28" s="385">
        <v>0</v>
      </c>
      <c r="K28" s="385">
        <v>0</v>
      </c>
      <c r="L28" s="385">
        <v>0</v>
      </c>
      <c r="M28" s="385">
        <v>0</v>
      </c>
      <c r="N28" s="388">
        <f t="shared" ref="N28:N45" si="14">SUM(D28:M28)</f>
        <v>25934358</v>
      </c>
      <c r="O28" s="389"/>
      <c r="P28" s="385"/>
      <c r="Q28" s="385"/>
      <c r="R28" s="385">
        <f>N28-P28+Q28</f>
        <v>25934358</v>
      </c>
      <c r="S28" s="385">
        <v>13413675</v>
      </c>
      <c r="T28" s="385">
        <v>0</v>
      </c>
      <c r="U28" s="385">
        <v>0</v>
      </c>
      <c r="V28" s="385">
        <v>0</v>
      </c>
      <c r="W28" s="385">
        <v>0</v>
      </c>
      <c r="X28" s="385">
        <v>0</v>
      </c>
      <c r="Y28" s="385">
        <v>0</v>
      </c>
      <c r="Z28" s="385">
        <v>0</v>
      </c>
      <c r="AA28" s="385">
        <v>0</v>
      </c>
      <c r="AB28" s="385">
        <v>0</v>
      </c>
      <c r="AC28" s="385">
        <v>0</v>
      </c>
      <c r="AD28" s="385">
        <v>0</v>
      </c>
      <c r="AE28" s="388">
        <f>SUM(S28:AD28)</f>
        <v>13413675</v>
      </c>
      <c r="AF28" s="389"/>
      <c r="AG28" s="385"/>
      <c r="AH28" s="385"/>
      <c r="AI28" s="396">
        <f>AE28-AG28+AH28</f>
        <v>13413675</v>
      </c>
      <c r="AJ28" s="385">
        <f t="shared" si="3"/>
        <v>-12520683</v>
      </c>
      <c r="AK28" s="385">
        <v>25934358</v>
      </c>
    </row>
    <row r="29" spans="1:39" s="390" customFormat="1">
      <c r="A29" s="386" t="s">
        <v>396</v>
      </c>
      <c r="B29" s="385"/>
      <c r="C29" s="387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8"/>
      <c r="O29" s="389"/>
      <c r="P29" s="385"/>
      <c r="Q29" s="385"/>
      <c r="R29" s="385"/>
      <c r="S29" s="385">
        <v>11459310</v>
      </c>
      <c r="T29" s="385"/>
      <c r="U29" s="385"/>
      <c r="V29" s="385"/>
      <c r="W29" s="385"/>
      <c r="X29" s="385"/>
      <c r="Y29" s="385"/>
      <c r="Z29" s="385"/>
      <c r="AA29" s="385"/>
      <c r="AB29" s="385"/>
      <c r="AC29" s="385"/>
      <c r="AD29" s="385"/>
      <c r="AE29" s="388">
        <f>SUM(S29:AD29)</f>
        <v>11459310</v>
      </c>
      <c r="AF29" s="389"/>
      <c r="AG29" s="385"/>
      <c r="AH29" s="385"/>
      <c r="AI29" s="396">
        <f>AE29-AG29+AH29</f>
        <v>11459310</v>
      </c>
      <c r="AJ29" s="385"/>
      <c r="AK29" s="385"/>
    </row>
    <row r="30" spans="1:39" s="390" customFormat="1" ht="15.75" customHeight="1">
      <c r="A30" s="386" t="s">
        <v>79</v>
      </c>
      <c r="B30" s="385">
        <v>22920758</v>
      </c>
      <c r="C30" s="387">
        <f t="shared" si="13"/>
        <v>0</v>
      </c>
      <c r="D30" s="385">
        <v>22920758</v>
      </c>
      <c r="E30" s="385">
        <v>1677372</v>
      </c>
      <c r="F30" s="385">
        <f>76243.49+333</f>
        <v>76576.490000000005</v>
      </c>
      <c r="G30" s="385">
        <v>0</v>
      </c>
      <c r="H30" s="385">
        <v>0</v>
      </c>
      <c r="I30" s="385">
        <v>0</v>
      </c>
      <c r="J30" s="385">
        <v>0</v>
      </c>
      <c r="K30" s="385">
        <v>0</v>
      </c>
      <c r="L30" s="385">
        <v>0</v>
      </c>
      <c r="M30" s="385">
        <v>0</v>
      </c>
      <c r="N30" s="388">
        <f t="shared" si="14"/>
        <v>24674706.489999998</v>
      </c>
      <c r="O30" s="389"/>
      <c r="P30" s="385"/>
      <c r="Q30" s="385"/>
      <c r="R30" s="385">
        <f t="shared" ref="R30:R45" si="15">N30-P30+Q30</f>
        <v>24674706.489999998</v>
      </c>
      <c r="S30" s="393">
        <v>18438625</v>
      </c>
      <c r="T30" s="385">
        <v>2041083</v>
      </c>
      <c r="U30" s="385">
        <v>42437</v>
      </c>
      <c r="V30" s="385">
        <v>0</v>
      </c>
      <c r="W30" s="385"/>
      <c r="X30" s="385">
        <v>0</v>
      </c>
      <c r="Y30" s="385">
        <v>0</v>
      </c>
      <c r="Z30" s="385">
        <v>0</v>
      </c>
      <c r="AA30" s="385">
        <v>0</v>
      </c>
      <c r="AB30" s="385">
        <v>24357</v>
      </c>
      <c r="AC30" s="385">
        <v>10173</v>
      </c>
      <c r="AD30" s="385">
        <v>55288</v>
      </c>
      <c r="AE30" s="388">
        <f t="shared" ref="AE30:AE44" si="16">SUM(S30:AD30)</f>
        <v>20611963</v>
      </c>
      <c r="AF30" s="389" t="s">
        <v>286</v>
      </c>
      <c r="AG30" s="385">
        <f>+'Diarios Cxc Cxp relac (c)'!D32</f>
        <v>175918</v>
      </c>
      <c r="AH30" s="385"/>
      <c r="AI30" s="396">
        <f t="shared" ref="AI30:AI45" si="17">AE30-AG30+AH30</f>
        <v>20436045</v>
      </c>
      <c r="AJ30" s="385">
        <f t="shared" si="3"/>
        <v>-4238661</v>
      </c>
      <c r="AK30" s="385">
        <v>24674706</v>
      </c>
    </row>
    <row r="31" spans="1:39" s="401" customFormat="1" ht="15.75" customHeight="1">
      <c r="A31" s="397" t="s">
        <v>7</v>
      </c>
      <c r="B31" s="395">
        <v>1315987</v>
      </c>
      <c r="C31" s="398">
        <f t="shared" si="13"/>
        <v>0</v>
      </c>
      <c r="D31" s="395">
        <v>1315987</v>
      </c>
      <c r="E31" s="395">
        <v>2113253</v>
      </c>
      <c r="F31" s="395">
        <f>256939.18</f>
        <v>256939.18</v>
      </c>
      <c r="G31" s="395">
        <v>1374067</v>
      </c>
      <c r="H31" s="395">
        <v>505881.68</v>
      </c>
      <c r="I31" s="395">
        <v>0</v>
      </c>
      <c r="J31" s="395">
        <v>793.6</v>
      </c>
      <c r="K31" s="395">
        <v>0</v>
      </c>
      <c r="L31" s="395">
        <v>0</v>
      </c>
      <c r="M31" s="395">
        <v>0</v>
      </c>
      <c r="N31" s="399">
        <f t="shared" ref="N31:N32" si="18">SUM(D31:M31)</f>
        <v>5566921.459999999</v>
      </c>
      <c r="O31" s="400" t="s">
        <v>178</v>
      </c>
      <c r="P31" s="395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395"/>
      <c r="R31" s="395">
        <f t="shared" si="15"/>
        <v>805430.56999999937</v>
      </c>
      <c r="S31" s="395">
        <v>1314903</v>
      </c>
      <c r="T31" s="395">
        <v>4733</v>
      </c>
      <c r="U31" s="395">
        <v>0</v>
      </c>
      <c r="V31" s="395">
        <v>180603</v>
      </c>
      <c r="W31" s="395">
        <v>1296079</v>
      </c>
      <c r="X31" s="395">
        <v>0</v>
      </c>
      <c r="Y31" s="395">
        <v>0</v>
      </c>
      <c r="Z31" s="395">
        <v>0</v>
      </c>
      <c r="AA31" s="395">
        <v>0</v>
      </c>
      <c r="AB31" s="395">
        <v>0</v>
      </c>
      <c r="AC31" s="395">
        <v>125748</v>
      </c>
      <c r="AD31" s="395">
        <v>901366</v>
      </c>
      <c r="AE31" s="399">
        <f t="shared" si="16"/>
        <v>3823432</v>
      </c>
      <c r="AF31" s="400" t="s">
        <v>179</v>
      </c>
      <c r="AG31" s="395">
        <f>'Diarios Var.Inversión -Patr (b)'!D158+'Diarios Cxc Cxp relac (c)'!D29</f>
        <v>11128501</v>
      </c>
      <c r="AH31" s="395"/>
      <c r="AI31" s="395">
        <f t="shared" si="17"/>
        <v>-7305069</v>
      </c>
      <c r="AJ31" s="395">
        <f t="shared" si="3"/>
        <v>-8110500</v>
      </c>
      <c r="AK31" s="395">
        <v>805431</v>
      </c>
    </row>
    <row r="32" spans="1:39" s="390" customFormat="1" ht="15.75" customHeight="1">
      <c r="A32" s="386" t="s">
        <v>213</v>
      </c>
      <c r="B32" s="385"/>
      <c r="C32" s="387">
        <f t="shared" si="13"/>
        <v>0</v>
      </c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8">
        <f t="shared" si="18"/>
        <v>0</v>
      </c>
      <c r="O32" s="389"/>
      <c r="P32" s="385"/>
      <c r="Q32" s="385"/>
      <c r="R32" s="385">
        <f t="shared" si="15"/>
        <v>0</v>
      </c>
      <c r="S32" s="385">
        <v>0</v>
      </c>
      <c r="T32" s="385">
        <v>0</v>
      </c>
      <c r="U32" s="385">
        <v>0</v>
      </c>
      <c r="V32" s="385">
        <v>0</v>
      </c>
      <c r="W32" s="385">
        <v>0</v>
      </c>
      <c r="X32" s="385">
        <v>0</v>
      </c>
      <c r="Y32" s="385">
        <v>0</v>
      </c>
      <c r="Z32" s="385">
        <v>0</v>
      </c>
      <c r="AA32" s="385">
        <v>0</v>
      </c>
      <c r="AB32" s="385">
        <v>0</v>
      </c>
      <c r="AC32" s="385">
        <v>0</v>
      </c>
      <c r="AD32" s="385">
        <v>0</v>
      </c>
      <c r="AE32" s="388">
        <f t="shared" si="16"/>
        <v>0</v>
      </c>
      <c r="AF32" s="389"/>
      <c r="AG32" s="385"/>
      <c r="AH32" s="385"/>
      <c r="AI32" s="385">
        <f t="shared" si="17"/>
        <v>0</v>
      </c>
      <c r="AJ32" s="385">
        <f t="shared" si="3"/>
        <v>0</v>
      </c>
      <c r="AK32" s="385">
        <v>0</v>
      </c>
    </row>
    <row r="33" spans="1:38" s="390" customFormat="1" ht="15.75" customHeight="1">
      <c r="A33" s="386" t="s">
        <v>357</v>
      </c>
      <c r="B33" s="385">
        <v>2513028</v>
      </c>
      <c r="C33" s="387">
        <f t="shared" si="13"/>
        <v>0</v>
      </c>
      <c r="D33" s="385">
        <v>2513028</v>
      </c>
      <c r="E33" s="385">
        <v>0</v>
      </c>
      <c r="F33" s="385">
        <v>3416.78</v>
      </c>
      <c r="G33" s="385">
        <v>0</v>
      </c>
      <c r="H33" s="385">
        <v>0</v>
      </c>
      <c r="I33" s="385">
        <v>0</v>
      </c>
      <c r="J33" s="385">
        <v>0</v>
      </c>
      <c r="K33" s="385">
        <v>0</v>
      </c>
      <c r="L33" s="385">
        <v>0</v>
      </c>
      <c r="M33" s="385">
        <v>0</v>
      </c>
      <c r="N33" s="388">
        <f t="shared" ref="N33" si="19">SUM(D33:M33)</f>
        <v>2516444.7799999998</v>
      </c>
      <c r="O33" s="389"/>
      <c r="P33" s="385"/>
      <c r="Q33" s="385"/>
      <c r="R33" s="385">
        <f t="shared" si="15"/>
        <v>2516444.7799999998</v>
      </c>
      <c r="S33" s="385">
        <v>4228478</v>
      </c>
      <c r="T33" s="385">
        <v>0</v>
      </c>
      <c r="U33" s="385">
        <v>39874</v>
      </c>
      <c r="V33" s="385">
        <v>0</v>
      </c>
      <c r="W33" s="385">
        <v>0</v>
      </c>
      <c r="X33" s="385">
        <v>0</v>
      </c>
      <c r="Y33" s="385">
        <v>0</v>
      </c>
      <c r="Z33" s="385">
        <v>0</v>
      </c>
      <c r="AA33" s="385">
        <v>0</v>
      </c>
      <c r="AB33" s="385">
        <v>0</v>
      </c>
      <c r="AC33" s="385">
        <v>6555</v>
      </c>
      <c r="AD33" s="385">
        <v>0</v>
      </c>
      <c r="AE33" s="388">
        <f t="shared" si="16"/>
        <v>4274907</v>
      </c>
      <c r="AF33" s="389"/>
      <c r="AG33" s="385"/>
      <c r="AH33" s="385"/>
      <c r="AI33" s="385">
        <f t="shared" si="17"/>
        <v>4274907</v>
      </c>
      <c r="AJ33" s="385">
        <f t="shared" si="3"/>
        <v>1758462</v>
      </c>
      <c r="AK33" s="385">
        <v>2516445</v>
      </c>
    </row>
    <row r="34" spans="1:38" ht="15.75" customHeight="1">
      <c r="A34" s="3" t="s">
        <v>80</v>
      </c>
      <c r="B34" s="4">
        <v>887149</v>
      </c>
      <c r="C34" s="200">
        <f t="shared" si="13"/>
        <v>0</v>
      </c>
      <c r="D34" s="4">
        <v>887149</v>
      </c>
      <c r="E34" s="4">
        <v>0</v>
      </c>
      <c r="F34" s="4">
        <v>0</v>
      </c>
      <c r="G34" s="4">
        <v>0</v>
      </c>
      <c r="H34" s="4">
        <v>39069.9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3">
        <f t="shared" ref="N34" si="20">SUM(D34:M34)</f>
        <v>926218.9</v>
      </c>
      <c r="O34" s="12"/>
      <c r="P34" s="4"/>
      <c r="Q34" s="4"/>
      <c r="R34" s="4">
        <f t="shared" si="15"/>
        <v>926218.9</v>
      </c>
      <c r="S34" s="4">
        <v>4870701</v>
      </c>
      <c r="T34" s="4">
        <v>0</v>
      </c>
      <c r="U34" s="4">
        <v>19615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551</v>
      </c>
      <c r="AC34" s="4">
        <f>26629+15462+477</f>
        <v>42568</v>
      </c>
      <c r="AD34" s="4">
        <v>22494</v>
      </c>
      <c r="AE34" s="13">
        <f t="shared" si="16"/>
        <v>4955929</v>
      </c>
      <c r="AF34" s="12" t="s">
        <v>387</v>
      </c>
      <c r="AG34" s="4"/>
      <c r="AH34" s="4">
        <f>+'Diarios Var.Inversión -Patr (b)'!E161</f>
        <v>112799</v>
      </c>
      <c r="AI34" s="4">
        <f>AE34-AG34+AH34</f>
        <v>5068728</v>
      </c>
      <c r="AJ34" s="4">
        <f t="shared" si="3"/>
        <v>4142509</v>
      </c>
      <c r="AK34" s="4">
        <v>926219</v>
      </c>
    </row>
    <row r="35" spans="1:38" ht="15.75" customHeight="1">
      <c r="A35" s="3" t="s">
        <v>81</v>
      </c>
      <c r="B35" s="4">
        <v>10350691</v>
      </c>
      <c r="C35" s="200">
        <f t="shared" si="13"/>
        <v>0</v>
      </c>
      <c r="D35" s="4">
        <v>10350691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3">
        <f t="shared" si="14"/>
        <v>10350691</v>
      </c>
      <c r="O35" s="12"/>
      <c r="P35" s="4"/>
      <c r="Q35" s="4"/>
      <c r="R35" s="4">
        <f t="shared" si="15"/>
        <v>10350691</v>
      </c>
      <c r="S35" s="4">
        <v>1953502</v>
      </c>
      <c r="T35" s="4">
        <v>6540980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13">
        <f t="shared" si="16"/>
        <v>8494482</v>
      </c>
      <c r="AF35" s="12"/>
      <c r="AG35" s="4"/>
      <c r="AH35" s="4"/>
      <c r="AI35" s="4">
        <f t="shared" si="17"/>
        <v>8494482</v>
      </c>
      <c r="AJ35" s="4">
        <f t="shared" si="3"/>
        <v>-1856209</v>
      </c>
      <c r="AK35" s="4">
        <v>10350691</v>
      </c>
    </row>
    <row r="36" spans="1:38" ht="15.75" customHeight="1">
      <c r="A36" s="3" t="s">
        <v>82</v>
      </c>
      <c r="B36" s="4">
        <v>4600587</v>
      </c>
      <c r="C36" s="200">
        <f t="shared" si="13"/>
        <v>0</v>
      </c>
      <c r="D36" s="4">
        <v>4600587</v>
      </c>
      <c r="E36" s="4">
        <v>0</v>
      </c>
      <c r="F36" s="4">
        <v>4059.05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3">
        <f t="shared" si="14"/>
        <v>4604646.05</v>
      </c>
      <c r="O36" s="12"/>
      <c r="P36" s="4"/>
      <c r="Q36" s="4"/>
      <c r="R36" s="4">
        <f t="shared" si="15"/>
        <v>4604646.05</v>
      </c>
      <c r="S36" s="4">
        <v>4524107</v>
      </c>
      <c r="T36" s="4">
        <v>0</v>
      </c>
      <c r="U36" s="4">
        <v>14447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6596</v>
      </c>
      <c r="AC36" s="4">
        <f>11535+2782</f>
        <v>14317</v>
      </c>
      <c r="AD36" s="4">
        <v>0</v>
      </c>
      <c r="AE36" s="13">
        <f t="shared" si="16"/>
        <v>4559467</v>
      </c>
      <c r="AF36" s="12"/>
      <c r="AG36" s="4"/>
      <c r="AH36" s="4"/>
      <c r="AI36" s="4">
        <f t="shared" si="17"/>
        <v>4559467</v>
      </c>
      <c r="AJ36" s="4">
        <f t="shared" si="3"/>
        <v>-45179</v>
      </c>
      <c r="AK36" s="4">
        <v>4604646</v>
      </c>
    </row>
    <row r="37" spans="1:38" s="390" customFormat="1" ht="15.75" customHeight="1">
      <c r="A37" s="386" t="s">
        <v>83</v>
      </c>
      <c r="B37" s="392">
        <v>3530956</v>
      </c>
      <c r="C37" s="387">
        <f t="shared" si="13"/>
        <v>0</v>
      </c>
      <c r="D37" s="392">
        <v>3530956</v>
      </c>
      <c r="E37" s="392">
        <v>0</v>
      </c>
      <c r="F37" s="392">
        <v>0</v>
      </c>
      <c r="G37" s="392">
        <v>0</v>
      </c>
      <c r="H37" s="392">
        <v>0</v>
      </c>
      <c r="I37" s="392">
        <v>0</v>
      </c>
      <c r="J37" s="392">
        <v>0</v>
      </c>
      <c r="K37" s="392">
        <v>0</v>
      </c>
      <c r="L37" s="392">
        <v>0</v>
      </c>
      <c r="M37" s="392">
        <v>0</v>
      </c>
      <c r="N37" s="388">
        <f t="shared" si="14"/>
        <v>3530956</v>
      </c>
      <c r="O37" s="389"/>
      <c r="P37" s="385"/>
      <c r="Q37" s="385"/>
      <c r="R37" s="385">
        <f t="shared" si="15"/>
        <v>3530956</v>
      </c>
      <c r="S37" s="392">
        <v>4183053</v>
      </c>
      <c r="T37" s="385">
        <v>0</v>
      </c>
      <c r="U37" s="385">
        <v>0</v>
      </c>
      <c r="V37" s="385">
        <v>0</v>
      </c>
      <c r="W37" s="385">
        <v>0</v>
      </c>
      <c r="X37" s="385">
        <v>0</v>
      </c>
      <c r="Y37" s="385">
        <v>0</v>
      </c>
      <c r="Z37" s="385">
        <v>0</v>
      </c>
      <c r="AA37" s="385">
        <v>0</v>
      </c>
      <c r="AB37" s="385">
        <v>0</v>
      </c>
      <c r="AC37" s="385">
        <v>0</v>
      </c>
      <c r="AD37" s="385">
        <v>0</v>
      </c>
      <c r="AE37" s="388">
        <f t="shared" si="16"/>
        <v>4183053</v>
      </c>
      <c r="AF37" s="389"/>
      <c r="AG37" s="385"/>
      <c r="AH37" s="385"/>
      <c r="AI37" s="385">
        <f t="shared" si="17"/>
        <v>4183053</v>
      </c>
      <c r="AJ37" s="385">
        <f t="shared" si="3"/>
        <v>652097</v>
      </c>
      <c r="AK37" s="385">
        <v>3530956</v>
      </c>
    </row>
    <row r="38" spans="1:38" s="390" customFormat="1" ht="15.75" customHeight="1">
      <c r="A38" s="386" t="s">
        <v>397</v>
      </c>
      <c r="B38" s="392">
        <v>18309239</v>
      </c>
      <c r="C38" s="387">
        <f t="shared" si="13"/>
        <v>0</v>
      </c>
      <c r="D38" s="392">
        <v>18309239</v>
      </c>
      <c r="E38" s="392">
        <v>0</v>
      </c>
      <c r="F38" s="392">
        <v>0</v>
      </c>
      <c r="G38" s="392">
        <v>0</v>
      </c>
      <c r="H38" s="392">
        <v>25674.22</v>
      </c>
      <c r="I38" s="392">
        <v>0</v>
      </c>
      <c r="J38" s="392">
        <v>0</v>
      </c>
      <c r="K38" s="392">
        <v>0</v>
      </c>
      <c r="L38" s="392">
        <v>0</v>
      </c>
      <c r="M38" s="392">
        <v>0</v>
      </c>
      <c r="N38" s="388">
        <f t="shared" si="14"/>
        <v>18334913.219999999</v>
      </c>
      <c r="O38" s="389"/>
      <c r="P38" s="385"/>
      <c r="Q38" s="385"/>
      <c r="R38" s="385">
        <f t="shared" si="15"/>
        <v>18334913.219999999</v>
      </c>
      <c r="S38" s="392">
        <v>9674932</v>
      </c>
      <c r="T38" s="385">
        <v>0</v>
      </c>
      <c r="U38" s="385">
        <v>0</v>
      </c>
      <c r="V38" s="385">
        <v>0</v>
      </c>
      <c r="W38" s="385">
        <v>0</v>
      </c>
      <c r="X38" s="385">
        <v>0</v>
      </c>
      <c r="Y38" s="385">
        <v>0</v>
      </c>
      <c r="Z38" s="385">
        <v>0</v>
      </c>
      <c r="AA38" s="385">
        <v>0</v>
      </c>
      <c r="AB38" s="385">
        <v>0</v>
      </c>
      <c r="AC38" s="385">
        <v>0</v>
      </c>
      <c r="AD38" s="385">
        <v>0</v>
      </c>
      <c r="AE38" s="388">
        <f t="shared" si="16"/>
        <v>9674932</v>
      </c>
      <c r="AF38" s="389"/>
      <c r="AG38" s="385"/>
      <c r="AH38" s="385"/>
      <c r="AI38" s="396">
        <f t="shared" si="17"/>
        <v>9674932</v>
      </c>
      <c r="AJ38" s="385">
        <f t="shared" si="3"/>
        <v>-8659981</v>
      </c>
      <c r="AK38" s="385">
        <v>18334913</v>
      </c>
    </row>
    <row r="39" spans="1:38" s="390" customFormat="1" ht="15.75" customHeight="1">
      <c r="A39" s="386" t="s">
        <v>398</v>
      </c>
      <c r="B39" s="392"/>
      <c r="C39" s="387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88"/>
      <c r="O39" s="389"/>
      <c r="P39" s="385"/>
      <c r="Q39" s="385"/>
      <c r="R39" s="385"/>
      <c r="S39" s="392">
        <v>6710516</v>
      </c>
      <c r="T39" s="385"/>
      <c r="U39" s="385"/>
      <c r="V39" s="385"/>
      <c r="W39" s="385"/>
      <c r="X39" s="385"/>
      <c r="Y39" s="385"/>
      <c r="Z39" s="385"/>
      <c r="AA39" s="385"/>
      <c r="AB39" s="385"/>
      <c r="AC39" s="385"/>
      <c r="AD39" s="385"/>
      <c r="AE39" s="388">
        <f t="shared" si="16"/>
        <v>6710516</v>
      </c>
      <c r="AF39" s="389"/>
      <c r="AG39" s="385"/>
      <c r="AH39" s="385"/>
      <c r="AI39" s="396">
        <f t="shared" si="17"/>
        <v>6710516</v>
      </c>
      <c r="AJ39" s="385"/>
      <c r="AK39" s="385"/>
    </row>
    <row r="40" spans="1:38" s="390" customFormat="1" ht="15.75" customHeight="1">
      <c r="A40" s="386" t="s">
        <v>214</v>
      </c>
      <c r="B40" s="392"/>
      <c r="C40" s="387">
        <f t="shared" si="13"/>
        <v>0</v>
      </c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88">
        <f t="shared" si="14"/>
        <v>0</v>
      </c>
      <c r="O40" s="389"/>
      <c r="P40" s="385"/>
      <c r="Q40" s="385"/>
      <c r="R40" s="385">
        <f t="shared" si="15"/>
        <v>0</v>
      </c>
      <c r="S40" s="392">
        <v>2203673</v>
      </c>
      <c r="T40" s="385">
        <v>0</v>
      </c>
      <c r="U40" s="385">
        <v>0</v>
      </c>
      <c r="V40" s="385">
        <v>0</v>
      </c>
      <c r="W40" s="385">
        <v>0</v>
      </c>
      <c r="X40" s="385">
        <v>0</v>
      </c>
      <c r="Y40" s="385">
        <v>0</v>
      </c>
      <c r="Z40" s="385">
        <v>0</v>
      </c>
      <c r="AA40" s="385">
        <v>0</v>
      </c>
      <c r="AB40" s="385">
        <v>0</v>
      </c>
      <c r="AC40" s="385">
        <v>0</v>
      </c>
      <c r="AD40" s="385">
        <v>0</v>
      </c>
      <c r="AE40" s="388">
        <f t="shared" si="16"/>
        <v>2203673</v>
      </c>
      <c r="AF40" s="389"/>
      <c r="AG40" s="385"/>
      <c r="AH40" s="385"/>
      <c r="AI40" s="396">
        <f t="shared" si="17"/>
        <v>2203673</v>
      </c>
      <c r="AJ40" s="385">
        <f t="shared" si="3"/>
        <v>2203673</v>
      </c>
      <c r="AK40" s="385">
        <v>0</v>
      </c>
    </row>
    <row r="41" spans="1:38" ht="15.75" customHeight="1">
      <c r="A41" s="3" t="s">
        <v>84</v>
      </c>
      <c r="B41" s="61">
        <v>14282894</v>
      </c>
      <c r="C41" s="200">
        <f t="shared" si="13"/>
        <v>0</v>
      </c>
      <c r="D41" s="61">
        <v>14282894</v>
      </c>
      <c r="E41" s="61">
        <v>0</v>
      </c>
      <c r="F41" s="61">
        <v>2666934.9300000002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13">
        <f t="shared" si="14"/>
        <v>16949828.93</v>
      </c>
      <c r="O41" s="12" t="s">
        <v>178</v>
      </c>
      <c r="P41" s="4">
        <f>+'Asientos - para Consolidado'!D57</f>
        <v>2666934.9300000002</v>
      </c>
      <c r="Q41" s="4"/>
      <c r="R41" s="4">
        <f t="shared" si="15"/>
        <v>14282894</v>
      </c>
      <c r="S41" s="61">
        <v>10628880</v>
      </c>
      <c r="T41" s="4">
        <v>0</v>
      </c>
      <c r="U41" s="61">
        <v>2566935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61">
        <v>3477854</v>
      </c>
      <c r="AC41" s="4">
        <v>507600</v>
      </c>
      <c r="AD41" s="4">
        <v>0</v>
      </c>
      <c r="AE41" s="13">
        <f t="shared" si="16"/>
        <v>17181269</v>
      </c>
      <c r="AF41" s="12" t="s">
        <v>286</v>
      </c>
      <c r="AG41" s="4">
        <f>+'Diarios Cxc Cxp relac (c)'!D30</f>
        <v>3985455</v>
      </c>
      <c r="AH41" s="4"/>
      <c r="AI41" s="4">
        <f t="shared" si="17"/>
        <v>13195814</v>
      </c>
      <c r="AJ41" s="4">
        <f t="shared" si="3"/>
        <v>-1087080</v>
      </c>
      <c r="AK41" s="4">
        <v>14282894</v>
      </c>
    </row>
    <row r="42" spans="1:38" ht="15.75" customHeight="1">
      <c r="A42" s="3" t="s">
        <v>291</v>
      </c>
      <c r="B42" s="61"/>
      <c r="C42" s="200">
        <f t="shared" si="13"/>
        <v>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13">
        <f t="shared" si="14"/>
        <v>0</v>
      </c>
      <c r="O42" s="12"/>
      <c r="P42" s="4"/>
      <c r="Q42" s="4"/>
      <c r="R42" s="4">
        <f t="shared" si="15"/>
        <v>0</v>
      </c>
      <c r="S42" s="61">
        <v>3182459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16045</v>
      </c>
      <c r="AC42" s="4">
        <v>0</v>
      </c>
      <c r="AD42" s="4">
        <v>0</v>
      </c>
      <c r="AE42" s="13">
        <f t="shared" si="16"/>
        <v>3198504</v>
      </c>
      <c r="AF42" s="12" t="s">
        <v>286</v>
      </c>
      <c r="AG42" s="4">
        <f>+'Diarios Cxc Cxp relac (c)'!D31</f>
        <v>0</v>
      </c>
      <c r="AH42" s="4"/>
      <c r="AI42" s="4">
        <f>AE42-AG42+AH42</f>
        <v>3198504</v>
      </c>
      <c r="AJ42" s="4">
        <f t="shared" si="3"/>
        <v>3198504</v>
      </c>
      <c r="AK42" s="4">
        <v>0</v>
      </c>
    </row>
    <row r="43" spans="1:38" ht="15.75" customHeight="1">
      <c r="A43" s="3" t="s">
        <v>215</v>
      </c>
      <c r="B43" s="61"/>
      <c r="C43" s="200">
        <f t="shared" si="13"/>
        <v>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13">
        <f t="shared" si="14"/>
        <v>0</v>
      </c>
      <c r="O43" s="12"/>
      <c r="P43" s="4"/>
      <c r="Q43" s="4"/>
      <c r="R43" s="4">
        <f t="shared" si="15"/>
        <v>0</v>
      </c>
      <c r="S43" s="61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61">
        <v>0</v>
      </c>
      <c r="AC43" s="4">
        <v>0</v>
      </c>
      <c r="AD43" s="4">
        <v>0</v>
      </c>
      <c r="AE43" s="13">
        <f t="shared" si="16"/>
        <v>0</v>
      </c>
      <c r="AF43" s="12"/>
      <c r="AG43" s="4"/>
      <c r="AH43" s="4"/>
      <c r="AI43" s="4">
        <f t="shared" si="17"/>
        <v>0</v>
      </c>
      <c r="AJ43" s="4">
        <f t="shared" si="3"/>
        <v>0</v>
      </c>
      <c r="AK43" s="4">
        <v>0</v>
      </c>
    </row>
    <row r="44" spans="1:38" ht="15.75" customHeight="1">
      <c r="A44" s="3" t="s">
        <v>86</v>
      </c>
      <c r="B44" s="61">
        <v>3513316</v>
      </c>
      <c r="C44" s="200">
        <f t="shared" si="13"/>
        <v>924346</v>
      </c>
      <c r="D44" s="61">
        <v>4437662</v>
      </c>
      <c r="E44" s="61">
        <v>0</v>
      </c>
      <c r="F44" s="61">
        <v>0</v>
      </c>
      <c r="G44" s="61">
        <v>0</v>
      </c>
      <c r="H44" s="61">
        <f>21025.63+12925.72</f>
        <v>33951.35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13">
        <f t="shared" ref="N44" si="21">SUM(D44:M44)</f>
        <v>4471613.3499999996</v>
      </c>
      <c r="O44" s="12"/>
      <c r="P44" s="4"/>
      <c r="Q44" s="4"/>
      <c r="R44" s="4">
        <f t="shared" si="15"/>
        <v>4471613.3499999996</v>
      </c>
      <c r="S44" s="61">
        <v>5140510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61">
        <v>0</v>
      </c>
      <c r="AC44" s="61">
        <v>45037</v>
      </c>
      <c r="AD44" s="4">
        <v>0</v>
      </c>
      <c r="AE44" s="13">
        <f t="shared" si="16"/>
        <v>5185547</v>
      </c>
      <c r="AF44" s="12"/>
      <c r="AG44" s="4"/>
      <c r="AH44" s="4"/>
      <c r="AI44" s="4">
        <f t="shared" si="17"/>
        <v>5185547</v>
      </c>
      <c r="AJ44" s="4">
        <f t="shared" si="3"/>
        <v>713933</v>
      </c>
      <c r="AK44" s="4">
        <v>4471614</v>
      </c>
    </row>
    <row r="45" spans="1:38" s="390" customFormat="1" ht="15.75" customHeight="1">
      <c r="A45" s="386" t="s">
        <v>85</v>
      </c>
      <c r="B45" s="392">
        <v>13213506</v>
      </c>
      <c r="C45" s="387">
        <f t="shared" si="13"/>
        <v>0</v>
      </c>
      <c r="D45" s="392">
        <v>13213506</v>
      </c>
      <c r="E45" s="392">
        <v>0</v>
      </c>
      <c r="F45" s="392">
        <v>0</v>
      </c>
      <c r="G45" s="392">
        <v>0</v>
      </c>
      <c r="H45" s="392">
        <v>0</v>
      </c>
      <c r="I45" s="392">
        <v>0</v>
      </c>
      <c r="J45" s="392">
        <v>0</v>
      </c>
      <c r="K45" s="392">
        <v>0</v>
      </c>
      <c r="L45" s="392">
        <v>0</v>
      </c>
      <c r="M45" s="392">
        <v>0</v>
      </c>
      <c r="N45" s="388">
        <f t="shared" si="14"/>
        <v>13213506</v>
      </c>
      <c r="O45" s="389"/>
      <c r="P45" s="385"/>
      <c r="Q45" s="385"/>
      <c r="R45" s="385">
        <f t="shared" si="15"/>
        <v>13213506</v>
      </c>
      <c r="S45" s="392">
        <v>20813206</v>
      </c>
      <c r="T45" s="385">
        <v>0</v>
      </c>
      <c r="U45" s="385">
        <v>0</v>
      </c>
      <c r="V45" s="385">
        <v>0</v>
      </c>
      <c r="W45" s="385">
        <v>0</v>
      </c>
      <c r="X45" s="385">
        <v>0</v>
      </c>
      <c r="Y45" s="385">
        <v>0</v>
      </c>
      <c r="Z45" s="385">
        <v>0</v>
      </c>
      <c r="AA45" s="385">
        <v>0</v>
      </c>
      <c r="AB45" s="392">
        <v>0</v>
      </c>
      <c r="AC45" s="385">
        <v>0</v>
      </c>
      <c r="AD45" s="385">
        <v>0</v>
      </c>
      <c r="AE45" s="388">
        <f>SUM(S45:AD45)</f>
        <v>20813206</v>
      </c>
      <c r="AF45" s="389"/>
      <c r="AG45" s="385"/>
      <c r="AH45" s="385"/>
      <c r="AI45" s="385">
        <f t="shared" si="17"/>
        <v>20813206</v>
      </c>
      <c r="AJ45" s="385">
        <f t="shared" si="3"/>
        <v>7599700</v>
      </c>
      <c r="AK45" s="385">
        <v>13213506</v>
      </c>
    </row>
    <row r="46" spans="1:38" ht="15.75" customHeight="1" thickBot="1">
      <c r="A46" s="3" t="s">
        <v>87</v>
      </c>
      <c r="B46" s="44">
        <v>3572443</v>
      </c>
      <c r="C46" s="200">
        <f t="shared" si="13"/>
        <v>2334259</v>
      </c>
      <c r="D46" s="44">
        <v>5906702</v>
      </c>
      <c r="E46" s="44">
        <v>0</v>
      </c>
      <c r="F46" s="44">
        <v>0</v>
      </c>
      <c r="G46" s="44">
        <v>31406.06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6">
        <f>SUM(D46:M46)</f>
        <v>5938108.0599999996</v>
      </c>
      <c r="O46" s="12"/>
      <c r="P46" s="4"/>
      <c r="Q46" s="4"/>
      <c r="R46" s="44">
        <f>N46-P46+Q46</f>
        <v>5938108.0599999996</v>
      </c>
      <c r="S46" s="44">
        <v>3572443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6">
        <f>SUM(S46:AD46)</f>
        <v>3572443</v>
      </c>
      <c r="AF46" s="12"/>
      <c r="AG46" s="4"/>
      <c r="AH46" s="4"/>
      <c r="AI46" s="44">
        <f>AE46-AG46+AH46</f>
        <v>3572443</v>
      </c>
      <c r="AJ46" s="44">
        <f t="shared" si="3"/>
        <v>-2365666</v>
      </c>
      <c r="AK46" s="44">
        <v>5938109</v>
      </c>
    </row>
    <row r="47" spans="1:38" ht="15.75" customHeight="1">
      <c r="A47" s="5" t="s">
        <v>40</v>
      </c>
      <c r="B47" s="45">
        <f>SUM(B28:B46)</f>
        <v>124943136</v>
      </c>
      <c r="C47" s="197"/>
      <c r="D47" s="45">
        <f t="shared" ref="D47:N47" si="22">SUM(D28:D46)</f>
        <v>128201741</v>
      </c>
      <c r="E47" s="45">
        <f t="shared" si="22"/>
        <v>3790625</v>
      </c>
      <c r="F47" s="45">
        <f t="shared" si="22"/>
        <v>3007926.43</v>
      </c>
      <c r="G47" s="45">
        <f t="shared" si="22"/>
        <v>1407249.06</v>
      </c>
      <c r="H47" s="45">
        <f t="shared" si="22"/>
        <v>604577.14999999991</v>
      </c>
      <c r="I47" s="45">
        <f t="shared" si="22"/>
        <v>0</v>
      </c>
      <c r="J47" s="45">
        <f t="shared" si="22"/>
        <v>793.6</v>
      </c>
      <c r="K47" s="45">
        <f t="shared" si="22"/>
        <v>0</v>
      </c>
      <c r="L47" s="45">
        <f t="shared" si="22"/>
        <v>0</v>
      </c>
      <c r="M47" s="45">
        <f t="shared" si="22"/>
        <v>0</v>
      </c>
      <c r="N47" s="45">
        <f t="shared" si="22"/>
        <v>137012912.23999998</v>
      </c>
      <c r="O47" s="12"/>
      <c r="P47" s="43"/>
      <c r="Q47" s="43"/>
      <c r="R47" s="45">
        <f>SUM(R28:R46)</f>
        <v>129584486.41999999</v>
      </c>
      <c r="S47" s="45">
        <f>SUM(S27:S46)</f>
        <v>126573375</v>
      </c>
      <c r="T47" s="45">
        <f t="shared" ref="T47:AD47" si="23">SUM(T28:T46)</f>
        <v>8586796</v>
      </c>
      <c r="U47" s="45">
        <f t="shared" si="23"/>
        <v>2683308</v>
      </c>
      <c r="V47" s="45">
        <f t="shared" si="23"/>
        <v>180603</v>
      </c>
      <c r="W47" s="45">
        <f t="shared" si="23"/>
        <v>1296079</v>
      </c>
      <c r="X47" s="45">
        <f t="shared" si="23"/>
        <v>0</v>
      </c>
      <c r="Y47" s="45">
        <f t="shared" si="23"/>
        <v>0</v>
      </c>
      <c r="Z47" s="45">
        <f t="shared" si="23"/>
        <v>0</v>
      </c>
      <c r="AA47" s="45">
        <f t="shared" si="23"/>
        <v>0</v>
      </c>
      <c r="AB47" s="45">
        <f t="shared" si="23"/>
        <v>3525403</v>
      </c>
      <c r="AC47" s="45">
        <f t="shared" si="23"/>
        <v>751998</v>
      </c>
      <c r="AD47" s="45">
        <f t="shared" si="23"/>
        <v>979148</v>
      </c>
      <c r="AE47" s="45">
        <f>SUM(AE27:AE46)</f>
        <v>144576710</v>
      </c>
      <c r="AF47" s="12"/>
      <c r="AG47" s="43"/>
      <c r="AH47" s="43"/>
      <c r="AI47" s="45">
        <f>SUM(AI27:AI46)</f>
        <v>129399635</v>
      </c>
      <c r="AJ47" s="45">
        <f t="shared" si="3"/>
        <v>-184853</v>
      </c>
      <c r="AK47" s="45">
        <f>SUM(AK28:AK46)</f>
        <v>129584488</v>
      </c>
    </row>
    <row r="48" spans="1:38" ht="15.75" customHeight="1">
      <c r="A48" s="3" t="s">
        <v>8</v>
      </c>
      <c r="B48" s="4">
        <v>23879352</v>
      </c>
      <c r="C48" s="200">
        <f t="shared" ref="C48:C57" si="24">D48-B48</f>
        <v>0</v>
      </c>
      <c r="D48" s="4">
        <v>23879352</v>
      </c>
      <c r="E48" s="19">
        <v>5000</v>
      </c>
      <c r="F48" s="19">
        <v>105000</v>
      </c>
      <c r="G48" s="19">
        <v>10000</v>
      </c>
      <c r="H48" s="4">
        <v>1000</v>
      </c>
      <c r="I48" s="4">
        <v>1000</v>
      </c>
      <c r="J48" s="4">
        <v>5000</v>
      </c>
      <c r="K48" s="4">
        <v>10000</v>
      </c>
      <c r="L48" s="4">
        <v>800</v>
      </c>
      <c r="M48" s="4">
        <v>800</v>
      </c>
      <c r="N48" s="13">
        <f t="shared" ref="N48:N56" si="25">SUM(D48:M48)</f>
        <v>24017952</v>
      </c>
      <c r="O48" s="12" t="s">
        <v>42</v>
      </c>
      <c r="P48" s="4">
        <f>+'Asientos - para Consolidado'!D24</f>
        <v>138600</v>
      </c>
      <c r="Q48" s="4"/>
      <c r="R48" s="4">
        <f t="shared" ref="R48:R56" si="26">N48-P48+Q48</f>
        <v>23879352</v>
      </c>
      <c r="S48" s="4">
        <v>30006697</v>
      </c>
      <c r="T48" s="19">
        <v>5000</v>
      </c>
      <c r="U48" s="19">
        <v>1105000</v>
      </c>
      <c r="V48" s="19">
        <v>10000</v>
      </c>
      <c r="W48" s="4">
        <v>1000</v>
      </c>
      <c r="X48" s="4">
        <v>1000</v>
      </c>
      <c r="Y48" s="4">
        <v>5000</v>
      </c>
      <c r="Z48" s="4">
        <v>10000</v>
      </c>
      <c r="AA48" s="4">
        <v>800</v>
      </c>
      <c r="AB48" s="4">
        <v>800</v>
      </c>
      <c r="AC48" s="4">
        <v>3661400</v>
      </c>
      <c r="AD48" s="4">
        <v>10000</v>
      </c>
      <c r="AE48" s="13">
        <f>SUM(S48:AD48)</f>
        <v>34816697</v>
      </c>
      <c r="AF48" s="12" t="s">
        <v>287</v>
      </c>
      <c r="AG48" s="4">
        <f>'Diario 2015 (a)'!C2+'Diarios Var.Inversión -Patr (b)'!D156</f>
        <v>4810000.0199999996</v>
      </c>
      <c r="AH48" s="4"/>
      <c r="AI48" s="4">
        <f>AE48-AG48+AH48</f>
        <v>30006696.98</v>
      </c>
      <c r="AJ48" s="4">
        <f t="shared" si="3"/>
        <v>6127344.9800000004</v>
      </c>
      <c r="AK48" s="4">
        <v>23879352</v>
      </c>
      <c r="AL48" s="316">
        <f t="shared" ref="AL48:AL53" si="27">+S48-AI48</f>
        <v>1.9999999552965164E-2</v>
      </c>
    </row>
    <row r="49" spans="1:43" ht="15.75" customHeight="1">
      <c r="A49" s="3" t="s">
        <v>88</v>
      </c>
      <c r="B49" s="4">
        <v>705936</v>
      </c>
      <c r="C49" s="200">
        <f t="shared" si="24"/>
        <v>0</v>
      </c>
      <c r="D49" s="4">
        <v>705936</v>
      </c>
      <c r="E49" s="19">
        <v>37184314</v>
      </c>
      <c r="F49" s="19">
        <f>1000000+260413.02</f>
        <v>1260413.02</v>
      </c>
      <c r="G49" s="19">
        <v>0</v>
      </c>
      <c r="H49" s="4">
        <v>49015</v>
      </c>
      <c r="I49" s="4">
        <v>330450</v>
      </c>
      <c r="J49" s="4">
        <v>0</v>
      </c>
      <c r="K49" s="4">
        <v>0</v>
      </c>
      <c r="L49" s="4">
        <v>0</v>
      </c>
      <c r="M49" s="4">
        <v>0</v>
      </c>
      <c r="N49" s="13">
        <f t="shared" si="25"/>
        <v>39530128.020000003</v>
      </c>
      <c r="O49" s="12" t="s">
        <v>189</v>
      </c>
      <c r="P49" s="4">
        <f>+'Asientos - para Consolidado'!D16+'Asientos - para Consolidado'!D25+'Asientos - para Consolidado'!D62</f>
        <v>38824192</v>
      </c>
      <c r="Q49" s="4"/>
      <c r="R49" s="4">
        <f t="shared" si="26"/>
        <v>705936.02000000328</v>
      </c>
      <c r="S49" s="4">
        <v>920</v>
      </c>
      <c r="T49" s="19">
        <v>42340052</v>
      </c>
      <c r="U49" s="19">
        <v>877313</v>
      </c>
      <c r="V49" s="4">
        <v>0</v>
      </c>
      <c r="W49" s="4">
        <v>49015</v>
      </c>
      <c r="X49" s="4">
        <v>330450</v>
      </c>
      <c r="Y49" s="4">
        <v>0</v>
      </c>
      <c r="Z49" s="4">
        <v>0</v>
      </c>
      <c r="AA49" s="4">
        <v>0</v>
      </c>
      <c r="AB49" s="4">
        <v>1833417</v>
      </c>
      <c r="AC49" s="4">
        <v>406800</v>
      </c>
      <c r="AD49" s="4">
        <v>0</v>
      </c>
      <c r="AE49" s="13">
        <f t="shared" ref="AE49:AE56" si="28">SUM(S49:AD49)</f>
        <v>45837967</v>
      </c>
      <c r="AF49" s="12" t="s">
        <v>287</v>
      </c>
      <c r="AG49" s="4">
        <f>'Diario 2015 (a)'!C3+'Diarios Var.Inversión -Patr (b)'!D157</f>
        <v>41755120.030000001</v>
      </c>
      <c r="AH49" s="4"/>
      <c r="AI49" s="4">
        <f t="shared" ref="AI49:AI56" si="29">AE49-AG49+AH49</f>
        <v>4082846.9699999988</v>
      </c>
      <c r="AJ49" s="4">
        <f t="shared" si="3"/>
        <v>3376910.9699999988</v>
      </c>
      <c r="AK49" s="4">
        <v>705936</v>
      </c>
      <c r="AL49" s="316">
        <f t="shared" si="27"/>
        <v>-4081926.9699999988</v>
      </c>
      <c r="AO49" s="317">
        <f>AK26-AK47-AK58</f>
        <v>0</v>
      </c>
    </row>
    <row r="50" spans="1:43" ht="15.75" customHeight="1">
      <c r="A50" s="3" t="s">
        <v>17</v>
      </c>
      <c r="B50" s="4">
        <v>2640253</v>
      </c>
      <c r="C50" s="200">
        <f t="shared" si="24"/>
        <v>0</v>
      </c>
      <c r="D50" s="4">
        <v>2640253</v>
      </c>
      <c r="E50" s="19">
        <v>0</v>
      </c>
      <c r="F50" s="19">
        <v>0</v>
      </c>
      <c r="G50" s="19">
        <v>74426.570000000007</v>
      </c>
      <c r="H50" s="4">
        <v>500</v>
      </c>
      <c r="I50" s="4">
        <v>109633.48</v>
      </c>
      <c r="J50" s="4">
        <v>0</v>
      </c>
      <c r="K50" s="4">
        <v>0</v>
      </c>
      <c r="L50" s="4">
        <v>0</v>
      </c>
      <c r="M50" s="4">
        <v>0</v>
      </c>
      <c r="N50" s="13">
        <f t="shared" si="25"/>
        <v>2824813.05</v>
      </c>
      <c r="O50" s="12" t="s">
        <v>42</v>
      </c>
      <c r="P50" s="4">
        <f>+'Asientos - para Consolidado'!D26</f>
        <v>184560.05</v>
      </c>
      <c r="Q50" s="4"/>
      <c r="R50" s="4">
        <f t="shared" si="26"/>
        <v>2640253</v>
      </c>
      <c r="S50" s="4">
        <v>4662954</v>
      </c>
      <c r="T50" s="4">
        <v>0</v>
      </c>
      <c r="U50" s="4">
        <v>0</v>
      </c>
      <c r="V50" s="19">
        <v>74426</v>
      </c>
      <c r="W50" s="4">
        <v>500</v>
      </c>
      <c r="X50" s="4">
        <v>109633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13">
        <f t="shared" si="28"/>
        <v>4847513</v>
      </c>
      <c r="AF50" s="12" t="s">
        <v>285</v>
      </c>
      <c r="AG50" s="4">
        <f>'Diario 2015 (a)'!C4</f>
        <v>184560.05</v>
      </c>
      <c r="AH50" s="4"/>
      <c r="AI50" s="4">
        <f t="shared" si="29"/>
        <v>4662952.95</v>
      </c>
      <c r="AJ50" s="4">
        <f t="shared" si="3"/>
        <v>2022699.9500000002</v>
      </c>
      <c r="AK50" s="4">
        <v>2640253</v>
      </c>
      <c r="AL50" s="316">
        <f t="shared" si="27"/>
        <v>1.0499999998137355</v>
      </c>
    </row>
    <row r="51" spans="1:43" ht="15.75" customHeight="1">
      <c r="A51" s="3" t="s">
        <v>19</v>
      </c>
      <c r="B51" s="4">
        <v>34797</v>
      </c>
      <c r="C51" s="200">
        <f t="shared" si="24"/>
        <v>0</v>
      </c>
      <c r="D51" s="4">
        <v>34797</v>
      </c>
      <c r="E51" s="19">
        <v>0</v>
      </c>
      <c r="F51" s="19">
        <v>0</v>
      </c>
      <c r="G51" s="19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13">
        <f t="shared" si="25"/>
        <v>34797</v>
      </c>
      <c r="O51" s="12"/>
      <c r="P51" s="4"/>
      <c r="Q51" s="4"/>
      <c r="R51" s="4">
        <f t="shared" si="26"/>
        <v>34797</v>
      </c>
      <c r="S51" s="4">
        <v>34797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13">
        <f t="shared" si="28"/>
        <v>34797</v>
      </c>
      <c r="AF51" s="12"/>
      <c r="AG51" s="4"/>
      <c r="AH51" s="4"/>
      <c r="AI51" s="4">
        <f t="shared" si="29"/>
        <v>34797</v>
      </c>
      <c r="AJ51" s="4">
        <f t="shared" si="3"/>
        <v>0</v>
      </c>
      <c r="AK51" s="4">
        <v>34797</v>
      </c>
      <c r="AL51" s="316">
        <f t="shared" si="27"/>
        <v>0</v>
      </c>
    </row>
    <row r="52" spans="1:43" ht="15.75" customHeight="1">
      <c r="A52" s="3" t="s">
        <v>18</v>
      </c>
      <c r="B52" s="4">
        <v>227072</v>
      </c>
      <c r="C52" s="200">
        <f t="shared" si="24"/>
        <v>0</v>
      </c>
      <c r="D52" s="4">
        <v>227072</v>
      </c>
      <c r="E52" s="19">
        <v>0</v>
      </c>
      <c r="F52" s="19">
        <v>0</v>
      </c>
      <c r="G52" s="19">
        <v>0</v>
      </c>
      <c r="H52" s="4">
        <v>0</v>
      </c>
      <c r="I52" s="4">
        <v>0</v>
      </c>
      <c r="J52" s="4">
        <v>1226.1199999999999</v>
      </c>
      <c r="K52" s="4">
        <v>0</v>
      </c>
      <c r="L52" s="4">
        <v>340.17</v>
      </c>
      <c r="M52" s="4">
        <v>0</v>
      </c>
      <c r="N52" s="13">
        <f t="shared" si="25"/>
        <v>228638.29</v>
      </c>
      <c r="O52" s="12" t="s">
        <v>42</v>
      </c>
      <c r="P52" s="4">
        <f>+'Asientos - para Consolidado'!D27</f>
        <v>1566.29</v>
      </c>
      <c r="Q52" s="4"/>
      <c r="R52" s="4">
        <f t="shared" si="26"/>
        <v>227072</v>
      </c>
      <c r="S52" s="4">
        <v>227072</v>
      </c>
      <c r="T52" s="4">
        <v>0</v>
      </c>
      <c r="U52" s="4">
        <v>0</v>
      </c>
      <c r="V52" s="19">
        <v>0</v>
      </c>
      <c r="W52" s="4">
        <v>0</v>
      </c>
      <c r="X52" s="4">
        <v>0</v>
      </c>
      <c r="Y52" s="4">
        <v>1226</v>
      </c>
      <c r="Z52" s="4">
        <v>0</v>
      </c>
      <c r="AA52" s="4">
        <v>340</v>
      </c>
      <c r="AB52" s="4">
        <v>0</v>
      </c>
      <c r="AC52" s="4">
        <v>274690</v>
      </c>
      <c r="AD52" s="4">
        <v>0</v>
      </c>
      <c r="AE52" s="13">
        <f t="shared" si="28"/>
        <v>503328</v>
      </c>
      <c r="AF52" s="12" t="s">
        <v>285</v>
      </c>
      <c r="AG52" s="4">
        <f>'Diario 2015 (a)'!C5+'Diarios Var.Inversión -Patr (b)'!D166</f>
        <v>276256.28999999998</v>
      </c>
      <c r="AH52" s="4"/>
      <c r="AI52" s="4">
        <f t="shared" si="29"/>
        <v>227071.71000000002</v>
      </c>
      <c r="AJ52" s="4">
        <f t="shared" si="3"/>
        <v>-0.28999999997904524</v>
      </c>
      <c r="AK52" s="4">
        <v>227072</v>
      </c>
      <c r="AL52" s="316">
        <f t="shared" si="27"/>
        <v>0.28999999997904524</v>
      </c>
      <c r="AO52" s="316">
        <f>SUM(AK52:AK56)</f>
        <v>31964783</v>
      </c>
    </row>
    <row r="53" spans="1:43" ht="15.75" customHeight="1">
      <c r="A53" s="3" t="s">
        <v>20</v>
      </c>
      <c r="B53" s="4">
        <v>-3202431</v>
      </c>
      <c r="C53" s="200">
        <f t="shared" si="24"/>
        <v>0</v>
      </c>
      <c r="D53" s="4">
        <v>-3202431</v>
      </c>
      <c r="E53" s="19">
        <v>0</v>
      </c>
      <c r="F53" s="19">
        <v>0</v>
      </c>
      <c r="G53" s="19">
        <v>0</v>
      </c>
      <c r="H53" s="4">
        <v>82150.45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13">
        <f t="shared" si="25"/>
        <v>-3120280.55</v>
      </c>
      <c r="O53" s="12" t="s">
        <v>42</v>
      </c>
      <c r="P53" s="4">
        <f>+'Asientos - para Consolidado'!D28</f>
        <v>82150.45</v>
      </c>
      <c r="Q53" s="4"/>
      <c r="R53" s="4">
        <f t="shared" si="26"/>
        <v>-3202431</v>
      </c>
      <c r="S53" s="4">
        <v>-3202431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-56932</v>
      </c>
      <c r="AD53" s="4">
        <v>0</v>
      </c>
      <c r="AE53" s="13">
        <f t="shared" si="28"/>
        <v>-3259363</v>
      </c>
      <c r="AF53" s="12" t="s">
        <v>287</v>
      </c>
      <c r="AG53" s="4">
        <f>'Diario 2015 (a)'!C6</f>
        <v>82150.45</v>
      </c>
      <c r="AH53" s="4">
        <f>'Diarios Var.Inversión -Patr (b)'!E167</f>
        <v>98007.225000000006</v>
      </c>
      <c r="AI53" s="4">
        <f t="shared" si="29"/>
        <v>-3243506.2250000001</v>
      </c>
      <c r="AJ53" s="4">
        <f t="shared" si="3"/>
        <v>-41075.225000000093</v>
      </c>
      <c r="AK53" s="4">
        <v>-3202431</v>
      </c>
      <c r="AL53" s="316">
        <f t="shared" si="27"/>
        <v>41075.225000000093</v>
      </c>
      <c r="AP53" s="318"/>
    </row>
    <row r="54" spans="1:43" ht="15.75" customHeight="1">
      <c r="A54" s="3" t="s">
        <v>399</v>
      </c>
      <c r="B54" s="4"/>
      <c r="C54" s="200"/>
      <c r="D54" s="4"/>
      <c r="E54" s="19"/>
      <c r="F54" s="19"/>
      <c r="G54" s="19"/>
      <c r="H54" s="4"/>
      <c r="I54" s="4"/>
      <c r="J54" s="4"/>
      <c r="K54" s="4"/>
      <c r="L54" s="4"/>
      <c r="M54" s="4"/>
      <c r="N54" s="13"/>
      <c r="O54" s="12"/>
      <c r="P54" s="4"/>
      <c r="Q54" s="4"/>
      <c r="R54" s="4"/>
      <c r="S54" s="4">
        <f>1849659-495802</f>
        <v>1353857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13">
        <f t="shared" si="28"/>
        <v>1353857</v>
      </c>
      <c r="AF54" s="12"/>
      <c r="AG54" s="4"/>
      <c r="AH54" s="4"/>
      <c r="AI54" s="4">
        <f t="shared" si="29"/>
        <v>1353857</v>
      </c>
      <c r="AJ54" s="4"/>
      <c r="AK54" s="4"/>
      <c r="AL54" s="316"/>
      <c r="AP54" s="318"/>
    </row>
    <row r="55" spans="1:43" ht="15.75" customHeight="1">
      <c r="A55" s="3" t="s">
        <v>21</v>
      </c>
      <c r="B55" s="4">
        <f>41559897-13418852</f>
        <v>28141045</v>
      </c>
      <c r="C55" s="200">
        <f t="shared" si="24"/>
        <v>-5585599</v>
      </c>
      <c r="D55" s="4">
        <v>22555446</v>
      </c>
      <c r="E55" s="19">
        <v>0</v>
      </c>
      <c r="F55" s="19">
        <v>-41629.31</v>
      </c>
      <c r="G55" s="19">
        <v>895753.95</v>
      </c>
      <c r="H55" s="4">
        <f>387853.68-258715.33</f>
        <v>129138.35</v>
      </c>
      <c r="I55" s="4">
        <v>-26948.34</v>
      </c>
      <c r="J55" s="4">
        <v>968.87</v>
      </c>
      <c r="K55" s="4">
        <v>0</v>
      </c>
      <c r="L55" s="4">
        <v>0</v>
      </c>
      <c r="M55" s="4">
        <v>0</v>
      </c>
      <c r="N55" s="13">
        <f t="shared" si="25"/>
        <v>23512729.520000003</v>
      </c>
      <c r="O55" s="12" t="s">
        <v>184</v>
      </c>
      <c r="P55" s="4">
        <f>+'Asientos - para Consolidado'!D29+'Asientos - para Consolidado'!D32</f>
        <v>1785831.8836487459</v>
      </c>
      <c r="Q55" s="4">
        <f>+'Asientos - para Consolidado'!E34</f>
        <v>1044878.7099375</v>
      </c>
      <c r="R55" s="4">
        <f t="shared" si="26"/>
        <v>22771776.346288759</v>
      </c>
      <c r="S55" s="393">
        <f>31666289+495802-200</f>
        <v>32161891</v>
      </c>
      <c r="T55" s="19">
        <v>2254833</v>
      </c>
      <c r="U55" s="19">
        <v>-16937</v>
      </c>
      <c r="V55" s="19">
        <v>911628</v>
      </c>
      <c r="W55" s="4">
        <v>-488265</v>
      </c>
      <c r="X55" s="4">
        <v>-53896</v>
      </c>
      <c r="Y55" s="4">
        <v>1763</v>
      </c>
      <c r="Z55" s="4">
        <v>0</v>
      </c>
      <c r="AA55" s="4">
        <v>0</v>
      </c>
      <c r="AB55" s="4">
        <v>-15422</v>
      </c>
      <c r="AC55" s="4">
        <v>-3886526</v>
      </c>
      <c r="AD55" s="4">
        <v>-144335</v>
      </c>
      <c r="AE55" s="13">
        <f t="shared" si="28"/>
        <v>30724734</v>
      </c>
      <c r="AF55" s="12" t="s">
        <v>288</v>
      </c>
      <c r="AG55" s="4">
        <f>'Diario 2015 (a)'!C7+'Diario 2015 (a)'!C9+'Diarios Var.Inversión -Patr (b)'!D163</f>
        <v>3731451.5121573415</v>
      </c>
      <c r="AH55" s="4">
        <f>'Diario 2015 (a)'!D11+'Diarios Var.Inversión -Patr (b)'!E163+'Diarios Cxc Cxp relac (c)'!E37</f>
        <v>5653571.5274687503</v>
      </c>
      <c r="AI55" s="4">
        <f t="shared" si="29"/>
        <v>32646854.015311405</v>
      </c>
      <c r="AJ55" s="4">
        <f t="shared" si="3"/>
        <v>9875078.0153114051</v>
      </c>
      <c r="AK55" s="4">
        <v>22771776</v>
      </c>
      <c r="AL55" s="316">
        <f>S55-AI55</f>
        <v>-484963.01531140506</v>
      </c>
      <c r="AM55" s="316"/>
      <c r="AO55" s="316"/>
      <c r="AP55" s="318"/>
    </row>
    <row r="56" spans="1:43" ht="15.75" customHeight="1">
      <c r="A56" s="3" t="s">
        <v>293</v>
      </c>
      <c r="B56" s="61">
        <v>13418852</v>
      </c>
      <c r="C56" s="200">
        <f t="shared" si="24"/>
        <v>19335</v>
      </c>
      <c r="D56" s="61">
        <f>D76</f>
        <v>13438187</v>
      </c>
      <c r="E56" s="62">
        <v>-428382</v>
      </c>
      <c r="F56" s="62">
        <v>-42247.24</v>
      </c>
      <c r="G56" s="62">
        <v>-71048.58</v>
      </c>
      <c r="H56" s="61">
        <v>-489726.71993750002</v>
      </c>
      <c r="I56" s="61">
        <v>-13474.17</v>
      </c>
      <c r="J56" s="61">
        <v>0</v>
      </c>
      <c r="K56" s="61">
        <v>0</v>
      </c>
      <c r="L56" s="61">
        <v>0</v>
      </c>
      <c r="M56" s="61">
        <v>0</v>
      </c>
      <c r="N56" s="13">
        <f t="shared" si="25"/>
        <v>12393308.2900625</v>
      </c>
      <c r="O56" s="12" t="s">
        <v>179</v>
      </c>
      <c r="P56" s="4">
        <f>+'Asientos - para Consolidado'!D43+'Asientos - para Consolidado'!D79</f>
        <v>669524.34</v>
      </c>
      <c r="Q56" s="4">
        <f>+'Asientos - para Consolidado'!E44</f>
        <v>444582</v>
      </c>
      <c r="R56" s="4">
        <f t="shared" si="26"/>
        <v>12168365.9500625</v>
      </c>
      <c r="S56" s="394">
        <v>5595545</v>
      </c>
      <c r="T56" s="62">
        <v>-1077724</v>
      </c>
      <c r="U56" s="62">
        <v>19337</v>
      </c>
      <c r="V56" s="62">
        <v>-15891</v>
      </c>
      <c r="W56" s="61">
        <v>-493384</v>
      </c>
      <c r="X56" s="61">
        <v>-13474</v>
      </c>
      <c r="Y56" s="4">
        <v>0</v>
      </c>
      <c r="Z56" s="4">
        <v>0</v>
      </c>
      <c r="AA56" s="4">
        <v>0</v>
      </c>
      <c r="AB56" s="61">
        <v>-344143</v>
      </c>
      <c r="AC56" s="4">
        <v>-502401</v>
      </c>
      <c r="AD56" s="4">
        <f>AD76</f>
        <v>-395559</v>
      </c>
      <c r="AE56" s="13">
        <f t="shared" si="28"/>
        <v>2772306</v>
      </c>
      <c r="AF56" s="12" t="s">
        <v>42</v>
      </c>
      <c r="AG56" s="384">
        <f>'Diarios Var.Inversión -Patr (b)'!D164+'Diarios Var.Inversión -Patr (b)'!D165+(AG60-AH61-AH64-AH65)</f>
        <v>-1252324.2888687784</v>
      </c>
      <c r="AH56" s="4">
        <f>'Diarios Var.Inversión -Patr (b)'!E164</f>
        <v>1178171.1535999998</v>
      </c>
      <c r="AI56" s="4">
        <f t="shared" si="29"/>
        <v>5202801.4424687782</v>
      </c>
      <c r="AJ56" s="4">
        <f t="shared" si="3"/>
        <v>-6965564.5575312218</v>
      </c>
      <c r="AK56" s="4">
        <v>12168366</v>
      </c>
      <c r="AL56" s="316">
        <f>AI56-S56</f>
        <v>-392743.55753122177</v>
      </c>
      <c r="AM56" s="319">
        <f>+AI56-AI81</f>
        <v>-1115754.5527538452</v>
      </c>
      <c r="AP56" s="318"/>
      <c r="AQ56" s="316"/>
    </row>
    <row r="57" spans="1:43" ht="15.75" customHeight="1" thickBot="1">
      <c r="A57" s="3" t="s">
        <v>14</v>
      </c>
      <c r="B57" s="44">
        <v>0</v>
      </c>
      <c r="C57" s="200">
        <f t="shared" si="24"/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6">
        <f>SUM(D57:M57)</f>
        <v>0</v>
      </c>
      <c r="O57" s="12" t="s">
        <v>42</v>
      </c>
      <c r="P57" s="4"/>
      <c r="Q57" s="4">
        <f>+'Asientos - para Consolidado'!E36</f>
        <v>9357519.0706554651</v>
      </c>
      <c r="R57" s="44">
        <f>N57-P57+Q57</f>
        <v>9357519.0706554651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6">
        <f>SUM(S57:AD57)</f>
        <v>0</v>
      </c>
      <c r="AF57" s="12" t="s">
        <v>287</v>
      </c>
      <c r="AG57" s="4">
        <f>'Diarios Var.Inversión -Patr (b)'!D162</f>
        <v>1295038.0275312499</v>
      </c>
      <c r="AH57" s="4">
        <f>'Diario 2015 (a)'!D13+'Diarios Var.Inversión -Patr (b)'!E162</f>
        <v>9419918.5516952835</v>
      </c>
      <c r="AI57" s="44">
        <f>AE57-AG57+AH57</f>
        <v>8124880.5241640341</v>
      </c>
      <c r="AJ57" s="44">
        <f t="shared" si="3"/>
        <v>-1232638.4758359659</v>
      </c>
      <c r="AK57" s="44">
        <v>9357519</v>
      </c>
      <c r="AL57" s="316">
        <f>AL55-AL56</f>
        <v>-92219.457780183293</v>
      </c>
    </row>
    <row r="58" spans="1:43" ht="15.75" customHeight="1">
      <c r="A58" s="5" t="s">
        <v>41</v>
      </c>
      <c r="B58" s="47">
        <f t="shared" ref="B58" si="30">SUM(B48:B57)</f>
        <v>65844876</v>
      </c>
      <c r="C58" s="197"/>
      <c r="D58" s="47">
        <f t="shared" ref="D58:N58" si="31">SUM(D48:D57)</f>
        <v>60278612</v>
      </c>
      <c r="E58" s="47">
        <f t="shared" ref="E58" si="32">SUM(E48:E57)</f>
        <v>36760932</v>
      </c>
      <c r="F58" s="47">
        <f t="shared" si="31"/>
        <v>1281536.47</v>
      </c>
      <c r="G58" s="47">
        <f t="shared" si="31"/>
        <v>909131.94000000006</v>
      </c>
      <c r="H58" s="47">
        <f>SUM(H48:H57)</f>
        <v>-227922.9199375</v>
      </c>
      <c r="I58" s="47">
        <f t="shared" si="31"/>
        <v>400660.97</v>
      </c>
      <c r="J58" s="47">
        <f t="shared" si="31"/>
        <v>7194.99</v>
      </c>
      <c r="K58" s="47">
        <f t="shared" si="31"/>
        <v>10000</v>
      </c>
      <c r="L58" s="47">
        <f t="shared" si="31"/>
        <v>1140.17</v>
      </c>
      <c r="M58" s="47">
        <f t="shared" si="31"/>
        <v>800</v>
      </c>
      <c r="N58" s="47">
        <f t="shared" si="31"/>
        <v>99422085.620062515</v>
      </c>
      <c r="O58" s="11"/>
      <c r="P58" s="47"/>
      <c r="Q58" s="47"/>
      <c r="R58" s="47">
        <f>SUM(R48:R57)</f>
        <v>68582640.38700673</v>
      </c>
      <c r="S58" s="47">
        <f t="shared" ref="S58" si="33">SUM(S48:S57)</f>
        <v>70841302</v>
      </c>
      <c r="T58" s="47">
        <f>SUM(T48:T57)</f>
        <v>43522161</v>
      </c>
      <c r="U58" s="47">
        <f t="shared" ref="U58" si="34">SUM(U48:U57)</f>
        <v>1984713</v>
      </c>
      <c r="V58" s="47">
        <f t="shared" ref="V58" si="35">SUM(V48:V57)</f>
        <v>980163</v>
      </c>
      <c r="W58" s="47">
        <f>SUM(W48:W57)</f>
        <v>-931134</v>
      </c>
      <c r="X58" s="47">
        <f t="shared" ref="X58:AD58" si="36">SUM(X48:X57)</f>
        <v>373713</v>
      </c>
      <c r="Y58" s="47">
        <f t="shared" si="36"/>
        <v>7989</v>
      </c>
      <c r="Z58" s="47">
        <f t="shared" si="36"/>
        <v>10000</v>
      </c>
      <c r="AA58" s="47">
        <f t="shared" si="36"/>
        <v>1140</v>
      </c>
      <c r="AB58" s="47">
        <f t="shared" si="36"/>
        <v>1474652</v>
      </c>
      <c r="AC58" s="47">
        <f t="shared" si="36"/>
        <v>-102969</v>
      </c>
      <c r="AD58" s="47">
        <f t="shared" si="36"/>
        <v>-529894</v>
      </c>
      <c r="AE58" s="47">
        <f>SUM(AE48:AE57)</f>
        <v>117631836</v>
      </c>
      <c r="AF58" s="11"/>
      <c r="AG58" s="47"/>
      <c r="AH58" s="47"/>
      <c r="AI58" s="47">
        <f>SUM(AI48:AI57)</f>
        <v>83099252.366944224</v>
      </c>
      <c r="AJ58" s="47">
        <f t="shared" si="3"/>
        <v>14516612.366944224</v>
      </c>
      <c r="AK58" s="47">
        <f>SUM(AK48:AK57)</f>
        <v>68582640</v>
      </c>
    </row>
    <row r="59" spans="1:43" ht="15.75" customHeight="1">
      <c r="A59" s="5"/>
      <c r="B59" s="47"/>
      <c r="C59" s="19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11"/>
      <c r="P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11"/>
      <c r="AG59" s="47"/>
      <c r="AI59" s="47"/>
      <c r="AJ59" s="47"/>
      <c r="AK59" s="47"/>
      <c r="AL59" s="316">
        <f>+AI58+AI47</f>
        <v>212498887.36694422</v>
      </c>
      <c r="AM59" s="316">
        <f>+AL59-AI26</f>
        <v>0</v>
      </c>
    </row>
    <row r="60" spans="1:43" ht="15.75" customHeight="1">
      <c r="A60" s="3" t="s">
        <v>89</v>
      </c>
      <c r="B60" s="6">
        <v>124607414</v>
      </c>
      <c r="C60" s="200">
        <f t="shared" ref="C60:C61" si="37">D60-B60</f>
        <v>0</v>
      </c>
      <c r="D60" s="6">
        <v>124607414</v>
      </c>
      <c r="E60" s="6">
        <v>0</v>
      </c>
      <c r="F60" s="6">
        <v>0</v>
      </c>
      <c r="G60" s="6">
        <v>0</v>
      </c>
      <c r="H60" s="6">
        <v>60885.43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13">
        <f t="shared" ref="N60" si="38">SUM(D60:M60)</f>
        <v>124668299.43000001</v>
      </c>
      <c r="O60" s="10" t="s">
        <v>179</v>
      </c>
      <c r="P60" s="6">
        <f>+'Asientos - para Consolidado'!D43+'Asientos - para Consolidado'!D46</f>
        <v>455612</v>
      </c>
      <c r="Q60" s="6"/>
      <c r="R60" s="4">
        <f t="shared" ref="R60" si="39">N60-P60+Q60</f>
        <v>124212687.43000001</v>
      </c>
      <c r="S60" s="6">
        <v>152924768</v>
      </c>
      <c r="T60" s="6">
        <v>1907995</v>
      </c>
      <c r="U60" s="6">
        <v>636407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120923</v>
      </c>
      <c r="AC60" s="6">
        <v>280002</v>
      </c>
      <c r="AD60" s="6">
        <v>162445</v>
      </c>
      <c r="AE60" s="13">
        <f>SUM(S60:AD60)</f>
        <v>156032540</v>
      </c>
      <c r="AF60" s="10" t="s">
        <v>178</v>
      </c>
      <c r="AG60" s="6">
        <f>'Ventas-Compras (d)'!D26</f>
        <v>376468.58</v>
      </c>
      <c r="AH60" s="6"/>
      <c r="AI60" s="4">
        <f t="shared" ref="AI60" si="40">AE60-AG60+AH60</f>
        <v>155656071.41999999</v>
      </c>
      <c r="AJ60" s="4">
        <f t="shared" ref="AJ60:AJ62" si="41">AI60-AK60</f>
        <v>31443384.419999987</v>
      </c>
      <c r="AK60" s="4">
        <v>124212687</v>
      </c>
    </row>
    <row r="61" spans="1:43" ht="15.75" customHeight="1" thickBot="1">
      <c r="A61" s="3" t="s">
        <v>90</v>
      </c>
      <c r="B61" s="49">
        <v>-89506183</v>
      </c>
      <c r="C61" s="200">
        <f t="shared" si="37"/>
        <v>0</v>
      </c>
      <c r="D61" s="49">
        <v>-89506183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6">
        <f>SUM(D61:M61)</f>
        <v>-89506183</v>
      </c>
      <c r="O61" s="10" t="s">
        <v>179</v>
      </c>
      <c r="P61" s="6"/>
      <c r="Q61" s="6">
        <f>+'Asientos - para Consolidado'!E44</f>
        <v>444582</v>
      </c>
      <c r="R61" s="44">
        <f>N61-P61+Q61</f>
        <v>-89061601</v>
      </c>
      <c r="S61" s="49">
        <v>-71809934</v>
      </c>
      <c r="T61" s="49">
        <v>-2677882</v>
      </c>
      <c r="U61" s="49">
        <v>-187557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-299751</v>
      </c>
      <c r="AC61" s="49">
        <v>-199020</v>
      </c>
      <c r="AD61" s="49">
        <v>-118573</v>
      </c>
      <c r="AE61" s="46">
        <f>SUM(S61:AD61)</f>
        <v>-75292717</v>
      </c>
      <c r="AF61" s="10" t="s">
        <v>178</v>
      </c>
      <c r="AG61" s="6"/>
      <c r="AH61" s="6">
        <f>'Ventas-Compras (d)'!E27</f>
        <v>357344</v>
      </c>
      <c r="AI61" s="44">
        <f>AE61-AG61+AH61</f>
        <v>-74935373</v>
      </c>
      <c r="AJ61" s="44">
        <f t="shared" si="41"/>
        <v>14126228</v>
      </c>
      <c r="AK61" s="44">
        <v>-89061601</v>
      </c>
    </row>
    <row r="62" spans="1:43" ht="15.75" customHeight="1">
      <c r="A62" s="3" t="s">
        <v>94</v>
      </c>
      <c r="B62" s="48">
        <f t="shared" ref="B62" si="42">SUM(B60:B61)</f>
        <v>35101231</v>
      </c>
      <c r="C62" s="198"/>
      <c r="D62" s="48">
        <f t="shared" ref="D62:N62" si="43">SUM(D60:D61)</f>
        <v>35101231</v>
      </c>
      <c r="E62" s="48">
        <f t="shared" si="43"/>
        <v>0</v>
      </c>
      <c r="F62" s="48">
        <f t="shared" si="43"/>
        <v>0</v>
      </c>
      <c r="G62" s="48">
        <f t="shared" si="43"/>
        <v>0</v>
      </c>
      <c r="H62" s="48">
        <f t="shared" si="43"/>
        <v>60885.43</v>
      </c>
      <c r="I62" s="48">
        <f t="shared" si="43"/>
        <v>0</v>
      </c>
      <c r="J62" s="48">
        <f t="shared" si="43"/>
        <v>0</v>
      </c>
      <c r="K62" s="48">
        <f t="shared" ref="K62" si="44">SUM(K60:K61)</f>
        <v>0</v>
      </c>
      <c r="L62" s="48">
        <f t="shared" ref="L62" si="45">SUM(L60:L61)</f>
        <v>0</v>
      </c>
      <c r="M62" s="48">
        <f t="shared" ref="M62" si="46">SUM(M60:M61)</f>
        <v>0</v>
      </c>
      <c r="N62" s="48">
        <f t="shared" si="43"/>
        <v>35162116.430000007</v>
      </c>
      <c r="O62" s="10"/>
      <c r="P62" s="48"/>
      <c r="Q62" s="48"/>
      <c r="R62" s="48">
        <f>SUM(R60:R61)</f>
        <v>35151086.430000007</v>
      </c>
      <c r="S62" s="48">
        <f t="shared" ref="S62:Y62" si="47">SUM(S60:S61)</f>
        <v>81114834</v>
      </c>
      <c r="T62" s="48">
        <f t="shared" ref="T62" si="48">SUM(T60:T61)</f>
        <v>-769887</v>
      </c>
      <c r="U62" s="48">
        <f t="shared" si="47"/>
        <v>448850</v>
      </c>
      <c r="V62" s="48">
        <f t="shared" si="47"/>
        <v>0</v>
      </c>
      <c r="W62" s="48">
        <f t="shared" si="47"/>
        <v>0</v>
      </c>
      <c r="X62" s="48">
        <f t="shared" si="47"/>
        <v>0</v>
      </c>
      <c r="Y62" s="48">
        <f t="shared" si="47"/>
        <v>0</v>
      </c>
      <c r="Z62" s="48">
        <f t="shared" ref="Z62:AD62" si="49">SUM(Z60:Z61)</f>
        <v>0</v>
      </c>
      <c r="AA62" s="48">
        <f t="shared" si="49"/>
        <v>0</v>
      </c>
      <c r="AB62" s="48">
        <f t="shared" si="49"/>
        <v>-178828</v>
      </c>
      <c r="AC62" s="48">
        <f t="shared" si="49"/>
        <v>80982</v>
      </c>
      <c r="AD62" s="48">
        <f t="shared" si="49"/>
        <v>43872</v>
      </c>
      <c r="AE62" s="48">
        <f>SUM(AE60:AE61)</f>
        <v>80739823</v>
      </c>
      <c r="AF62" s="10"/>
      <c r="AG62" s="48" t="s">
        <v>347</v>
      </c>
      <c r="AH62" s="48"/>
      <c r="AI62" s="48">
        <f>SUM(AI60:AI61)</f>
        <v>80720698.419999987</v>
      </c>
      <c r="AJ62" s="48">
        <f t="shared" si="41"/>
        <v>45569612.419999987</v>
      </c>
      <c r="AK62" s="48">
        <f>SUM(AK60:AK61)</f>
        <v>35151086</v>
      </c>
    </row>
    <row r="63" spans="1:43" ht="15.75" customHeight="1">
      <c r="A63" s="50"/>
      <c r="B63" s="6"/>
      <c r="C63" s="50"/>
      <c r="D63" s="6"/>
      <c r="E63" s="6"/>
      <c r="F63" s="6"/>
      <c r="G63" s="6"/>
      <c r="H63" s="6"/>
      <c r="I63" s="6"/>
      <c r="J63" s="6"/>
      <c r="K63" s="6"/>
      <c r="L63" s="6"/>
      <c r="M63" s="6"/>
      <c r="N63" s="13"/>
      <c r="O63" s="10"/>
      <c r="P63" s="6"/>
      <c r="Q63" s="6"/>
      <c r="R63" s="4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13"/>
      <c r="AF63" s="10"/>
      <c r="AG63" s="6"/>
      <c r="AH63" s="6"/>
      <c r="AI63" s="4"/>
      <c r="AJ63" s="4"/>
      <c r="AK63" s="4"/>
    </row>
    <row r="64" spans="1:43" ht="15.75" customHeight="1">
      <c r="A64" s="3" t="s">
        <v>91</v>
      </c>
      <c r="B64" s="6">
        <v>-30987428</v>
      </c>
      <c r="C64" s="200">
        <f t="shared" ref="C64:C65" si="50">D64-B64</f>
        <v>4945</v>
      </c>
      <c r="D64" s="6">
        <v>-30982483</v>
      </c>
      <c r="E64" s="6">
        <f>-95542-332969</f>
        <v>-428511</v>
      </c>
      <c r="F64" s="6">
        <f>-27248.97-F68-24590.05</f>
        <v>-51169.020000000004</v>
      </c>
      <c r="G64" s="6">
        <v>-40032</v>
      </c>
      <c r="H64" s="6">
        <f>-550678.35-H68</f>
        <v>-535525.16999999993</v>
      </c>
      <c r="I64" s="6">
        <v>-13474.17</v>
      </c>
      <c r="J64" s="6">
        <v>0</v>
      </c>
      <c r="K64" s="6">
        <v>0</v>
      </c>
      <c r="L64" s="6">
        <v>0</v>
      </c>
      <c r="M64" s="6">
        <v>0</v>
      </c>
      <c r="N64" s="13">
        <f t="shared" ref="N64" si="51">SUM(D64:M64)</f>
        <v>-32051194.359999999</v>
      </c>
      <c r="O64" s="10" t="s">
        <v>179</v>
      </c>
      <c r="P64" s="6"/>
      <c r="Q64" s="6">
        <f>+'Asientos - para Consolidado'!E47</f>
        <v>11030</v>
      </c>
      <c r="R64" s="4">
        <f t="shared" ref="R64" si="52">N64-P64+Q64</f>
        <v>-32040164.359999999</v>
      </c>
      <c r="S64" s="6">
        <v>-61700666</v>
      </c>
      <c r="T64" s="6">
        <v>-306890</v>
      </c>
      <c r="U64" s="6">
        <v>-429513</v>
      </c>
      <c r="V64" s="6">
        <v>-15891</v>
      </c>
      <c r="W64" s="6">
        <v>-493384</v>
      </c>
      <c r="X64" s="6">
        <v>-13474</v>
      </c>
      <c r="Y64" s="6">
        <v>0</v>
      </c>
      <c r="Z64" s="6">
        <v>0</v>
      </c>
      <c r="AA64" s="6">
        <v>0</v>
      </c>
      <c r="AB64" s="6">
        <f>-165338+23</f>
        <v>-165315</v>
      </c>
      <c r="AC64" s="6">
        <v>-586188</v>
      </c>
      <c r="AD64" s="6">
        <v>-444288</v>
      </c>
      <c r="AE64" s="13">
        <f>SUM(S64:AD64)</f>
        <v>-64155609</v>
      </c>
      <c r="AF64" s="10"/>
      <c r="AG64" s="6"/>
      <c r="AH64" s="6">
        <f>'Ventas-Compras (d)'!E28</f>
        <v>7818.58</v>
      </c>
      <c r="AI64" s="4">
        <f t="shared" ref="AI64" si="53">AE64-AG64+AH64</f>
        <v>-64147790.420000002</v>
      </c>
      <c r="AJ64" s="4">
        <f t="shared" ref="AJ64:AJ66" si="54">AI64-AK64</f>
        <v>-32107626.420000002</v>
      </c>
      <c r="AK64" s="4">
        <v>-32040164</v>
      </c>
    </row>
    <row r="65" spans="1:39" ht="15.75" customHeight="1" thickBot="1">
      <c r="A65" s="7" t="s">
        <v>92</v>
      </c>
      <c r="B65" s="49">
        <v>14857424</v>
      </c>
      <c r="C65" s="200">
        <f t="shared" si="50"/>
        <v>0</v>
      </c>
      <c r="D65" s="49">
        <v>14857424</v>
      </c>
      <c r="E65" s="49">
        <v>129</v>
      </c>
      <c r="F65" s="49">
        <v>9591.7800000000007</v>
      </c>
      <c r="G65" s="49">
        <v>-31016.58</v>
      </c>
      <c r="H65" s="49">
        <v>4334.3500000000004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6">
        <f>SUM(D65:M65)</f>
        <v>14840462.549999999</v>
      </c>
      <c r="O65" s="10" t="s">
        <v>201</v>
      </c>
      <c r="P65" s="6">
        <f>+'Asientos - para Consolidado'!D79</f>
        <v>224942.34</v>
      </c>
      <c r="Q65" s="6"/>
      <c r="R65" s="44">
        <f>N65-P65+Q65</f>
        <v>14615520.209999999</v>
      </c>
      <c r="S65" s="49">
        <v>-3618624</v>
      </c>
      <c r="T65" s="49">
        <v>-947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17690</v>
      </c>
      <c r="AD65" s="49">
        <v>4857</v>
      </c>
      <c r="AE65" s="46">
        <f>SUM(S65:AD65)</f>
        <v>-3597024</v>
      </c>
      <c r="AF65" s="10" t="s">
        <v>42</v>
      </c>
      <c r="AG65" s="6">
        <f>'Diarios Var.Inversión -Patr (b)'!D165</f>
        <v>0</v>
      </c>
      <c r="AH65" s="6">
        <f>'Diarios Var.Inversión -Patr (b)'!E165</f>
        <v>1276594.05</v>
      </c>
      <c r="AI65" s="44">
        <f>AE65-AG65+AH65</f>
        <v>-2320429.9500000002</v>
      </c>
      <c r="AJ65" s="44">
        <f t="shared" si="54"/>
        <v>-16935949.949999999</v>
      </c>
      <c r="AK65" s="44">
        <v>14615520</v>
      </c>
    </row>
    <row r="66" spans="1:39" ht="15.75" customHeight="1">
      <c r="A66" s="7" t="s">
        <v>93</v>
      </c>
      <c r="B66" s="48">
        <f>SUM(B62:B65)</f>
        <v>18971227</v>
      </c>
      <c r="C66" s="199"/>
      <c r="D66" s="48">
        <f>SUM(D62:D65)</f>
        <v>18976172</v>
      </c>
      <c r="E66" s="48">
        <f>SUM(E62:E65)</f>
        <v>-428382</v>
      </c>
      <c r="F66" s="48">
        <f>SUM(F62:F65)</f>
        <v>-41577.240000000005</v>
      </c>
      <c r="G66" s="48">
        <f t="shared" ref="G66:J66" si="55">SUM(G62:G65)</f>
        <v>-71048.58</v>
      </c>
      <c r="H66" s="48">
        <f t="shared" si="55"/>
        <v>-470305.38999999996</v>
      </c>
      <c r="I66" s="48">
        <f t="shared" si="55"/>
        <v>-13474.17</v>
      </c>
      <c r="J66" s="48">
        <f t="shared" si="55"/>
        <v>0</v>
      </c>
      <c r="K66" s="48">
        <f t="shared" ref="K66" si="56">SUM(K62:K65)</f>
        <v>0</v>
      </c>
      <c r="L66" s="48">
        <f t="shared" ref="L66" si="57">SUM(L62:L65)</f>
        <v>0</v>
      </c>
      <c r="M66" s="48">
        <f t="shared" ref="M66" si="58">SUM(M62:M65)</f>
        <v>0</v>
      </c>
      <c r="N66" s="48">
        <f t="shared" ref="N66" si="59">SUM(N62:N65)</f>
        <v>17951384.620000005</v>
      </c>
      <c r="O66" s="10"/>
      <c r="P66" s="48"/>
      <c r="Q66" s="48"/>
      <c r="R66" s="48">
        <f t="shared" ref="R66" si="60">SUM(R62:R65)</f>
        <v>17726442.280000009</v>
      </c>
      <c r="S66" s="48">
        <f>SUM(S62:S65)</f>
        <v>15795544</v>
      </c>
      <c r="T66" s="48">
        <f>SUM(T62:T65)</f>
        <v>-1077724</v>
      </c>
      <c r="U66" s="48">
        <f>SUM(U62:U65)</f>
        <v>19337</v>
      </c>
      <c r="V66" s="48">
        <f t="shared" ref="V66:AD66" si="61">SUM(V62:V65)</f>
        <v>-15891</v>
      </c>
      <c r="W66" s="48">
        <f t="shared" si="61"/>
        <v>-493384</v>
      </c>
      <c r="X66" s="48">
        <f t="shared" si="61"/>
        <v>-13474</v>
      </c>
      <c r="Y66" s="48">
        <f t="shared" si="61"/>
        <v>0</v>
      </c>
      <c r="Z66" s="48">
        <f t="shared" si="61"/>
        <v>0</v>
      </c>
      <c r="AA66" s="48">
        <f t="shared" si="61"/>
        <v>0</v>
      </c>
      <c r="AB66" s="48">
        <f t="shared" si="61"/>
        <v>-344143</v>
      </c>
      <c r="AC66" s="48">
        <f t="shared" si="61"/>
        <v>-487516</v>
      </c>
      <c r="AD66" s="48">
        <f t="shared" si="61"/>
        <v>-395559</v>
      </c>
      <c r="AE66" s="48">
        <f>SUM(AE62:AE65)</f>
        <v>12987190</v>
      </c>
      <c r="AF66" s="10"/>
      <c r="AG66" s="48"/>
      <c r="AH66" s="48"/>
      <c r="AI66" s="48">
        <f t="shared" ref="AI66" si="62">SUM(AI62:AI65)</f>
        <v>14252478.049999986</v>
      </c>
      <c r="AJ66" s="48">
        <f t="shared" si="54"/>
        <v>-3473963.9500000142</v>
      </c>
      <c r="AK66" s="48">
        <f>SUM(AK62:AK65)</f>
        <v>17726442</v>
      </c>
    </row>
    <row r="67" spans="1:39" ht="15.75" customHeight="1">
      <c r="A67" s="7"/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13"/>
      <c r="O67" s="10"/>
      <c r="P67" s="6"/>
      <c r="Q67" s="6"/>
      <c r="R67" s="4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13"/>
      <c r="AF67" s="10"/>
      <c r="AG67" s="6"/>
      <c r="AH67" s="6"/>
      <c r="AI67" s="4"/>
      <c r="AJ67" s="4"/>
      <c r="AK67" s="4"/>
      <c r="AL67" s="316">
        <f>AH65+AH64+AH61</f>
        <v>1641756.6300000001</v>
      </c>
    </row>
    <row r="68" spans="1:39" ht="15.75" customHeight="1" thickBot="1">
      <c r="A68" s="7" t="s">
        <v>95</v>
      </c>
      <c r="B68" s="49">
        <v>-3983540</v>
      </c>
      <c r="C68" s="200">
        <f>D68-B68</f>
        <v>0</v>
      </c>
      <c r="D68" s="49">
        <v>-3983540</v>
      </c>
      <c r="E68" s="49">
        <v>0</v>
      </c>
      <c r="F68" s="49">
        <v>-670</v>
      </c>
      <c r="G68" s="49">
        <v>0</v>
      </c>
      <c r="H68" s="49">
        <v>-15153.18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6">
        <f t="shared" ref="N68:N72" si="63">SUM(D68:M68)</f>
        <v>-3999363.18</v>
      </c>
      <c r="O68" s="10"/>
      <c r="P68" s="6"/>
      <c r="Q68" s="6"/>
      <c r="R68" s="44">
        <f>N68-P68+Q68</f>
        <v>-3999363.18</v>
      </c>
      <c r="S68" s="49">
        <f>-5186848</f>
        <v>-5186848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-14885</v>
      </c>
      <c r="AD68" s="49">
        <v>0</v>
      </c>
      <c r="AE68" s="46">
        <f>SUM(S68:AD68)</f>
        <v>-5201733</v>
      </c>
      <c r="AF68" s="10"/>
      <c r="AG68" s="6"/>
      <c r="AH68" s="6"/>
      <c r="AI68" s="44">
        <f>AE68-AG68+AH68</f>
        <v>-5201733</v>
      </c>
      <c r="AJ68" s="44">
        <f t="shared" ref="AJ68:AJ69" si="64">AI68-AK68</f>
        <v>-1202370</v>
      </c>
      <c r="AK68" s="44">
        <v>-3999363</v>
      </c>
      <c r="AL68" s="316">
        <f>AG60</f>
        <v>376468.58</v>
      </c>
    </row>
    <row r="69" spans="1:39" ht="15.75" customHeight="1">
      <c r="A69" s="7" t="s">
        <v>96</v>
      </c>
      <c r="B69" s="48">
        <f>+B66+B68</f>
        <v>14987687</v>
      </c>
      <c r="C69" s="199"/>
      <c r="D69" s="48">
        <f>+D66+D68</f>
        <v>14992632</v>
      </c>
      <c r="E69" s="48">
        <f t="shared" ref="E69" si="65">+E66+E68</f>
        <v>-428382</v>
      </c>
      <c r="F69" s="48">
        <f t="shared" ref="F69:N69" si="66">+F66+F68</f>
        <v>-42247.240000000005</v>
      </c>
      <c r="G69" s="48">
        <f t="shared" si="66"/>
        <v>-71048.58</v>
      </c>
      <c r="H69" s="48">
        <f t="shared" si="66"/>
        <v>-485458.56999999995</v>
      </c>
      <c r="I69" s="48">
        <f t="shared" si="66"/>
        <v>-13474.17</v>
      </c>
      <c r="J69" s="48">
        <f t="shared" si="66"/>
        <v>0</v>
      </c>
      <c r="K69" s="48">
        <f t="shared" si="66"/>
        <v>0</v>
      </c>
      <c r="L69" s="48">
        <f t="shared" si="66"/>
        <v>0</v>
      </c>
      <c r="M69" s="48">
        <f t="shared" si="66"/>
        <v>0</v>
      </c>
      <c r="N69" s="48">
        <f t="shared" si="66"/>
        <v>13952021.440000005</v>
      </c>
      <c r="O69" s="10"/>
      <c r="P69" s="6"/>
      <c r="Q69" s="6"/>
      <c r="R69" s="48">
        <f t="shared" ref="R69" si="67">+R66+R68</f>
        <v>13727079.100000009</v>
      </c>
      <c r="S69" s="48">
        <f>+S66+S68</f>
        <v>10608696</v>
      </c>
      <c r="T69" s="48">
        <f t="shared" ref="T69" si="68">+T66+T68</f>
        <v>-1077724</v>
      </c>
      <c r="U69" s="48">
        <f t="shared" ref="U69:AD69" si="69">+U66+U68</f>
        <v>19337</v>
      </c>
      <c r="V69" s="48">
        <f t="shared" si="69"/>
        <v>-15891</v>
      </c>
      <c r="W69" s="48">
        <f t="shared" si="69"/>
        <v>-493384</v>
      </c>
      <c r="X69" s="48">
        <f t="shared" si="69"/>
        <v>-13474</v>
      </c>
      <c r="Y69" s="48">
        <f t="shared" si="69"/>
        <v>0</v>
      </c>
      <c r="Z69" s="48">
        <f t="shared" si="69"/>
        <v>0</v>
      </c>
      <c r="AA69" s="48">
        <f t="shared" si="69"/>
        <v>0</v>
      </c>
      <c r="AB69" s="48">
        <f t="shared" si="69"/>
        <v>-344143</v>
      </c>
      <c r="AC69" s="48">
        <f t="shared" si="69"/>
        <v>-502401</v>
      </c>
      <c r="AD69" s="48">
        <f t="shared" si="69"/>
        <v>-395559</v>
      </c>
      <c r="AE69" s="48">
        <f>+AE66+AE68</f>
        <v>7785457</v>
      </c>
      <c r="AF69" s="10"/>
      <c r="AG69" s="6"/>
      <c r="AH69" s="6"/>
      <c r="AI69" s="48">
        <f t="shared" ref="AI69" si="70">+AI66+AI68</f>
        <v>9050745.0499999858</v>
      </c>
      <c r="AJ69" s="48">
        <f t="shared" si="64"/>
        <v>-4676333.9500000142</v>
      </c>
      <c r="AK69" s="48">
        <f>SUM(AK66:AK68)</f>
        <v>13727079</v>
      </c>
      <c r="AL69" s="316">
        <f>AL68-AL67</f>
        <v>-1265288.05</v>
      </c>
    </row>
    <row r="70" spans="1:39" ht="15.75" customHeight="1">
      <c r="A70" s="7"/>
      <c r="B70" s="48"/>
      <c r="C70" s="199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10"/>
      <c r="P70" s="6"/>
      <c r="Q70" s="6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10"/>
      <c r="AG70" s="6"/>
      <c r="AH70" s="6"/>
      <c r="AI70" s="48"/>
      <c r="AJ70" s="48"/>
      <c r="AK70" s="48"/>
    </row>
    <row r="71" spans="1:39" ht="15.75" customHeight="1">
      <c r="A71" s="7" t="s">
        <v>112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13"/>
      <c r="O71" s="10"/>
      <c r="P71" s="6"/>
      <c r="Q71" s="6"/>
      <c r="R71" s="4"/>
      <c r="S71" s="6">
        <v>-1591304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13"/>
      <c r="AF71" s="10"/>
      <c r="AG71" s="6"/>
      <c r="AH71" s="6"/>
      <c r="AI71" s="4"/>
      <c r="AJ71" s="4"/>
      <c r="AK71" s="4"/>
    </row>
    <row r="72" spans="1:39" ht="15.75" customHeight="1">
      <c r="A72" s="3" t="s">
        <v>23</v>
      </c>
      <c r="B72" s="4">
        <v>-1568835</v>
      </c>
      <c r="C72" s="200">
        <f>D72-B72</f>
        <v>0</v>
      </c>
      <c r="D72" s="4">
        <v>-1568835</v>
      </c>
      <c r="E72" s="4">
        <v>0</v>
      </c>
      <c r="F72" s="4">
        <v>0</v>
      </c>
      <c r="G72" s="4">
        <v>0</v>
      </c>
      <c r="H72" s="4">
        <v>-4268.1499999999996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13">
        <f t="shared" si="63"/>
        <v>-1573103.15</v>
      </c>
      <c r="O72" s="12"/>
      <c r="P72" s="4"/>
      <c r="Q72" s="6"/>
      <c r="R72" s="4">
        <f>N72-P72+Q72</f>
        <v>-1573103.15</v>
      </c>
      <c r="S72" s="4">
        <v>-3550763</v>
      </c>
      <c r="T72" s="4">
        <v>0</v>
      </c>
      <c r="U72" s="4">
        <v>0</v>
      </c>
      <c r="V72" s="4"/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13">
        <f>SUM(S72:AD72)</f>
        <v>-3550763</v>
      </c>
      <c r="AF72" s="12"/>
      <c r="AG72" s="4"/>
      <c r="AH72" s="6"/>
      <c r="AI72" s="4">
        <f>AE72-AG72+AH72</f>
        <v>-3550763</v>
      </c>
      <c r="AJ72" s="4">
        <f t="shared" ref="AJ72:AJ75" si="71">AI72-AK72</f>
        <v>-1977660</v>
      </c>
      <c r="AK72" s="4">
        <v>-1573103</v>
      </c>
    </row>
    <row r="73" spans="1:39">
      <c r="A73" s="9" t="s">
        <v>9</v>
      </c>
      <c r="B73" s="8">
        <f>+B69+B72</f>
        <v>13418852</v>
      </c>
      <c r="C73" s="9"/>
      <c r="D73" s="8">
        <f>+D69+D72</f>
        <v>13423797</v>
      </c>
      <c r="E73" s="8">
        <f t="shared" ref="E73" si="72">+E69+E72</f>
        <v>-428382</v>
      </c>
      <c r="F73" s="8">
        <f t="shared" ref="F73:N73" si="73">+F69+F72</f>
        <v>-42247.240000000005</v>
      </c>
      <c r="G73" s="8">
        <f t="shared" si="73"/>
        <v>-71048.58</v>
      </c>
      <c r="H73" s="8">
        <f t="shared" si="73"/>
        <v>-489726.71999999997</v>
      </c>
      <c r="I73" s="8">
        <f t="shared" si="73"/>
        <v>-13474.17</v>
      </c>
      <c r="J73" s="8">
        <f t="shared" si="73"/>
        <v>0</v>
      </c>
      <c r="K73" s="8">
        <f t="shared" si="73"/>
        <v>0</v>
      </c>
      <c r="L73" s="8">
        <f t="shared" si="73"/>
        <v>0</v>
      </c>
      <c r="M73" s="8">
        <f t="shared" si="73"/>
        <v>0</v>
      </c>
      <c r="N73" s="8">
        <f t="shared" si="73"/>
        <v>12378918.290000005</v>
      </c>
      <c r="O73" s="12"/>
      <c r="P73" s="8"/>
      <c r="Q73" s="8"/>
      <c r="R73" s="8">
        <f t="shared" ref="R73" si="74">+R69+R72</f>
        <v>12153975.950000009</v>
      </c>
      <c r="S73" s="8">
        <f>+S69+S71+S72</f>
        <v>5466629</v>
      </c>
      <c r="T73" s="8">
        <f t="shared" ref="T73" si="75">+T69+T72</f>
        <v>-1077724</v>
      </c>
      <c r="U73" s="8">
        <f t="shared" ref="U73:AD73" si="76">+U69+U72</f>
        <v>19337</v>
      </c>
      <c r="V73" s="8">
        <f t="shared" si="76"/>
        <v>-15891</v>
      </c>
      <c r="W73" s="8">
        <f t="shared" si="76"/>
        <v>-493384</v>
      </c>
      <c r="X73" s="8">
        <f t="shared" si="76"/>
        <v>-13474</v>
      </c>
      <c r="Y73" s="8">
        <f t="shared" si="76"/>
        <v>0</v>
      </c>
      <c r="Z73" s="8">
        <f t="shared" si="76"/>
        <v>0</v>
      </c>
      <c r="AA73" s="8">
        <f t="shared" si="76"/>
        <v>0</v>
      </c>
      <c r="AB73" s="8">
        <f t="shared" si="76"/>
        <v>-344143</v>
      </c>
      <c r="AC73" s="8">
        <f t="shared" si="76"/>
        <v>-502401</v>
      </c>
      <c r="AD73" s="8">
        <f t="shared" si="76"/>
        <v>-395559</v>
      </c>
      <c r="AE73" s="8">
        <f>+AE69+AE72</f>
        <v>4234694</v>
      </c>
      <c r="AF73" s="12"/>
      <c r="AG73" s="8"/>
      <c r="AH73" s="8"/>
      <c r="AI73" s="8">
        <f t="shared" ref="AI73" si="77">+AI69+AI72</f>
        <v>5499982.0499999858</v>
      </c>
      <c r="AJ73" s="8">
        <f t="shared" si="71"/>
        <v>-6653993.9500000142</v>
      </c>
      <c r="AK73" s="8">
        <f>AK69+AK72</f>
        <v>12153976</v>
      </c>
    </row>
    <row r="74" spans="1:39">
      <c r="A74" s="9"/>
      <c r="B74" s="8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2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12"/>
      <c r="AG74" s="8"/>
      <c r="AH74" s="8"/>
      <c r="AI74" s="8"/>
      <c r="AJ74" s="8"/>
      <c r="AK74" s="8"/>
    </row>
    <row r="75" spans="1:39">
      <c r="A75" s="177" t="s">
        <v>292</v>
      </c>
      <c r="B75" s="8">
        <v>0</v>
      </c>
      <c r="C75" s="177"/>
      <c r="D75" s="178">
        <v>14390</v>
      </c>
      <c r="E75" s="8"/>
      <c r="F75" s="8"/>
      <c r="G75" s="8"/>
      <c r="H75" s="8"/>
      <c r="I75" s="8"/>
      <c r="J75" s="8"/>
      <c r="K75" s="8"/>
      <c r="L75" s="8"/>
      <c r="M75" s="8"/>
      <c r="N75" s="13">
        <f t="shared" ref="N75" si="78">SUM(D75:M75)</f>
        <v>14390</v>
      </c>
      <c r="O75" s="12"/>
      <c r="P75" s="8"/>
      <c r="Q75" s="8"/>
      <c r="R75" s="4">
        <f>N75-P75+Q75</f>
        <v>14390</v>
      </c>
      <c r="S75" s="178">
        <v>1849659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3">
        <f>SUM(S75:AD75)</f>
        <v>1849659</v>
      </c>
      <c r="AF75" s="12"/>
      <c r="AG75" s="8"/>
      <c r="AH75" s="8"/>
      <c r="AI75" s="4">
        <f>AE75-AG75+AH75</f>
        <v>1849659</v>
      </c>
      <c r="AJ75" s="4">
        <f t="shared" si="71"/>
        <v>1835269</v>
      </c>
      <c r="AK75" s="8">
        <v>14390</v>
      </c>
    </row>
    <row r="76" spans="1:39">
      <c r="A76" s="9" t="s">
        <v>293</v>
      </c>
      <c r="B76" s="8">
        <f>B73+B75</f>
        <v>13418852</v>
      </c>
      <c r="C76" s="200"/>
      <c r="D76" s="8">
        <f>D73+D75</f>
        <v>13438187</v>
      </c>
      <c r="E76" s="8">
        <f t="shared" ref="E76:N76" si="79">E73+E75</f>
        <v>-428382</v>
      </c>
      <c r="F76" s="8">
        <f t="shared" si="79"/>
        <v>-42247.240000000005</v>
      </c>
      <c r="G76" s="8">
        <f t="shared" si="79"/>
        <v>-71048.58</v>
      </c>
      <c r="H76" s="8">
        <f t="shared" si="79"/>
        <v>-489726.71999999997</v>
      </c>
      <c r="I76" s="8">
        <f t="shared" si="79"/>
        <v>-13474.17</v>
      </c>
      <c r="J76" s="8">
        <f t="shared" si="79"/>
        <v>0</v>
      </c>
      <c r="K76" s="8">
        <f t="shared" si="79"/>
        <v>0</v>
      </c>
      <c r="L76" s="8">
        <f t="shared" si="79"/>
        <v>0</v>
      </c>
      <c r="M76" s="8">
        <f t="shared" si="79"/>
        <v>0</v>
      </c>
      <c r="N76" s="8">
        <f t="shared" si="79"/>
        <v>12393308.290000005</v>
      </c>
      <c r="O76" s="12"/>
      <c r="P76" s="8"/>
      <c r="Q76" s="8"/>
      <c r="R76" s="8">
        <f>R73+R75</f>
        <v>12168365.950000009</v>
      </c>
      <c r="S76" s="8">
        <f>S73+S75</f>
        <v>7316288</v>
      </c>
      <c r="T76" s="8">
        <f t="shared" ref="T76:AD76" si="80">T73+T75</f>
        <v>-1077724</v>
      </c>
      <c r="U76" s="8">
        <f t="shared" si="80"/>
        <v>19337</v>
      </c>
      <c r="V76" s="8">
        <f t="shared" si="80"/>
        <v>-15891</v>
      </c>
      <c r="W76" s="8">
        <f t="shared" si="80"/>
        <v>-493384</v>
      </c>
      <c r="X76" s="8">
        <f t="shared" si="80"/>
        <v>-13474</v>
      </c>
      <c r="Y76" s="8">
        <f t="shared" si="80"/>
        <v>0</v>
      </c>
      <c r="Z76" s="8">
        <f t="shared" si="80"/>
        <v>0</v>
      </c>
      <c r="AA76" s="8">
        <f t="shared" si="80"/>
        <v>0</v>
      </c>
      <c r="AB76" s="8">
        <f t="shared" si="80"/>
        <v>-344143</v>
      </c>
      <c r="AC76" s="8">
        <f t="shared" si="80"/>
        <v>-502401</v>
      </c>
      <c r="AD76" s="8">
        <f t="shared" si="80"/>
        <v>-395559</v>
      </c>
      <c r="AE76" s="8">
        <f>AE73+AE75</f>
        <v>6084353</v>
      </c>
      <c r="AF76" s="12"/>
      <c r="AG76" s="8"/>
      <c r="AH76" s="8"/>
      <c r="AI76" s="8">
        <f>AI73+AI75</f>
        <v>7349641.0499999858</v>
      </c>
      <c r="AJ76" s="8">
        <f t="shared" ref="AJ76" si="81">AJ73+AJ75</f>
        <v>-4818724.9500000142</v>
      </c>
      <c r="AK76" s="8">
        <f>SUM(AK73:AK75)</f>
        <v>12168366</v>
      </c>
    </row>
    <row r="77" spans="1:39">
      <c r="A77" s="174"/>
      <c r="B77" s="175"/>
      <c r="C77" s="174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6"/>
      <c r="P77" s="175"/>
      <c r="Q77" s="175"/>
      <c r="R77" s="175"/>
      <c r="S77" s="175"/>
      <c r="T77" s="175"/>
      <c r="U77" s="175"/>
      <c r="V77" s="355"/>
      <c r="W77" s="175"/>
      <c r="X77" s="175"/>
      <c r="Y77" s="175"/>
      <c r="Z77" s="175"/>
      <c r="AA77" s="175"/>
      <c r="AB77" s="175"/>
      <c r="AC77" s="175"/>
      <c r="AD77" s="175"/>
      <c r="AE77" s="175"/>
      <c r="AF77" s="176"/>
      <c r="AG77" s="175"/>
      <c r="AH77" s="175"/>
      <c r="AI77" s="175"/>
      <c r="AJ77" s="175"/>
      <c r="AK77" s="175"/>
    </row>
    <row r="78" spans="1:39" s="356" customFormat="1" ht="21.75" customHeight="1">
      <c r="A78" s="14"/>
      <c r="B78" s="15"/>
      <c r="C78" s="1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P78" s="16">
        <f>SUM(P5:P73)</f>
        <v>51071713.540592968</v>
      </c>
      <c r="Q78" s="16">
        <f>SUM(Q5:Q73)</f>
        <v>50846771.270592958</v>
      </c>
      <c r="R78" s="15"/>
      <c r="S78" s="357"/>
      <c r="AJ78" s="15"/>
      <c r="AK78" s="15"/>
    </row>
    <row r="79" spans="1:39" s="356" customFormat="1" ht="21.75" customHeight="1">
      <c r="A79" s="17"/>
      <c r="B79" s="18">
        <f>+B58+B47-B26</f>
        <v>0</v>
      </c>
      <c r="C79" s="17"/>
      <c r="D79" s="18">
        <f t="shared" ref="D79:N79" si="82">+D58+D47-D26</f>
        <v>0</v>
      </c>
      <c r="E79" s="18">
        <f t="shared" si="82"/>
        <v>0</v>
      </c>
      <c r="F79" s="18">
        <f t="shared" si="82"/>
        <v>0</v>
      </c>
      <c r="G79" s="18">
        <f t="shared" si="82"/>
        <v>-0.48999999975785613</v>
      </c>
      <c r="H79" s="18">
        <f t="shared" si="82"/>
        <v>6.249983562156558E-5</v>
      </c>
      <c r="I79" s="18">
        <f t="shared" si="82"/>
        <v>0</v>
      </c>
      <c r="J79" s="18">
        <f t="shared" si="82"/>
        <v>0</v>
      </c>
      <c r="K79" s="18">
        <f t="shared" si="82"/>
        <v>0</v>
      </c>
      <c r="L79" s="18">
        <f t="shared" si="82"/>
        <v>0</v>
      </c>
      <c r="M79" s="18">
        <f t="shared" si="82"/>
        <v>0</v>
      </c>
      <c r="N79" s="18">
        <f t="shared" si="82"/>
        <v>-0.48993751406669617</v>
      </c>
      <c r="P79" s="601">
        <f>P78-Q78</f>
        <v>224942.27000001073</v>
      </c>
      <c r="Q79" s="602"/>
      <c r="R79" s="98" t="s">
        <v>190</v>
      </c>
      <c r="S79" s="18">
        <f t="shared" ref="S79:AE79" si="83">+S58+S47-S26</f>
        <v>0</v>
      </c>
      <c r="T79" s="18">
        <f t="shared" si="83"/>
        <v>0</v>
      </c>
      <c r="U79" s="18">
        <f t="shared" si="83"/>
        <v>0</v>
      </c>
      <c r="V79" s="18">
        <f t="shared" si="83"/>
        <v>0</v>
      </c>
      <c r="W79" s="18">
        <f t="shared" si="83"/>
        <v>0</v>
      </c>
      <c r="X79" s="18">
        <f t="shared" si="83"/>
        <v>0</v>
      </c>
      <c r="Y79" s="18">
        <f t="shared" si="83"/>
        <v>0</v>
      </c>
      <c r="Z79" s="18">
        <f t="shared" si="83"/>
        <v>0</v>
      </c>
      <c r="AA79" s="18">
        <f t="shared" si="83"/>
        <v>0</v>
      </c>
      <c r="AB79" s="18">
        <f t="shared" si="83"/>
        <v>0</v>
      </c>
      <c r="AC79" s="18">
        <f t="shared" si="83"/>
        <v>0</v>
      </c>
      <c r="AD79" s="18">
        <f t="shared" si="83"/>
        <v>0</v>
      </c>
      <c r="AE79" s="18">
        <f t="shared" si="83"/>
        <v>0</v>
      </c>
      <c r="AG79" s="357">
        <f>SUM(AG5:AG78)</f>
        <v>69056254.037764028</v>
      </c>
      <c r="AH79" s="357">
        <f>SUM(AH5:AH78)</f>
        <v>70321542.087764025</v>
      </c>
      <c r="AI79" s="18">
        <f t="shared" ref="AI79" si="84">+AI58+AI47-AI26</f>
        <v>0</v>
      </c>
      <c r="AJ79" s="383">
        <f>AI79*2</f>
        <v>0</v>
      </c>
      <c r="AK79" s="98"/>
    </row>
    <row r="80" spans="1:39">
      <c r="H80" s="316">
        <f>+H73-H56</f>
        <v>-6.2499952036887407E-5</v>
      </c>
      <c r="N80" s="316"/>
      <c r="S80" s="316">
        <f>S56-S76</f>
        <v>-1720743</v>
      </c>
      <c r="T80" s="316">
        <f>T56-T73</f>
        <v>0</v>
      </c>
      <c r="U80" s="316">
        <f t="shared" ref="U80:AB80" si="85">U56-U73</f>
        <v>0</v>
      </c>
      <c r="V80" s="316">
        <f t="shared" si="85"/>
        <v>0</v>
      </c>
      <c r="W80" s="316">
        <f t="shared" si="85"/>
        <v>0</v>
      </c>
      <c r="X80" s="316">
        <f t="shared" si="85"/>
        <v>0</v>
      </c>
      <c r="Y80" s="316">
        <f t="shared" si="85"/>
        <v>0</v>
      </c>
      <c r="Z80" s="316">
        <f t="shared" si="85"/>
        <v>0</v>
      </c>
      <c r="AA80" s="316">
        <f t="shared" si="85"/>
        <v>0</v>
      </c>
      <c r="AB80" s="316">
        <f t="shared" si="85"/>
        <v>0</v>
      </c>
      <c r="AC80" s="316">
        <f t="shared" ref="AC80" si="86">AC56-AC73</f>
        <v>0</v>
      </c>
      <c r="AD80" s="316"/>
      <c r="AH80" s="316">
        <f>AG79-AH79</f>
        <v>-1265288.049999997</v>
      </c>
      <c r="AM80" s="316"/>
    </row>
    <row r="81" spans="1:41" ht="15.6">
      <c r="A81" s="358" t="s">
        <v>280</v>
      </c>
      <c r="C81" s="358"/>
      <c r="M81" s="359"/>
      <c r="P81" s="97" t="s">
        <v>190</v>
      </c>
      <c r="Q81" s="360">
        <f>+'Asientos - para Consolidado'!D79</f>
        <v>224942.34</v>
      </c>
      <c r="R81" s="96" t="s">
        <v>202</v>
      </c>
      <c r="S81" s="318">
        <f>+S76*100%</f>
        <v>7316288</v>
      </c>
      <c r="T81" s="318">
        <f>+T76*'Variación Patrimonio'!L4</f>
        <v>-808508.54480000003</v>
      </c>
      <c r="U81" s="318">
        <f>+U76*'Variación Patrimonio'!L19</f>
        <v>19336.125022624434</v>
      </c>
      <c r="V81" s="316">
        <f>+V76*'Variación Patrimonio'!L36</f>
        <v>-10805.880000000001</v>
      </c>
      <c r="W81" s="316">
        <f>+W76*'Variación Patrimonio'!L50</f>
        <v>-246692</v>
      </c>
      <c r="X81" s="316">
        <f>+X76*'Variación Patrimonio'!L66</f>
        <v>-10105.5</v>
      </c>
      <c r="Y81" s="318">
        <v>0</v>
      </c>
      <c r="Z81" s="318">
        <v>0</v>
      </c>
      <c r="AA81" s="318">
        <v>0</v>
      </c>
      <c r="AB81" s="318">
        <f>+AB76*'Variación Patrimonio'!L124</f>
        <v>-318332.27500000002</v>
      </c>
      <c r="AC81" s="318">
        <f>+AC76*'Variación Patrimonio'!L142</f>
        <v>-492352.98</v>
      </c>
      <c r="AD81" s="318">
        <f>+AD76*'Variación Patrimonio'!L167</f>
        <v>-395559</v>
      </c>
      <c r="AE81" s="351">
        <f>SUM(S81:AD81)</f>
        <v>5053267.9452226236</v>
      </c>
      <c r="AG81" s="316">
        <f>+AG65+AG60</f>
        <v>376468.58</v>
      </c>
      <c r="AH81" s="351">
        <f>AH61+AH65+AH64</f>
        <v>1641756.6300000001</v>
      </c>
      <c r="AI81" s="351">
        <f>+AE81-AG81+AH81</f>
        <v>6318555.9952226235</v>
      </c>
      <c r="AJ81" s="383">
        <f>AI79/2</f>
        <v>0</v>
      </c>
      <c r="AL81" s="319">
        <f>+AI56-AI81</f>
        <v>-1115754.5527538452</v>
      </c>
    </row>
    <row r="82" spans="1:41">
      <c r="A82" s="358" t="s">
        <v>281</v>
      </c>
      <c r="C82" s="358"/>
      <c r="S82" s="318">
        <f>+S76-S81</f>
        <v>0</v>
      </c>
      <c r="T82" s="361">
        <f t="shared" ref="T82:AD82" si="87">+T76-T81</f>
        <v>-269215.45519999997</v>
      </c>
      <c r="U82" s="361">
        <f t="shared" si="87"/>
        <v>0.87497737556623179</v>
      </c>
      <c r="V82" s="318">
        <f t="shared" si="87"/>
        <v>-5085.119999999999</v>
      </c>
      <c r="W82" s="318">
        <f t="shared" si="87"/>
        <v>-246692</v>
      </c>
      <c r="X82" s="318">
        <f t="shared" si="87"/>
        <v>-3368.5</v>
      </c>
      <c r="Y82" s="318">
        <f t="shared" si="87"/>
        <v>0</v>
      </c>
      <c r="Z82" s="318">
        <f t="shared" si="87"/>
        <v>0</v>
      </c>
      <c r="AA82" s="318">
        <f t="shared" si="87"/>
        <v>0</v>
      </c>
      <c r="AB82" s="361">
        <f t="shared" si="87"/>
        <v>-25810.724999999977</v>
      </c>
      <c r="AC82" s="361">
        <f t="shared" si="87"/>
        <v>-10048.020000000019</v>
      </c>
      <c r="AD82" s="318">
        <f t="shared" si="87"/>
        <v>0</v>
      </c>
      <c r="AE82" s="351">
        <f>SUM(S82:AD82)</f>
        <v>-560218.94522262446</v>
      </c>
      <c r="AH82" s="351"/>
      <c r="AI82" s="351">
        <f>+AE82-AG82+AH82</f>
        <v>-560218.94522262446</v>
      </c>
      <c r="AN82" s="318"/>
      <c r="AO82" s="351"/>
    </row>
    <row r="85" spans="1:41">
      <c r="AH85" s="317">
        <f>'Diario 2015 (a)'!F15</f>
        <v>70321542.087764025</v>
      </c>
    </row>
  </sheetData>
  <mergeCells count="3">
    <mergeCell ref="P3:Q3"/>
    <mergeCell ref="P79:Q79"/>
    <mergeCell ref="AG3:AH3"/>
  </mergeCells>
  <printOptions horizontalCentered="1"/>
  <pageMargins left="0" right="0" top="0.74803149606299213" bottom="0.39370078740157483" header="0.31496062992125984" footer="0.31496062992125984"/>
  <pageSetup scale="32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opLeftCell="A8" zoomScale="80" zoomScaleNormal="80" workbookViewId="0">
      <selection activeCell="C10" sqref="C10"/>
    </sheetView>
  </sheetViews>
  <sheetFormatPr baseColWidth="10" defaultColWidth="11.44140625" defaultRowHeight="13.8"/>
  <cols>
    <col min="1" max="1" width="11.44140625" style="2" customWidth="1"/>
    <col min="2" max="2" width="69" style="2" customWidth="1"/>
    <col min="3" max="3" width="23" style="72" bestFit="1" customWidth="1"/>
    <col min="4" max="4" width="23.109375" style="72" bestFit="1" customWidth="1"/>
    <col min="5" max="5" width="15.5546875" style="72" bestFit="1" customWidth="1"/>
    <col min="6" max="6" width="21" style="72" bestFit="1" customWidth="1"/>
    <col min="7" max="7" width="17.109375" style="72" customWidth="1"/>
    <col min="8" max="8" width="17.44140625" style="72" customWidth="1"/>
    <col min="9" max="10" width="15.5546875" style="72" customWidth="1"/>
    <col min="11" max="11" width="16.33203125" style="72" bestFit="1" customWidth="1"/>
    <col min="12" max="12" width="15.109375" style="2" bestFit="1" customWidth="1"/>
    <col min="13" max="13" width="16.33203125" style="2" bestFit="1" customWidth="1"/>
    <col min="14" max="14" width="16.44140625" style="2" customWidth="1"/>
    <col min="15" max="15" width="14.88671875" style="2" customWidth="1"/>
    <col min="16" max="16384" width="11.44140625" style="2"/>
  </cols>
  <sheetData>
    <row r="1" spans="1:15">
      <c r="A1" s="1" t="s">
        <v>49</v>
      </c>
    </row>
    <row r="2" spans="1:15">
      <c r="A2" s="1" t="s">
        <v>37</v>
      </c>
    </row>
    <row r="3" spans="1:15">
      <c r="A3" s="1" t="s">
        <v>192</v>
      </c>
    </row>
    <row r="5" spans="1:15">
      <c r="A5" s="26" t="s">
        <v>174</v>
      </c>
      <c r="C5" s="2"/>
      <c r="D5" s="2"/>
      <c r="E5" s="2"/>
    </row>
    <row r="6" spans="1:15">
      <c r="A6" s="26"/>
      <c r="C6" s="2"/>
      <c r="D6" s="2"/>
      <c r="E6" s="2"/>
    </row>
    <row r="7" spans="1:15">
      <c r="A7" s="27" t="s">
        <v>3</v>
      </c>
      <c r="B7" s="27"/>
      <c r="C7" s="81"/>
      <c r="D7" s="81"/>
      <c r="E7" s="81"/>
      <c r="F7" s="81"/>
      <c r="G7" s="81"/>
      <c r="H7" s="81"/>
      <c r="I7" s="81"/>
      <c r="J7" s="81"/>
      <c r="K7" s="51"/>
    </row>
    <row r="8" spans="1:15">
      <c r="A8" s="27"/>
      <c r="B8" s="27"/>
      <c r="C8" s="81" t="s">
        <v>182</v>
      </c>
      <c r="D8" s="81" t="s">
        <v>142</v>
      </c>
      <c r="E8" s="81" t="s">
        <v>143</v>
      </c>
      <c r="F8" s="81" t="s">
        <v>144</v>
      </c>
      <c r="G8" s="81" t="s">
        <v>145</v>
      </c>
      <c r="H8" s="81" t="s">
        <v>146</v>
      </c>
      <c r="I8" s="81" t="s">
        <v>105</v>
      </c>
      <c r="J8" s="81" t="s">
        <v>147</v>
      </c>
      <c r="K8" s="81" t="s">
        <v>148</v>
      </c>
      <c r="L8" s="81" t="s">
        <v>15</v>
      </c>
    </row>
    <row r="9" spans="1:15">
      <c r="A9" s="27" t="s">
        <v>32</v>
      </c>
      <c r="B9" s="27"/>
      <c r="C9" s="51">
        <v>3751.2600000000093</v>
      </c>
      <c r="D9" s="51">
        <f>+PNC!F16</f>
        <v>104950</v>
      </c>
      <c r="E9" s="51">
        <v>943459</v>
      </c>
      <c r="F9" s="51">
        <f>147840-49015</f>
        <v>98825</v>
      </c>
      <c r="G9" s="51">
        <f>462500-330450</f>
        <v>132050</v>
      </c>
      <c r="H9" s="51">
        <v>140052</v>
      </c>
      <c r="I9" s="51">
        <f>+PNC!F71</f>
        <v>6000</v>
      </c>
      <c r="J9" s="51">
        <v>1114176</v>
      </c>
      <c r="K9" s="51">
        <f>+PNC!F93</f>
        <v>740</v>
      </c>
      <c r="L9" s="51">
        <f>SUM(C9:K9)</f>
        <v>2544003.2599999998</v>
      </c>
    </row>
    <row r="10" spans="1:15" ht="14.4" thickBot="1">
      <c r="A10" s="27" t="s">
        <v>170</v>
      </c>
      <c r="B10" s="27"/>
      <c r="C10" s="59">
        <v>437365.73999999801</v>
      </c>
      <c r="D10" s="59">
        <v>1260413</v>
      </c>
      <c r="E10" s="59">
        <v>0</v>
      </c>
      <c r="F10" s="59">
        <v>49015</v>
      </c>
      <c r="G10" s="59">
        <v>330450</v>
      </c>
      <c r="H10" s="59">
        <v>0</v>
      </c>
      <c r="I10" s="59">
        <v>0</v>
      </c>
      <c r="J10" s="59">
        <v>0</v>
      </c>
      <c r="K10" s="59">
        <v>0</v>
      </c>
      <c r="L10" s="59">
        <f>SUM(C10:K10)</f>
        <v>2077243.7399999979</v>
      </c>
    </row>
    <row r="11" spans="1:15" ht="14.4" thickTop="1">
      <c r="A11" s="26" t="s">
        <v>38</v>
      </c>
      <c r="B11" s="27"/>
      <c r="C11" s="58">
        <f t="shared" ref="C11:L11" si="0">SUM(C9:C10)</f>
        <v>441116.99999999802</v>
      </c>
      <c r="D11" s="58">
        <f t="shared" si="0"/>
        <v>1365363</v>
      </c>
      <c r="E11" s="58">
        <f t="shared" si="0"/>
        <v>943459</v>
      </c>
      <c r="F11" s="58">
        <f t="shared" si="0"/>
        <v>147840</v>
      </c>
      <c r="G11" s="58">
        <f t="shared" si="0"/>
        <v>462500</v>
      </c>
      <c r="H11" s="58">
        <f t="shared" si="0"/>
        <v>140052</v>
      </c>
      <c r="I11" s="58">
        <f t="shared" si="0"/>
        <v>6000</v>
      </c>
      <c r="J11" s="58">
        <f t="shared" si="0"/>
        <v>1114176</v>
      </c>
      <c r="K11" s="58">
        <f t="shared" si="0"/>
        <v>740</v>
      </c>
      <c r="L11" s="58">
        <f t="shared" si="0"/>
        <v>4621246.9999999981</v>
      </c>
      <c r="M11" s="72">
        <v>10163519</v>
      </c>
      <c r="N11" s="165">
        <f>M11-L11</f>
        <v>5542272.0000000019</v>
      </c>
      <c r="O11" s="2">
        <v>224942.34</v>
      </c>
    </row>
    <row r="12" spans="1:15">
      <c r="A12" s="27"/>
      <c r="B12" s="88" t="s">
        <v>149</v>
      </c>
      <c r="C12" s="51">
        <v>441117</v>
      </c>
      <c r="D12" s="51">
        <v>1365363</v>
      </c>
      <c r="E12" s="51">
        <v>943459</v>
      </c>
      <c r="F12" s="51">
        <v>147840</v>
      </c>
      <c r="G12" s="51">
        <v>462500</v>
      </c>
      <c r="H12" s="51">
        <v>140052</v>
      </c>
      <c r="I12" s="51">
        <v>6000</v>
      </c>
      <c r="J12" s="51">
        <v>1114176</v>
      </c>
      <c r="K12" s="51">
        <v>740</v>
      </c>
      <c r="L12" s="51">
        <f>SUM(C12:K12)</f>
        <v>4621247</v>
      </c>
      <c r="O12" s="165">
        <f>N11-O11+100</f>
        <v>5317429.660000002</v>
      </c>
    </row>
    <row r="13" spans="1:15">
      <c r="A13" s="1"/>
      <c r="B13" s="26"/>
      <c r="C13" s="58">
        <f>+C12-C11</f>
        <v>1.9790604710578918E-9</v>
      </c>
      <c r="D13" s="58">
        <f>+D12-D11</f>
        <v>0</v>
      </c>
      <c r="E13" s="58">
        <f t="shared" ref="E13:L13" si="1">+E12-E11</f>
        <v>0</v>
      </c>
      <c r="F13" s="58">
        <f t="shared" si="1"/>
        <v>0</v>
      </c>
      <c r="G13" s="58">
        <f t="shared" si="1"/>
        <v>0</v>
      </c>
      <c r="H13" s="58">
        <f t="shared" si="1"/>
        <v>0</v>
      </c>
      <c r="I13" s="58">
        <f t="shared" si="1"/>
        <v>0</v>
      </c>
      <c r="J13" s="58">
        <f t="shared" si="1"/>
        <v>0</v>
      </c>
      <c r="K13" s="58">
        <f t="shared" si="1"/>
        <v>0</v>
      </c>
      <c r="L13" s="58">
        <f t="shared" si="1"/>
        <v>0</v>
      </c>
    </row>
    <row r="14" spans="1:15">
      <c r="A14" s="26"/>
      <c r="C14" s="2"/>
      <c r="D14" s="2"/>
      <c r="E14" s="2"/>
    </row>
    <row r="15" spans="1:15">
      <c r="A15" s="26"/>
      <c r="B15" s="20" t="s">
        <v>25</v>
      </c>
      <c r="C15" s="73" t="s">
        <v>45</v>
      </c>
      <c r="D15" s="21" t="s">
        <v>26</v>
      </c>
      <c r="E15" s="22" t="s">
        <v>27</v>
      </c>
      <c r="F15" s="28"/>
    </row>
    <row r="16" spans="1:15">
      <c r="A16" s="26"/>
      <c r="B16" s="29" t="s">
        <v>171</v>
      </c>
      <c r="C16" s="76" t="s">
        <v>172</v>
      </c>
      <c r="D16" s="143">
        <f>+L10</f>
        <v>2077243.7399999979</v>
      </c>
      <c r="E16" s="24"/>
      <c r="F16" s="27"/>
    </row>
    <row r="17" spans="1:13">
      <c r="A17" s="26"/>
      <c r="B17" s="34" t="s">
        <v>173</v>
      </c>
      <c r="C17" s="79" t="s">
        <v>151</v>
      </c>
      <c r="D17" s="25"/>
      <c r="E17" s="25">
        <f>+D16</f>
        <v>2077243.7399999979</v>
      </c>
      <c r="F17" s="33"/>
    </row>
    <row r="18" spans="1:13">
      <c r="A18" s="26"/>
      <c r="B18" s="27"/>
      <c r="D18" s="27"/>
      <c r="E18" s="27"/>
      <c r="F18" s="27"/>
    </row>
    <row r="19" spans="1:13">
      <c r="A19" s="26"/>
      <c r="B19" s="27"/>
      <c r="D19" s="35">
        <f>SUM(D16:D18)</f>
        <v>2077243.7399999979</v>
      </c>
      <c r="E19" s="35">
        <f>SUM(E16:E18)</f>
        <v>2077243.7399999979</v>
      </c>
      <c r="F19" s="32">
        <f>+D19-E19</f>
        <v>0</v>
      </c>
      <c r="G19" s="72">
        <f>D16+D25+D62</f>
        <v>38824192</v>
      </c>
    </row>
    <row r="20" spans="1:13">
      <c r="G20" s="72">
        <f>G19-SUM('ESF - ERI'!E49:M49)</f>
        <v>-2.0000003278255463E-2</v>
      </c>
    </row>
    <row r="21" spans="1:13">
      <c r="A21" s="26" t="s">
        <v>175</v>
      </c>
      <c r="B21" s="27"/>
      <c r="C21" s="51"/>
      <c r="D21" s="51"/>
      <c r="E21" s="51"/>
      <c r="F21" s="51"/>
      <c r="G21" s="51"/>
      <c r="H21" s="51"/>
      <c r="I21" s="51"/>
      <c r="J21" s="51"/>
      <c r="K21" s="51"/>
      <c r="L21" s="27"/>
      <c r="M21" s="27"/>
    </row>
    <row r="22" spans="1:13">
      <c r="A22" s="27"/>
      <c r="B22" s="27"/>
      <c r="C22" s="51"/>
      <c r="D22" s="51"/>
      <c r="E22" s="51"/>
      <c r="F22" s="51"/>
      <c r="G22" s="51"/>
      <c r="H22" s="51"/>
      <c r="I22" s="51"/>
      <c r="J22" s="51"/>
      <c r="K22" s="51"/>
      <c r="L22" s="27"/>
      <c r="M22" s="27"/>
    </row>
    <row r="23" spans="1:13">
      <c r="A23" s="28"/>
      <c r="B23" s="20" t="s">
        <v>25</v>
      </c>
      <c r="C23" s="73" t="s">
        <v>45</v>
      </c>
      <c r="D23" s="74" t="s">
        <v>26</v>
      </c>
      <c r="E23" s="74" t="s">
        <v>27</v>
      </c>
      <c r="F23" s="85"/>
      <c r="G23" s="85"/>
      <c r="H23" s="85"/>
      <c r="I23" s="85"/>
      <c r="J23" s="85"/>
      <c r="K23" s="75"/>
      <c r="L23" s="27"/>
      <c r="M23" s="27"/>
    </row>
    <row r="24" spans="1:13">
      <c r="A24" s="27"/>
      <c r="B24" s="29" t="s">
        <v>44</v>
      </c>
      <c r="C24" s="76" t="s">
        <v>172</v>
      </c>
      <c r="D24" s="77">
        <f>SUM('ESF - ERI'!E48:M48)</f>
        <v>138600</v>
      </c>
      <c r="E24" s="77"/>
      <c r="F24" s="100"/>
      <c r="G24" s="86"/>
      <c r="H24" s="86"/>
      <c r="I24" s="86"/>
      <c r="J24" s="86"/>
      <c r="K24" s="51"/>
      <c r="L24" s="32"/>
      <c r="M24" s="27"/>
    </row>
    <row r="25" spans="1:13">
      <c r="A25" s="27"/>
      <c r="B25" s="30" t="s">
        <v>170</v>
      </c>
      <c r="C25" s="76" t="s">
        <v>172</v>
      </c>
      <c r="D25" s="141">
        <f>+'ESF - ERI'!E49-'Asientos - para Consolidado'!D62-C10</f>
        <v>9477384</v>
      </c>
      <c r="E25" s="78"/>
      <c r="F25" s="100"/>
      <c r="G25" s="86"/>
      <c r="H25" s="86"/>
      <c r="I25" s="86"/>
      <c r="J25" s="86"/>
      <c r="K25" s="51"/>
      <c r="L25" s="32"/>
      <c r="M25" s="27"/>
    </row>
    <row r="26" spans="1:13">
      <c r="A26" s="27"/>
      <c r="B26" s="30" t="s">
        <v>46</v>
      </c>
      <c r="C26" s="76" t="s">
        <v>172</v>
      </c>
      <c r="D26" s="78">
        <f>SUM('ESF - ERI'!E50:M50)</f>
        <v>184560.05</v>
      </c>
      <c r="E26" s="78"/>
      <c r="F26" s="100"/>
      <c r="G26" s="86"/>
      <c r="H26" s="86"/>
      <c r="J26" s="86"/>
      <c r="K26" s="51"/>
      <c r="L26" s="32"/>
      <c r="M26" s="27"/>
    </row>
    <row r="27" spans="1:13">
      <c r="A27" s="27"/>
      <c r="B27" s="30" t="s">
        <v>47</v>
      </c>
      <c r="C27" s="76" t="s">
        <v>172</v>
      </c>
      <c r="D27" s="78">
        <f>SUM('ESF - ERI'!E52:M52)</f>
        <v>1566.29</v>
      </c>
      <c r="E27" s="78"/>
      <c r="F27" s="100"/>
      <c r="G27" s="86"/>
      <c r="H27" s="86"/>
      <c r="I27" s="86"/>
      <c r="J27" s="86"/>
      <c r="K27" s="51"/>
      <c r="L27" s="32"/>
      <c r="M27" s="27"/>
    </row>
    <row r="28" spans="1:13">
      <c r="A28" s="27"/>
      <c r="B28" s="30" t="s">
        <v>20</v>
      </c>
      <c r="C28" s="76" t="s">
        <v>172</v>
      </c>
      <c r="D28" s="78">
        <f>SUM('ESF - ERI'!E53:M53)</f>
        <v>82150.45</v>
      </c>
      <c r="E28" s="78"/>
      <c r="F28" s="100"/>
      <c r="G28" s="86"/>
      <c r="H28" s="86"/>
      <c r="I28" s="86"/>
      <c r="J28" s="86"/>
      <c r="K28" s="51"/>
      <c r="L28" s="32"/>
      <c r="M28" s="27"/>
    </row>
    <row r="29" spans="1:13">
      <c r="A29" s="27"/>
      <c r="B29" s="30" t="s">
        <v>48</v>
      </c>
      <c r="C29" s="76" t="s">
        <v>172</v>
      </c>
      <c r="D29" s="78">
        <f>SUM('ESF - ERI'!E55:M55)</f>
        <v>957283.5199999999</v>
      </c>
      <c r="E29" s="78"/>
      <c r="F29" s="100"/>
      <c r="G29" s="86"/>
      <c r="I29" s="86"/>
      <c r="J29" s="86"/>
      <c r="K29" s="51"/>
      <c r="L29" s="32"/>
      <c r="M29" s="27"/>
    </row>
    <row r="30" spans="1:13" hidden="1">
      <c r="A30" s="27"/>
      <c r="B30" s="30" t="s">
        <v>33</v>
      </c>
      <c r="C30" s="76"/>
      <c r="D30" s="78"/>
      <c r="E30" s="78"/>
      <c r="F30" s="86"/>
      <c r="G30" s="86"/>
      <c r="H30" s="86"/>
      <c r="I30" s="86"/>
      <c r="J30" s="86"/>
      <c r="K30" s="51"/>
      <c r="L30" s="27"/>
      <c r="M30" s="27"/>
    </row>
    <row r="31" spans="1:13">
      <c r="A31" s="27"/>
      <c r="B31" s="161" t="s">
        <v>166</v>
      </c>
      <c r="C31" s="162" t="s">
        <v>158</v>
      </c>
      <c r="D31" s="163">
        <f>+PNC!C103</f>
        <v>394335.36694421433</v>
      </c>
      <c r="E31" s="78"/>
      <c r="F31" s="86"/>
      <c r="G31" s="86"/>
      <c r="H31" s="86"/>
      <c r="I31" s="86"/>
      <c r="J31" s="86"/>
      <c r="K31" s="51"/>
      <c r="L31" s="27"/>
      <c r="M31" s="27"/>
    </row>
    <row r="32" spans="1:13">
      <c r="A32" s="27"/>
      <c r="B32" s="161" t="s">
        <v>209</v>
      </c>
      <c r="C32" s="162" t="s">
        <v>158</v>
      </c>
      <c r="D32" s="163">
        <f>+PNC!C102</f>
        <v>828548.36364874605</v>
      </c>
      <c r="E32" s="78"/>
      <c r="F32" s="86"/>
      <c r="G32" s="86"/>
      <c r="H32" s="86"/>
      <c r="I32" s="86"/>
      <c r="J32" s="86"/>
      <c r="K32" s="51"/>
      <c r="L32" s="27"/>
      <c r="M32" s="27"/>
    </row>
    <row r="33" spans="1:13" s="27" customFormat="1">
      <c r="B33" s="108" t="s">
        <v>210</v>
      </c>
      <c r="C33" s="52" t="s">
        <v>158</v>
      </c>
      <c r="D33" s="78">
        <v>881973.00000000559</v>
      </c>
      <c r="E33" s="78"/>
      <c r="F33" s="86" t="s">
        <v>216</v>
      </c>
      <c r="G33" s="86"/>
      <c r="H33" s="86"/>
      <c r="I33" s="86"/>
      <c r="J33" s="86"/>
      <c r="K33" s="51"/>
    </row>
    <row r="34" spans="1:13">
      <c r="A34" s="27"/>
      <c r="B34" s="164" t="s">
        <v>209</v>
      </c>
      <c r="C34" s="162" t="s">
        <v>172</v>
      </c>
      <c r="D34" s="163"/>
      <c r="E34" s="163">
        <f>-SUM('ESF - ERI'!E56:M56)</f>
        <v>1044878.7099375</v>
      </c>
      <c r="F34" s="86"/>
      <c r="G34" s="86"/>
      <c r="H34" s="86"/>
      <c r="I34" s="86"/>
      <c r="J34" s="86"/>
      <c r="K34" s="51"/>
      <c r="L34" s="60"/>
      <c r="M34" s="27"/>
    </row>
    <row r="35" spans="1:13">
      <c r="A35" s="33"/>
      <c r="B35" s="30" t="s">
        <v>173</v>
      </c>
      <c r="C35" s="76" t="s">
        <v>151</v>
      </c>
      <c r="D35" s="78"/>
      <c r="E35" s="78">
        <f>+'Asientos - para Consolidado'!L9</f>
        <v>2544003.2599999998</v>
      </c>
      <c r="F35" s="86"/>
      <c r="G35" s="86"/>
      <c r="H35" s="86"/>
      <c r="I35" s="86"/>
      <c r="J35" s="86"/>
      <c r="K35" s="58"/>
      <c r="L35" s="32"/>
      <c r="M35" s="27"/>
    </row>
    <row r="36" spans="1:13">
      <c r="A36" s="27"/>
      <c r="B36" s="34" t="s">
        <v>28</v>
      </c>
      <c r="C36" s="79" t="s">
        <v>158</v>
      </c>
      <c r="D36" s="80"/>
      <c r="E36" s="80">
        <f>+PNC!C101</f>
        <v>9357519.0706554651</v>
      </c>
      <c r="F36" s="86"/>
      <c r="G36" s="86"/>
      <c r="H36" s="86"/>
      <c r="I36" s="86"/>
      <c r="J36" s="86"/>
      <c r="K36" s="51"/>
      <c r="L36" s="32"/>
      <c r="M36" s="27"/>
    </row>
    <row r="37" spans="1:13" ht="5.25" customHeight="1">
      <c r="A37" s="27"/>
      <c r="B37" s="27"/>
      <c r="D37" s="51"/>
      <c r="E37" s="51"/>
      <c r="F37" s="51"/>
      <c r="G37" s="51"/>
      <c r="H37" s="51"/>
      <c r="I37" s="51"/>
      <c r="J37" s="51"/>
      <c r="K37" s="51"/>
      <c r="L37" s="27"/>
      <c r="M37" s="27"/>
    </row>
    <row r="38" spans="1:13">
      <c r="A38" s="27"/>
      <c r="B38" s="27"/>
      <c r="D38" s="58">
        <f>SUM(D24:D37)</f>
        <v>12946401.040592965</v>
      </c>
      <c r="E38" s="58">
        <f>SUM(E24:E37)</f>
        <v>12946401.040592965</v>
      </c>
      <c r="F38" s="58"/>
      <c r="G38" s="58"/>
      <c r="H38" s="58"/>
      <c r="I38" s="58"/>
      <c r="J38" s="58"/>
      <c r="K38" s="51">
        <f>+D38-E38</f>
        <v>0</v>
      </c>
      <c r="L38" s="27"/>
      <c r="M38" s="27"/>
    </row>
    <row r="39" spans="1:13">
      <c r="A39" s="27"/>
      <c r="B39" s="27"/>
      <c r="C39" s="58"/>
      <c r="D39" s="58"/>
      <c r="E39" s="51">
        <f>+E38-D38</f>
        <v>0</v>
      </c>
      <c r="F39" s="51"/>
      <c r="G39" s="51"/>
      <c r="H39" s="51"/>
      <c r="I39" s="51"/>
      <c r="J39" s="51"/>
      <c r="K39" s="51"/>
      <c r="L39" s="27"/>
      <c r="M39" s="27"/>
    </row>
    <row r="40" spans="1:13">
      <c r="A40" s="26" t="s">
        <v>176</v>
      </c>
      <c r="B40" s="27"/>
      <c r="C40" s="51"/>
      <c r="D40" s="51"/>
      <c r="E40" s="51"/>
      <c r="F40" s="51"/>
      <c r="G40" s="51"/>
      <c r="H40" s="51"/>
      <c r="I40" s="51"/>
      <c r="J40" s="51"/>
      <c r="K40" s="51"/>
      <c r="L40" s="27"/>
      <c r="M40" s="27"/>
    </row>
    <row r="41" spans="1:13">
      <c r="A41" s="27"/>
      <c r="B41" s="27"/>
      <c r="C41" s="51"/>
      <c r="D41" s="51"/>
      <c r="E41" s="51"/>
      <c r="F41" s="51"/>
      <c r="G41" s="51"/>
      <c r="H41" s="51"/>
      <c r="I41" s="51"/>
      <c r="J41" s="51"/>
      <c r="K41" s="51"/>
      <c r="L41" s="27"/>
      <c r="M41" s="27"/>
    </row>
    <row r="42" spans="1:13" ht="24.75" customHeight="1">
      <c r="A42" s="27"/>
      <c r="B42" s="36" t="s">
        <v>0</v>
      </c>
      <c r="C42" s="73" t="s">
        <v>45</v>
      </c>
      <c r="D42" s="82" t="s">
        <v>1</v>
      </c>
      <c r="E42" s="83" t="s">
        <v>2</v>
      </c>
      <c r="F42" s="87"/>
      <c r="G42" s="87"/>
      <c r="H42" s="87"/>
      <c r="I42" s="87"/>
      <c r="J42" s="87"/>
      <c r="K42" s="51"/>
      <c r="L42" s="27"/>
      <c r="M42" s="27"/>
    </row>
    <row r="43" spans="1:13" ht="19.5" customHeight="1">
      <c r="A43" s="27"/>
      <c r="B43" s="38" t="s">
        <v>165</v>
      </c>
      <c r="C43" s="84" t="s">
        <v>151</v>
      </c>
      <c r="D43" s="53">
        <f>444582</f>
        <v>444582</v>
      </c>
      <c r="E43" s="54"/>
      <c r="F43" s="55"/>
      <c r="G43" s="90" t="s">
        <v>161</v>
      </c>
      <c r="H43" s="53"/>
      <c r="I43" s="53"/>
      <c r="J43" s="53"/>
      <c r="K43" s="53"/>
      <c r="L43" s="91"/>
      <c r="M43" s="92"/>
    </row>
    <row r="44" spans="1:13" ht="19.5" customHeight="1">
      <c r="A44" s="27"/>
      <c r="B44" s="40" t="s">
        <v>191</v>
      </c>
      <c r="C44" s="76" t="s">
        <v>151</v>
      </c>
      <c r="D44" s="55"/>
      <c r="E44" s="52">
        <v>444582</v>
      </c>
      <c r="F44" s="55"/>
      <c r="G44" s="93">
        <f>492416-47834.13</f>
        <v>444581.87</v>
      </c>
      <c r="H44" s="56" t="s">
        <v>160</v>
      </c>
      <c r="I44" s="56"/>
      <c r="J44" s="56"/>
      <c r="K44" s="56"/>
      <c r="L44" s="94"/>
      <c r="M44" s="95"/>
    </row>
    <row r="45" spans="1:13" ht="19.5" customHeight="1">
      <c r="A45" s="27"/>
      <c r="B45" s="39"/>
      <c r="C45" s="76"/>
      <c r="D45" s="55"/>
      <c r="E45" s="52"/>
      <c r="F45" s="54" t="s">
        <v>163</v>
      </c>
      <c r="G45" s="90" t="s">
        <v>162</v>
      </c>
      <c r="H45" s="53"/>
      <c r="I45" s="53"/>
      <c r="J45" s="53"/>
      <c r="K45" s="53"/>
      <c r="L45" s="91"/>
      <c r="M45" s="92"/>
    </row>
    <row r="46" spans="1:13" ht="19.5" customHeight="1">
      <c r="A46" s="27"/>
      <c r="B46" s="39" t="s">
        <v>195</v>
      </c>
      <c r="C46" s="76" t="s">
        <v>151</v>
      </c>
      <c r="D46" s="55">
        <v>11030</v>
      </c>
      <c r="E46" s="52"/>
      <c r="F46" s="57" t="s">
        <v>164</v>
      </c>
      <c r="G46" s="93">
        <f>860302.4-11761.2</f>
        <v>848541.20000000007</v>
      </c>
      <c r="H46" s="56" t="s">
        <v>160</v>
      </c>
      <c r="I46" s="56"/>
      <c r="J46" s="56"/>
      <c r="K46" s="56"/>
      <c r="L46" s="94"/>
      <c r="M46" s="95"/>
    </row>
    <row r="47" spans="1:13" ht="19.5" customHeight="1">
      <c r="A47" s="27"/>
      <c r="B47" s="40" t="s">
        <v>194</v>
      </c>
      <c r="C47" s="76" t="s">
        <v>183</v>
      </c>
      <c r="D47" s="55"/>
      <c r="E47" s="52">
        <f>+D46</f>
        <v>11030</v>
      </c>
      <c r="F47" s="55"/>
      <c r="G47" s="55"/>
      <c r="H47" s="55"/>
      <c r="I47" s="55"/>
      <c r="J47" s="55"/>
      <c r="K47" s="51"/>
      <c r="L47" s="27"/>
      <c r="M47" s="27"/>
    </row>
    <row r="48" spans="1:13" ht="19.5" customHeight="1">
      <c r="A48" s="27"/>
      <c r="B48" s="40"/>
      <c r="C48" s="76"/>
      <c r="D48" s="55"/>
      <c r="E48" s="52"/>
      <c r="F48" s="55"/>
      <c r="G48" s="55"/>
      <c r="H48" s="55"/>
      <c r="I48" s="55"/>
      <c r="J48" s="55"/>
      <c r="K48" s="51"/>
      <c r="L48" s="27"/>
      <c r="M48" s="27"/>
    </row>
    <row r="49" spans="1:13" ht="19.5" customHeight="1">
      <c r="A49" s="27"/>
      <c r="B49" s="40"/>
      <c r="C49" s="76"/>
      <c r="D49" s="55"/>
      <c r="E49" s="52"/>
      <c r="F49" s="55"/>
      <c r="G49" s="55"/>
      <c r="H49" s="55"/>
      <c r="I49" s="55">
        <f>963539</f>
        <v>963539</v>
      </c>
      <c r="J49" s="55">
        <f>I49/1.12</f>
        <v>860302.67857142852</v>
      </c>
      <c r="K49" s="51"/>
      <c r="L49" s="27"/>
      <c r="M49" s="27"/>
    </row>
    <row r="50" spans="1:13" ht="19.5" customHeight="1">
      <c r="A50" s="27"/>
      <c r="B50" s="41"/>
      <c r="C50" s="79"/>
      <c r="D50" s="56"/>
      <c r="E50" s="57"/>
      <c r="F50" s="55"/>
      <c r="G50" s="55"/>
      <c r="H50" s="55"/>
      <c r="I50" s="55">
        <v>13173</v>
      </c>
      <c r="J50" s="55">
        <f>I50/1.12</f>
        <v>11761.607142857141</v>
      </c>
      <c r="K50" s="51"/>
      <c r="L50" s="27"/>
      <c r="M50" s="27"/>
    </row>
    <row r="51" spans="1:13">
      <c r="A51" s="27"/>
      <c r="B51" s="27"/>
      <c r="D51" s="58">
        <f>SUM(D43:D50)</f>
        <v>455612</v>
      </c>
      <c r="E51" s="58">
        <f>SUM(E43:E50)</f>
        <v>455612</v>
      </c>
      <c r="F51" s="58"/>
      <c r="G51" s="58"/>
      <c r="H51" s="58"/>
      <c r="I51" s="58"/>
      <c r="J51" s="58">
        <f>J49-J50</f>
        <v>848541.07142857136</v>
      </c>
      <c r="K51" s="51"/>
      <c r="L51" s="27"/>
      <c r="M51" s="27"/>
    </row>
    <row r="52" spans="1:13">
      <c r="A52" s="27"/>
      <c r="B52" s="27"/>
      <c r="D52" s="51"/>
      <c r="E52" s="51"/>
      <c r="F52" s="51"/>
      <c r="G52" s="51"/>
      <c r="H52" s="51"/>
      <c r="I52" s="51"/>
      <c r="J52" s="51"/>
      <c r="K52" s="51"/>
      <c r="L52" s="27"/>
      <c r="M52" s="27"/>
    </row>
    <row r="53" spans="1:13">
      <c r="A53" s="26" t="s">
        <v>177</v>
      </c>
      <c r="B53" s="27"/>
      <c r="D53" s="51"/>
      <c r="E53" s="51"/>
      <c r="F53" s="51"/>
      <c r="G53" s="51"/>
      <c r="H53" s="51"/>
      <c r="I53" s="51"/>
      <c r="J53" s="51"/>
      <c r="K53" s="51"/>
      <c r="L53" s="27"/>
      <c r="M53" s="27"/>
    </row>
    <row r="54" spans="1:13">
      <c r="A54" s="27"/>
      <c r="B54" s="27"/>
      <c r="D54" s="51"/>
      <c r="E54" s="51"/>
      <c r="F54" s="51"/>
      <c r="G54" s="51"/>
      <c r="H54" s="51"/>
      <c r="I54" s="51"/>
      <c r="J54" s="51"/>
      <c r="K54" s="51"/>
      <c r="L54" s="27"/>
      <c r="M54" s="27"/>
    </row>
    <row r="55" spans="1:13" ht="24.75" customHeight="1">
      <c r="A55" s="27"/>
      <c r="B55" s="37" t="s">
        <v>0</v>
      </c>
      <c r="C55" s="73" t="s">
        <v>45</v>
      </c>
      <c r="D55" s="83" t="s">
        <v>1</v>
      </c>
      <c r="E55" s="83" t="s">
        <v>2</v>
      </c>
      <c r="F55" s="87"/>
      <c r="G55" s="87"/>
      <c r="H55" s="87"/>
      <c r="I55" s="87"/>
      <c r="J55" s="87"/>
      <c r="K55" s="51"/>
    </row>
    <row r="56" spans="1:13" ht="19.5" customHeight="1">
      <c r="A56" s="27"/>
      <c r="B56" s="39" t="s">
        <v>153</v>
      </c>
      <c r="C56" s="76" t="s">
        <v>150</v>
      </c>
      <c r="D56" s="53">
        <v>100000</v>
      </c>
      <c r="E56" s="54"/>
      <c r="F56" s="55"/>
      <c r="G56" s="55"/>
      <c r="H56" s="55"/>
      <c r="I56" s="55"/>
      <c r="J56" s="55"/>
      <c r="K56" s="51"/>
    </row>
    <row r="57" spans="1:13" ht="19.5" customHeight="1">
      <c r="A57" s="27"/>
      <c r="B57" s="39" t="s">
        <v>154</v>
      </c>
      <c r="C57" s="76" t="s">
        <v>150</v>
      </c>
      <c r="D57" s="55">
        <v>2666934.9300000002</v>
      </c>
      <c r="E57" s="52"/>
      <c r="F57" s="55"/>
      <c r="G57" s="55"/>
      <c r="H57" s="55"/>
      <c r="I57" s="55"/>
      <c r="J57" s="55"/>
      <c r="K57" s="51"/>
    </row>
    <row r="58" spans="1:13" ht="19.5" customHeight="1">
      <c r="A58" s="27"/>
      <c r="B58" s="39" t="s">
        <v>153</v>
      </c>
      <c r="C58" s="76" t="s">
        <v>152</v>
      </c>
      <c r="D58" s="55">
        <f>1268003</f>
        <v>1268003</v>
      </c>
      <c r="E58" s="52"/>
      <c r="F58" s="55"/>
      <c r="G58" s="55"/>
      <c r="H58" s="55"/>
      <c r="I58" s="55"/>
      <c r="J58" s="55"/>
      <c r="K58" s="51"/>
    </row>
    <row r="59" spans="1:13" ht="19.5" customHeight="1">
      <c r="A59" s="27"/>
      <c r="B59" s="39" t="s">
        <v>153</v>
      </c>
      <c r="C59" s="76" t="s">
        <v>156</v>
      </c>
      <c r="D59" s="55">
        <f>+E70</f>
        <v>505881.68</v>
      </c>
      <c r="E59" s="52"/>
      <c r="F59" s="55"/>
      <c r="G59" s="55"/>
      <c r="H59" s="55"/>
      <c r="I59" s="55"/>
      <c r="J59" s="55"/>
      <c r="K59" s="51"/>
    </row>
    <row r="60" spans="1:13" ht="19.5" customHeight="1">
      <c r="A60" s="27"/>
      <c r="B60" s="39" t="s">
        <v>153</v>
      </c>
      <c r="C60" s="76" t="s">
        <v>159</v>
      </c>
      <c r="D60" s="55">
        <v>794</v>
      </c>
      <c r="E60" s="52"/>
      <c r="F60" s="55"/>
      <c r="G60" s="55"/>
      <c r="H60" s="55"/>
      <c r="I60" s="55"/>
      <c r="J60" s="55"/>
      <c r="K60" s="51"/>
    </row>
    <row r="61" spans="1:13" ht="19.5" customHeight="1">
      <c r="A61" s="27"/>
      <c r="B61" s="39" t="s">
        <v>153</v>
      </c>
      <c r="C61" s="76" t="s">
        <v>183</v>
      </c>
      <c r="D61" s="55">
        <f>1161180+940330</f>
        <v>2101510</v>
      </c>
      <c r="E61" s="52"/>
      <c r="F61" s="55"/>
      <c r="G61" s="55"/>
      <c r="H61" s="55"/>
      <c r="I61" s="55"/>
      <c r="J61" s="55"/>
      <c r="K61" s="51"/>
    </row>
    <row r="62" spans="1:13" ht="19.5" customHeight="1">
      <c r="A62" s="27"/>
      <c r="B62" s="39" t="s">
        <v>170</v>
      </c>
      <c r="C62" s="76" t="s">
        <v>183</v>
      </c>
      <c r="D62" s="142">
        <f>27706930-C10</f>
        <v>27269564.260000002</v>
      </c>
      <c r="E62" s="52"/>
      <c r="F62" s="55"/>
      <c r="G62" s="55"/>
      <c r="H62" s="55"/>
      <c r="I62" s="55"/>
      <c r="J62" s="55"/>
      <c r="K62" s="51"/>
    </row>
    <row r="63" spans="1:13" ht="19.5" customHeight="1">
      <c r="A63" s="27"/>
      <c r="B63" s="39" t="s">
        <v>153</v>
      </c>
      <c r="C63" s="76" t="s">
        <v>151</v>
      </c>
      <c r="D63" s="55">
        <f>+E66</f>
        <v>656792</v>
      </c>
      <c r="E63" s="52"/>
      <c r="F63" s="55"/>
      <c r="G63" s="55"/>
      <c r="H63" s="55"/>
      <c r="I63" s="55"/>
      <c r="J63" s="55"/>
      <c r="K63" s="51"/>
    </row>
    <row r="64" spans="1:13" ht="19.5" customHeight="1">
      <c r="A64" s="27"/>
      <c r="B64" s="39" t="s">
        <v>153</v>
      </c>
      <c r="C64" s="76" t="s">
        <v>183</v>
      </c>
      <c r="D64" s="55">
        <f>+E67</f>
        <v>11643.210000000001</v>
      </c>
      <c r="E64" s="52"/>
      <c r="F64" s="55"/>
      <c r="G64" s="55"/>
      <c r="H64" s="55"/>
      <c r="I64" s="55"/>
      <c r="J64" s="55"/>
      <c r="K64" s="51"/>
    </row>
    <row r="65" spans="1:11" ht="19.5" customHeight="1">
      <c r="A65" s="27"/>
      <c r="B65" s="39" t="s">
        <v>153</v>
      </c>
      <c r="C65" s="76" t="s">
        <v>150</v>
      </c>
      <c r="D65" s="55">
        <f>+E68</f>
        <v>116867</v>
      </c>
      <c r="E65" s="52"/>
      <c r="F65" s="55"/>
      <c r="G65" s="55"/>
      <c r="H65" s="55"/>
      <c r="I65" s="55"/>
      <c r="J65" s="55"/>
      <c r="K65" s="51"/>
    </row>
    <row r="66" spans="1:11" ht="19.5" customHeight="1">
      <c r="A66" s="27"/>
      <c r="B66" s="39" t="s">
        <v>155</v>
      </c>
      <c r="C66" s="76" t="s">
        <v>152</v>
      </c>
      <c r="D66" s="55"/>
      <c r="E66" s="52">
        <v>656792</v>
      </c>
      <c r="F66" s="55"/>
      <c r="G66" s="55"/>
      <c r="H66" s="55"/>
      <c r="I66" s="55"/>
      <c r="J66" s="55"/>
      <c r="K66" s="51"/>
    </row>
    <row r="67" spans="1:11" ht="19.5" customHeight="1">
      <c r="A67" s="27"/>
      <c r="B67" s="39" t="s">
        <v>155</v>
      </c>
      <c r="C67" s="76" t="s">
        <v>150</v>
      </c>
      <c r="D67" s="55"/>
      <c r="E67" s="52">
        <v>11643.210000000001</v>
      </c>
      <c r="F67" s="55"/>
      <c r="G67" s="55"/>
      <c r="H67" s="55"/>
      <c r="I67" s="55"/>
      <c r="J67" s="55"/>
      <c r="K67" s="51"/>
    </row>
    <row r="68" spans="1:11" ht="19.5" customHeight="1">
      <c r="A68" s="27"/>
      <c r="B68" s="39" t="s">
        <v>155</v>
      </c>
      <c r="C68" s="76" t="s">
        <v>183</v>
      </c>
      <c r="D68" s="55"/>
      <c r="E68" s="52">
        <v>116867</v>
      </c>
      <c r="F68" s="55"/>
      <c r="G68" s="55"/>
      <c r="H68" s="55"/>
      <c r="I68" s="55"/>
      <c r="J68" s="55"/>
      <c r="K68" s="51"/>
    </row>
    <row r="69" spans="1:11" ht="19.5" customHeight="1">
      <c r="A69" s="27"/>
      <c r="B69" s="39" t="s">
        <v>155</v>
      </c>
      <c r="C69" s="76" t="s">
        <v>151</v>
      </c>
      <c r="D69" s="55"/>
      <c r="E69" s="52">
        <f>2766935+1268003+D60+1161180</f>
        <v>5196912</v>
      </c>
      <c r="F69" s="55"/>
      <c r="G69" s="55"/>
      <c r="H69" s="55"/>
      <c r="I69" s="55"/>
      <c r="J69" s="55"/>
      <c r="K69" s="51"/>
    </row>
    <row r="70" spans="1:11" ht="19.5" customHeight="1">
      <c r="A70" s="27"/>
      <c r="B70" s="39" t="s">
        <v>68</v>
      </c>
      <c r="C70" s="76" t="s">
        <v>151</v>
      </c>
      <c r="D70" s="55"/>
      <c r="E70" s="52">
        <v>505881.68</v>
      </c>
      <c r="F70" s="55"/>
      <c r="G70" s="55"/>
      <c r="H70" s="55"/>
      <c r="I70" s="55"/>
      <c r="J70" s="55"/>
      <c r="K70" s="51"/>
    </row>
    <row r="71" spans="1:11" ht="19.5" customHeight="1">
      <c r="A71" s="27"/>
      <c r="B71" s="39" t="s">
        <v>205</v>
      </c>
      <c r="C71" s="76" t="s">
        <v>151</v>
      </c>
      <c r="D71" s="55"/>
      <c r="E71" s="52">
        <v>940330</v>
      </c>
      <c r="F71" s="55"/>
      <c r="G71" s="55"/>
      <c r="H71" s="55"/>
      <c r="I71" s="55"/>
      <c r="J71" s="55"/>
      <c r="K71" s="51"/>
    </row>
    <row r="72" spans="1:11" ht="19.5" customHeight="1">
      <c r="A72" s="27"/>
      <c r="B72" s="42" t="s">
        <v>186</v>
      </c>
      <c r="C72" s="79" t="s">
        <v>151</v>
      </c>
      <c r="D72" s="56"/>
      <c r="E72" s="57">
        <f>+D62</f>
        <v>27269564.260000002</v>
      </c>
      <c r="F72" s="55"/>
      <c r="G72" s="55"/>
      <c r="H72" s="55"/>
      <c r="I72" s="55"/>
      <c r="J72" s="55"/>
      <c r="K72" s="51"/>
    </row>
    <row r="73" spans="1:11">
      <c r="A73" s="27"/>
      <c r="B73" s="27"/>
      <c r="D73" s="58">
        <f>SUM(D56:D72)</f>
        <v>34697990.080000006</v>
      </c>
      <c r="E73" s="58">
        <f>SUM(E56:E72)</f>
        <v>34697990.149999999</v>
      </c>
      <c r="F73" s="58"/>
      <c r="G73" s="58"/>
      <c r="H73" s="58"/>
      <c r="I73" s="58"/>
      <c r="J73" s="58"/>
      <c r="K73" s="51"/>
    </row>
    <row r="76" spans="1:11">
      <c r="A76" s="26" t="s">
        <v>197</v>
      </c>
      <c r="B76" s="27"/>
      <c r="C76" s="51"/>
      <c r="D76" s="51"/>
      <c r="E76" s="51"/>
    </row>
    <row r="77" spans="1:11">
      <c r="A77" s="27"/>
      <c r="B77" s="27"/>
      <c r="C77" s="51"/>
      <c r="D77" s="51"/>
      <c r="E77" s="51"/>
    </row>
    <row r="78" spans="1:11">
      <c r="A78" s="28"/>
      <c r="B78" s="20" t="s">
        <v>25</v>
      </c>
      <c r="C78" s="73" t="s">
        <v>45</v>
      </c>
      <c r="D78" s="74" t="s">
        <v>26</v>
      </c>
      <c r="E78" s="74" t="s">
        <v>27</v>
      </c>
    </row>
    <row r="79" spans="1:11">
      <c r="A79" s="27"/>
      <c r="B79" s="29" t="s">
        <v>92</v>
      </c>
      <c r="C79" s="76" t="s">
        <v>198</v>
      </c>
      <c r="D79" s="77">
        <f>459066*0.49</f>
        <v>224942.34</v>
      </c>
      <c r="E79" s="77"/>
    </row>
    <row r="80" spans="1:11">
      <c r="A80" s="27"/>
      <c r="B80" s="34" t="s">
        <v>199</v>
      </c>
      <c r="C80" s="79" t="s">
        <v>198</v>
      </c>
      <c r="D80" s="80"/>
      <c r="E80" s="80">
        <f>+D79</f>
        <v>224942.34</v>
      </c>
    </row>
    <row r="81" spans="1:5">
      <c r="A81" s="27"/>
      <c r="B81" s="27"/>
      <c r="D81" s="51"/>
      <c r="E81" s="51"/>
    </row>
    <row r="82" spans="1:5">
      <c r="A82" s="27"/>
      <c r="B82" s="27"/>
      <c r="D82" s="58">
        <f>SUM(D79:D81)</f>
        <v>224942.34</v>
      </c>
      <c r="E82" s="58">
        <f>SUM(E79:E81)</f>
        <v>224942.34</v>
      </c>
    </row>
  </sheetData>
  <printOptions horizontalCentered="1"/>
  <pageMargins left="0" right="0" top="0.51181102362204722" bottom="0.31496062992125984" header="0.31496062992125984" footer="0.31496062992125984"/>
  <pageSetup paperSize="9" scale="45" orientation="landscape" r:id="rId1"/>
  <headerFooter>
    <oddFooter>&amp;R&amp;P/&amp;N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5"/>
  <sheetViews>
    <sheetView zoomScale="80" zoomScaleNormal="80" workbookViewId="0">
      <selection activeCell="C10" sqref="C10"/>
    </sheetView>
  </sheetViews>
  <sheetFormatPr baseColWidth="10" defaultColWidth="11.44140625" defaultRowHeight="13.8"/>
  <cols>
    <col min="1" max="1" width="11.44140625" style="101"/>
    <col min="2" max="2" width="72.33203125" style="126" customWidth="1"/>
    <col min="3" max="3" width="23.44140625" style="127" customWidth="1"/>
    <col min="4" max="4" width="11.44140625" style="101"/>
    <col min="5" max="5" width="13.109375" style="106" customWidth="1"/>
    <col min="6" max="6" width="15.33203125" style="106" customWidth="1"/>
    <col min="7" max="7" width="14.109375" style="106" customWidth="1"/>
    <col min="8" max="8" width="17.5546875" style="106" customWidth="1"/>
    <col min="9" max="9" width="21.33203125" style="106" bestFit="1" customWidth="1"/>
    <col min="10" max="10" width="14.44140625" style="106" bestFit="1" customWidth="1"/>
    <col min="11" max="16384" width="11.44140625" style="106"/>
  </cols>
  <sheetData>
    <row r="1" spans="2:10">
      <c r="B1" s="109" t="s">
        <v>185</v>
      </c>
      <c r="C1" s="110"/>
    </row>
    <row r="2" spans="2:10">
      <c r="B2" s="111" t="s">
        <v>121</v>
      </c>
      <c r="C2" s="112">
        <f>+'ESF - ERI'!E58</f>
        <v>36760932</v>
      </c>
      <c r="F2" s="113"/>
      <c r="H2" s="101"/>
    </row>
    <row r="3" spans="2:10">
      <c r="B3" s="114"/>
      <c r="C3" s="115"/>
      <c r="I3" s="135"/>
    </row>
    <row r="4" spans="2:10" ht="27.6">
      <c r="B4" s="116" t="s">
        <v>187</v>
      </c>
      <c r="C4" s="23" t="s">
        <v>29</v>
      </c>
      <c r="E4" s="101"/>
      <c r="F4" s="101"/>
      <c r="G4" s="101"/>
      <c r="H4" s="101"/>
      <c r="I4" s="133"/>
    </row>
    <row r="5" spans="2:10">
      <c r="B5" s="102" t="s">
        <v>30</v>
      </c>
      <c r="C5" s="107">
        <f>+'Asientos - para Consolidado'!C9</f>
        <v>3751.2600000000093</v>
      </c>
      <c r="E5" s="117"/>
      <c r="F5" s="104">
        <v>3751</v>
      </c>
      <c r="G5" s="118">
        <f>+F5/$F$7</f>
        <v>0.75019999999999998</v>
      </c>
      <c r="H5" s="101" t="s">
        <v>50</v>
      </c>
      <c r="I5" s="136"/>
    </row>
    <row r="6" spans="2:10" ht="14.4" thickBot="1">
      <c r="B6" s="102" t="s">
        <v>207</v>
      </c>
      <c r="C6" s="119">
        <f>C2*G6</f>
        <v>9182880.8136</v>
      </c>
      <c r="D6" s="120" t="s">
        <v>34</v>
      </c>
      <c r="E6" s="101"/>
      <c r="F6" s="121">
        <v>1249</v>
      </c>
      <c r="G6" s="118">
        <f>+F6/$F$7</f>
        <v>0.24979999999999999</v>
      </c>
      <c r="H6" s="101" t="s">
        <v>52</v>
      </c>
      <c r="I6" s="137">
        <f>C6-'Asientos - para Consolidado'!D25</f>
        <v>-294503.18640000001</v>
      </c>
    </row>
    <row r="7" spans="2:10">
      <c r="B7" s="102" t="s">
        <v>31</v>
      </c>
      <c r="C7" s="103">
        <f>+C5+C6</f>
        <v>9186632.0735999998</v>
      </c>
      <c r="E7" s="101"/>
      <c r="F7" s="104">
        <f>SUM(F5:F6)</f>
        <v>5000</v>
      </c>
      <c r="G7" s="105"/>
      <c r="H7" s="101"/>
      <c r="I7" s="133">
        <f>I6-C9</f>
        <v>-427133.25999999605</v>
      </c>
    </row>
    <row r="8" spans="2:10" ht="15" customHeight="1">
      <c r="B8" s="102" t="s">
        <v>188</v>
      </c>
      <c r="C8" s="107">
        <f>+C2-'Asientos - para Consolidado'!C10-'Asientos - para Consolidado'!D62</f>
        <v>9054002.0000000037</v>
      </c>
      <c r="D8" s="618" t="s">
        <v>211</v>
      </c>
      <c r="E8" s="619"/>
      <c r="F8" s="619"/>
      <c r="G8" s="619"/>
      <c r="H8" s="619"/>
      <c r="I8" s="137"/>
    </row>
    <row r="9" spans="2:10">
      <c r="B9" s="99" t="s">
        <v>166</v>
      </c>
      <c r="C9" s="122">
        <f>+C7-C8</f>
        <v>132630.07359999605</v>
      </c>
      <c r="D9" s="120" t="s">
        <v>35</v>
      </c>
      <c r="E9" s="617" t="s">
        <v>206</v>
      </c>
      <c r="F9" s="617"/>
      <c r="G9" s="105"/>
      <c r="H9" s="101"/>
      <c r="I9" s="133"/>
      <c r="J9" s="137"/>
    </row>
    <row r="10" spans="2:10" ht="14.4" thickBot="1">
      <c r="B10" s="123"/>
      <c r="C10" s="124"/>
      <c r="G10" s="125"/>
    </row>
    <row r="11" spans="2:10" ht="14.4" thickBot="1">
      <c r="J11" s="136"/>
    </row>
    <row r="12" spans="2:10">
      <c r="B12" s="109" t="s">
        <v>120</v>
      </c>
      <c r="C12" s="110"/>
    </row>
    <row r="13" spans="2:10" ht="15" customHeight="1">
      <c r="B13" s="111" t="s">
        <v>121</v>
      </c>
      <c r="C13" s="112">
        <f>+'ESF - ERI'!F58-'ESF - ERI'!F49</f>
        <v>21123.449999999953</v>
      </c>
      <c r="D13" s="618" t="s">
        <v>211</v>
      </c>
      <c r="E13" s="619"/>
      <c r="F13" s="619"/>
      <c r="G13" s="619"/>
      <c r="H13" s="619"/>
      <c r="I13" s="137"/>
      <c r="J13" s="136"/>
    </row>
    <row r="14" spans="2:10">
      <c r="B14" s="114"/>
      <c r="C14" s="115"/>
      <c r="J14" s="135"/>
    </row>
    <row r="15" spans="2:10" ht="27.6">
      <c r="B15" s="116" t="s">
        <v>124</v>
      </c>
      <c r="C15" s="23" t="s">
        <v>29</v>
      </c>
      <c r="E15" s="101"/>
      <c r="F15" s="101"/>
      <c r="G15" s="101"/>
      <c r="H15" s="101"/>
    </row>
    <row r="16" spans="2:10">
      <c r="B16" s="102" t="s">
        <v>30</v>
      </c>
      <c r="C16" s="107">
        <f>+'Asientos - para Consolidado'!D9</f>
        <v>104950</v>
      </c>
      <c r="E16" s="117"/>
      <c r="F16" s="104">
        <v>104950</v>
      </c>
      <c r="G16" s="118">
        <f>+F16/$F$18</f>
        <v>0.99952380952380948</v>
      </c>
      <c r="H16" s="101" t="s">
        <v>50</v>
      </c>
      <c r="I16" s="113"/>
    </row>
    <row r="17" spans="2:9" ht="14.4" thickBot="1">
      <c r="B17" s="102" t="s">
        <v>167</v>
      </c>
      <c r="C17" s="119">
        <f>C13*G17</f>
        <v>10.058785714285692</v>
      </c>
      <c r="D17" s="120" t="s">
        <v>34</v>
      </c>
      <c r="E17" s="101"/>
      <c r="F17" s="121">
        <v>50</v>
      </c>
      <c r="G17" s="118">
        <f>+F17/$F$18</f>
        <v>4.7619047619047619E-4</v>
      </c>
      <c r="H17" s="101" t="s">
        <v>52</v>
      </c>
      <c r="I17" s="135"/>
    </row>
    <row r="18" spans="2:9">
      <c r="B18" s="102" t="s">
        <v>31</v>
      </c>
      <c r="C18" s="103">
        <f>+C16+C17</f>
        <v>104960.05878571428</v>
      </c>
      <c r="E18" s="101"/>
      <c r="F18" s="104">
        <f>SUM(F16:F17)</f>
        <v>105000</v>
      </c>
      <c r="G18" s="105"/>
      <c r="H18" s="101"/>
      <c r="I18" s="137"/>
    </row>
    <row r="19" spans="2:9">
      <c r="B19" s="102" t="s">
        <v>123</v>
      </c>
      <c r="C19" s="107">
        <f>+C13</f>
        <v>21123.449999999953</v>
      </c>
      <c r="D19" s="120"/>
      <c r="E19" s="101"/>
      <c r="F19" s="101"/>
      <c r="G19" s="105"/>
      <c r="H19" s="101"/>
      <c r="I19" s="137"/>
    </row>
    <row r="20" spans="2:9">
      <c r="B20" s="99" t="s">
        <v>166</v>
      </c>
      <c r="C20" s="122">
        <f>+C18-C19</f>
        <v>83836.608785714328</v>
      </c>
      <c r="D20" s="120" t="s">
        <v>140</v>
      </c>
      <c r="E20" s="101"/>
      <c r="F20" s="101"/>
      <c r="G20" s="105"/>
      <c r="H20" s="101"/>
      <c r="I20" s="137"/>
    </row>
    <row r="21" spans="2:9" ht="9" customHeight="1" thickBot="1">
      <c r="B21" s="123"/>
      <c r="C21" s="124"/>
      <c r="G21" s="125"/>
      <c r="I21" s="135"/>
    </row>
    <row r="22" spans="2:9" ht="14.4" thickBot="1"/>
    <row r="23" spans="2:9">
      <c r="B23" s="109" t="s">
        <v>51</v>
      </c>
      <c r="C23" s="110"/>
    </row>
    <row r="24" spans="2:9" s="101" customFormat="1">
      <c r="B24" s="111" t="s">
        <v>121</v>
      </c>
      <c r="C24" s="112">
        <f>+'ESF - ERI'!G58</f>
        <v>909131.94000000006</v>
      </c>
    </row>
    <row r="25" spans="2:9" ht="6.75" customHeight="1">
      <c r="B25" s="114"/>
      <c r="C25" s="115"/>
    </row>
    <row r="26" spans="2:9" s="101" customFormat="1" ht="27.6">
      <c r="B26" s="116" t="s">
        <v>122</v>
      </c>
      <c r="C26" s="23" t="s">
        <v>29</v>
      </c>
    </row>
    <row r="27" spans="2:9" s="101" customFormat="1">
      <c r="B27" s="102" t="s">
        <v>30</v>
      </c>
      <c r="C27" s="107">
        <f>+'Asientos - para Consolidado'!E9</f>
        <v>943459</v>
      </c>
      <c r="E27" s="117"/>
      <c r="F27" s="104">
        <v>6800</v>
      </c>
      <c r="G27" s="118">
        <f>+F27/$F$29</f>
        <v>0.68</v>
      </c>
      <c r="H27" s="101" t="s">
        <v>50</v>
      </c>
    </row>
    <row r="28" spans="2:9" s="101" customFormat="1" ht="14.4" thickBot="1">
      <c r="B28" s="102" t="s">
        <v>125</v>
      </c>
      <c r="C28" s="119">
        <f>C24*G28</f>
        <v>290922.22080000001</v>
      </c>
      <c r="D28" s="120" t="s">
        <v>34</v>
      </c>
      <c r="F28" s="121">
        <v>3200</v>
      </c>
      <c r="G28" s="118">
        <f>+F28/$F$29</f>
        <v>0.32</v>
      </c>
      <c r="H28" s="101" t="s">
        <v>52</v>
      </c>
    </row>
    <row r="29" spans="2:9" s="101" customFormat="1">
      <c r="B29" s="102" t="s">
        <v>31</v>
      </c>
      <c r="C29" s="103">
        <f>+C27+C28</f>
        <v>1234381.2208</v>
      </c>
      <c r="F29" s="104">
        <f>SUM(F27:F28)</f>
        <v>10000</v>
      </c>
      <c r="G29" s="105"/>
    </row>
    <row r="30" spans="2:9" s="101" customFormat="1">
      <c r="B30" s="102" t="s">
        <v>53</v>
      </c>
      <c r="C30" s="107">
        <f>+C24</f>
        <v>909131.94000000006</v>
      </c>
      <c r="D30" s="120"/>
      <c r="G30" s="105"/>
      <c r="I30" s="139">
        <f>C27</f>
        <v>943459</v>
      </c>
    </row>
    <row r="31" spans="2:9" s="101" customFormat="1">
      <c r="B31" s="99" t="s">
        <v>166</v>
      </c>
      <c r="C31" s="122">
        <f>+C29-C30</f>
        <v>325249.28079999995</v>
      </c>
      <c r="D31" s="120" t="s">
        <v>35</v>
      </c>
      <c r="E31" s="617" t="s">
        <v>206</v>
      </c>
      <c r="F31" s="617"/>
      <c r="G31" s="105"/>
      <c r="I31" s="140">
        <f>C24*G27</f>
        <v>618209.71920000005</v>
      </c>
    </row>
    <row r="32" spans="2:9" ht="6.75" customHeight="1" thickBot="1">
      <c r="B32" s="123"/>
      <c r="C32" s="124"/>
      <c r="G32" s="125"/>
      <c r="I32" s="138">
        <f>I30-I31</f>
        <v>325249.28079999995</v>
      </c>
    </row>
    <row r="33" spans="2:9" ht="14.4" thickBot="1">
      <c r="G33" s="125"/>
    </row>
    <row r="34" spans="2:9">
      <c r="B34" s="109" t="s">
        <v>54</v>
      </c>
      <c r="C34" s="110"/>
      <c r="G34" s="125"/>
    </row>
    <row r="35" spans="2:9" ht="15" customHeight="1">
      <c r="B35" s="111" t="s">
        <v>121</v>
      </c>
      <c r="C35" s="112">
        <f>+'ESF - ERI'!H58-'ESF - ERI'!H49</f>
        <v>-276937.91993750003</v>
      </c>
      <c r="D35" s="618" t="s">
        <v>211</v>
      </c>
      <c r="E35" s="619"/>
      <c r="F35" s="619"/>
      <c r="G35" s="619"/>
      <c r="H35" s="619"/>
    </row>
    <row r="36" spans="2:9" ht="5.25" customHeight="1">
      <c r="B36" s="114"/>
      <c r="C36" s="115"/>
      <c r="G36" s="125"/>
    </row>
    <row r="37" spans="2:9" ht="27.6">
      <c r="B37" s="116" t="s">
        <v>126</v>
      </c>
      <c r="C37" s="23" t="s">
        <v>29</v>
      </c>
      <c r="E37" s="101"/>
      <c r="F37" s="101"/>
      <c r="G37" s="105"/>
      <c r="H37" s="101"/>
    </row>
    <row r="38" spans="2:9">
      <c r="B38" s="102" t="s">
        <v>30</v>
      </c>
      <c r="C38" s="107">
        <f>+'Asientos - para Consolidado'!F9</f>
        <v>98825</v>
      </c>
      <c r="E38" s="117"/>
      <c r="F38" s="104">
        <v>500</v>
      </c>
      <c r="G38" s="118">
        <f>+F38/$F$40</f>
        <v>0.5</v>
      </c>
      <c r="H38" s="101" t="s">
        <v>50</v>
      </c>
    </row>
    <row r="39" spans="2:9" ht="14.4" thickBot="1">
      <c r="B39" s="102" t="s">
        <v>168</v>
      </c>
      <c r="C39" s="119">
        <f>C35*G39</f>
        <v>-138468.95996875002</v>
      </c>
      <c r="D39" s="120" t="s">
        <v>34</v>
      </c>
      <c r="E39" s="101"/>
      <c r="F39" s="121">
        <v>500</v>
      </c>
      <c r="G39" s="118">
        <f>+F39/$F$40</f>
        <v>0.5</v>
      </c>
      <c r="H39" s="101" t="s">
        <v>52</v>
      </c>
    </row>
    <row r="40" spans="2:9">
      <c r="B40" s="102" t="s">
        <v>31</v>
      </c>
      <c r="C40" s="103">
        <f>+C38+C39</f>
        <v>-39643.959968750016</v>
      </c>
      <c r="E40" s="101"/>
      <c r="F40" s="104">
        <f>SUM(F38:F39)</f>
        <v>1000</v>
      </c>
      <c r="G40" s="105"/>
      <c r="H40" s="101"/>
      <c r="I40" s="137">
        <f>C38</f>
        <v>98825</v>
      </c>
    </row>
    <row r="41" spans="2:9">
      <c r="B41" s="102" t="s">
        <v>59</v>
      </c>
      <c r="C41" s="107">
        <f>+C35</f>
        <v>-276937.91993750003</v>
      </c>
      <c r="D41" s="120"/>
      <c r="E41" s="101"/>
      <c r="F41" s="101"/>
      <c r="G41" s="105"/>
      <c r="H41" s="101"/>
    </row>
    <row r="42" spans="2:9">
      <c r="B42" s="99" t="s">
        <v>166</v>
      </c>
      <c r="C42" s="122">
        <f>+C40-C41</f>
        <v>237293.95996875002</v>
      </c>
      <c r="D42" s="120" t="s">
        <v>35</v>
      </c>
      <c r="E42" s="621" t="s">
        <v>206</v>
      </c>
      <c r="F42" s="621"/>
      <c r="G42" s="105"/>
      <c r="H42" s="101"/>
    </row>
    <row r="43" spans="2:9" ht="5.25" customHeight="1" thickBot="1">
      <c r="B43" s="123"/>
      <c r="C43" s="124"/>
      <c r="G43" s="125"/>
    </row>
    <row r="44" spans="2:9" ht="14.4" thickBot="1">
      <c r="G44" s="125"/>
    </row>
    <row r="45" spans="2:9">
      <c r="B45" s="109" t="s">
        <v>55</v>
      </c>
      <c r="C45" s="110"/>
      <c r="G45" s="125"/>
    </row>
    <row r="46" spans="2:9" ht="15" customHeight="1">
      <c r="B46" s="111" t="s">
        <v>121</v>
      </c>
      <c r="C46" s="112">
        <f>+'ESF - ERI'!I58-'ESF - ERI'!I49</f>
        <v>70210.969999999972</v>
      </c>
      <c r="D46" s="618" t="s">
        <v>211</v>
      </c>
      <c r="E46" s="619"/>
      <c r="F46" s="619"/>
      <c r="G46" s="619"/>
      <c r="H46" s="619"/>
    </row>
    <row r="47" spans="2:9" ht="6" customHeight="1">
      <c r="B47" s="114"/>
      <c r="C47" s="115"/>
      <c r="G47" s="125"/>
    </row>
    <row r="48" spans="2:9" ht="27.6">
      <c r="B48" s="116" t="s">
        <v>127</v>
      </c>
      <c r="C48" s="23" t="s">
        <v>29</v>
      </c>
      <c r="E48" s="101"/>
      <c r="F48" s="101"/>
      <c r="G48" s="105"/>
      <c r="H48" s="101"/>
    </row>
    <row r="49" spans="2:9">
      <c r="B49" s="102" t="s">
        <v>30</v>
      </c>
      <c r="C49" s="107">
        <f>+'Asientos - para Consolidado'!G9</f>
        <v>132050</v>
      </c>
      <c r="E49" s="117"/>
      <c r="F49" s="104">
        <v>750</v>
      </c>
      <c r="G49" s="118">
        <f>+F49/$F$51</f>
        <v>0.75</v>
      </c>
      <c r="H49" s="101" t="s">
        <v>50</v>
      </c>
    </row>
    <row r="50" spans="2:9" ht="14.4" thickBot="1">
      <c r="B50" s="102" t="s">
        <v>128</v>
      </c>
      <c r="C50" s="119">
        <f>C46*G50</f>
        <v>17552.742499999993</v>
      </c>
      <c r="D50" s="120" t="s">
        <v>34</v>
      </c>
      <c r="E50" s="101"/>
      <c r="F50" s="121">
        <v>250</v>
      </c>
      <c r="G50" s="118">
        <f>+F50/$F$51</f>
        <v>0.25</v>
      </c>
      <c r="H50" s="101" t="s">
        <v>52</v>
      </c>
    </row>
    <row r="51" spans="2:9">
      <c r="B51" s="102" t="s">
        <v>31</v>
      </c>
      <c r="C51" s="103">
        <f>+C49+C50</f>
        <v>149602.74249999999</v>
      </c>
      <c r="E51" s="101"/>
      <c r="F51" s="104">
        <f>SUM(F49:F50)</f>
        <v>1000</v>
      </c>
      <c r="G51" s="105"/>
      <c r="H51" s="101"/>
      <c r="I51" s="113">
        <f>C49</f>
        <v>132050</v>
      </c>
    </row>
    <row r="52" spans="2:9">
      <c r="B52" s="102" t="s">
        <v>58</v>
      </c>
      <c r="C52" s="107">
        <f>+C46</f>
        <v>70210.969999999972</v>
      </c>
      <c r="D52" s="120"/>
      <c r="E52" s="101"/>
      <c r="F52" s="101"/>
      <c r="G52" s="105"/>
      <c r="H52" s="101"/>
      <c r="I52" s="113">
        <f>C46*G49</f>
        <v>52658.227499999979</v>
      </c>
    </row>
    <row r="53" spans="2:9">
      <c r="B53" s="99" t="s">
        <v>166</v>
      </c>
      <c r="C53" s="122">
        <f>+C51-C52</f>
        <v>79391.772500000021</v>
      </c>
      <c r="D53" s="120" t="s">
        <v>140</v>
      </c>
      <c r="E53" s="101"/>
      <c r="F53" s="101"/>
      <c r="G53" s="105"/>
      <c r="H53" s="101"/>
      <c r="I53" s="113">
        <f>I51-I52</f>
        <v>79391.772500000021</v>
      </c>
    </row>
    <row r="54" spans="2:9" ht="7.5" customHeight="1" thickBot="1">
      <c r="B54" s="123"/>
      <c r="C54" s="124"/>
      <c r="G54" s="125"/>
    </row>
    <row r="55" spans="2:9" ht="14.4" thickBot="1">
      <c r="G55" s="125"/>
    </row>
    <row r="56" spans="2:9">
      <c r="B56" s="109" t="s">
        <v>56</v>
      </c>
      <c r="C56" s="110"/>
      <c r="G56" s="125"/>
    </row>
    <row r="57" spans="2:9">
      <c r="B57" s="111" t="s">
        <v>121</v>
      </c>
      <c r="C57" s="112">
        <f>+'ESF - ERI'!J58</f>
        <v>7194.99</v>
      </c>
      <c r="E57" s="101"/>
      <c r="F57" s="101"/>
      <c r="G57" s="105"/>
      <c r="H57" s="101"/>
    </row>
    <row r="58" spans="2:9">
      <c r="B58" s="114"/>
      <c r="C58" s="115"/>
      <c r="G58" s="125"/>
    </row>
    <row r="59" spans="2:9" ht="27.6">
      <c r="B59" s="116" t="s">
        <v>129</v>
      </c>
      <c r="C59" s="23" t="s">
        <v>29</v>
      </c>
      <c r="E59" s="101"/>
      <c r="F59" s="101"/>
      <c r="G59" s="105"/>
      <c r="H59" s="101"/>
    </row>
    <row r="60" spans="2:9">
      <c r="B60" s="102" t="s">
        <v>30</v>
      </c>
      <c r="C60" s="107">
        <f>+'Asientos - para Consolidado'!H9</f>
        <v>140052</v>
      </c>
      <c r="E60" s="117"/>
      <c r="F60" s="104">
        <v>4640</v>
      </c>
      <c r="G60" s="118">
        <f>+F60/$F$62</f>
        <v>0.92800000000000005</v>
      </c>
      <c r="H60" s="101" t="s">
        <v>50</v>
      </c>
    </row>
    <row r="61" spans="2:9" ht="14.4" thickBot="1">
      <c r="B61" s="102" t="s">
        <v>130</v>
      </c>
      <c r="C61" s="119">
        <f>C57*G61</f>
        <v>518.03927999999996</v>
      </c>
      <c r="D61" s="120" t="s">
        <v>34</v>
      </c>
      <c r="E61" s="101"/>
      <c r="F61" s="121">
        <v>360</v>
      </c>
      <c r="G61" s="118">
        <f>+F61/$F$62</f>
        <v>7.1999999999999995E-2</v>
      </c>
      <c r="H61" s="101" t="s">
        <v>52</v>
      </c>
    </row>
    <row r="62" spans="2:9">
      <c r="B62" s="102" t="s">
        <v>31</v>
      </c>
      <c r="C62" s="103">
        <f>+C60+C61</f>
        <v>140570.03928</v>
      </c>
      <c r="E62" s="101"/>
      <c r="F62" s="104">
        <f>SUM(F60:F61)</f>
        <v>5000</v>
      </c>
      <c r="G62" s="101"/>
      <c r="H62" s="101"/>
      <c r="I62" s="137">
        <f>C60</f>
        <v>140052</v>
      </c>
    </row>
    <row r="63" spans="2:9">
      <c r="B63" s="102" t="s">
        <v>57</v>
      </c>
      <c r="C63" s="107">
        <f>+C57</f>
        <v>7194.99</v>
      </c>
      <c r="D63" s="120"/>
      <c r="E63" s="101"/>
      <c r="F63" s="101"/>
      <c r="G63" s="101"/>
      <c r="H63" s="101"/>
      <c r="I63" s="138">
        <f>C57*G60</f>
        <v>6676.9507199999998</v>
      </c>
    </row>
    <row r="64" spans="2:9">
      <c r="B64" s="99" t="s">
        <v>166</v>
      </c>
      <c r="C64" s="122">
        <f>+C62-C63</f>
        <v>133375.04928000001</v>
      </c>
      <c r="D64" s="120" t="s">
        <v>35</v>
      </c>
      <c r="E64" s="621" t="s">
        <v>206</v>
      </c>
      <c r="F64" s="621"/>
      <c r="G64" s="101"/>
      <c r="H64" s="101"/>
      <c r="I64" s="138">
        <f>I62-I63</f>
        <v>133375.04928000001</v>
      </c>
    </row>
    <row r="65" spans="2:9" ht="7.5" customHeight="1" thickBot="1">
      <c r="B65" s="123"/>
      <c r="C65" s="124"/>
    </row>
    <row r="66" spans="2:9" ht="14.4" thickBot="1"/>
    <row r="67" spans="2:9">
      <c r="B67" s="109" t="s">
        <v>105</v>
      </c>
      <c r="C67" s="110"/>
      <c r="G67" s="125"/>
    </row>
    <row r="68" spans="2:9">
      <c r="B68" s="111" t="s">
        <v>121</v>
      </c>
      <c r="C68" s="112">
        <f>+'ESF - ERI'!K58</f>
        <v>10000</v>
      </c>
      <c r="E68" s="101"/>
      <c r="F68" s="101"/>
      <c r="G68" s="105"/>
      <c r="H68" s="101"/>
    </row>
    <row r="69" spans="2:9">
      <c r="B69" s="114"/>
      <c r="C69" s="115"/>
      <c r="G69" s="125"/>
    </row>
    <row r="70" spans="2:9" ht="27.6">
      <c r="B70" s="116" t="s">
        <v>132</v>
      </c>
      <c r="C70" s="23" t="s">
        <v>29</v>
      </c>
      <c r="E70" s="101"/>
      <c r="F70" s="101"/>
      <c r="G70" s="105"/>
      <c r="H70" s="101"/>
    </row>
    <row r="71" spans="2:9">
      <c r="B71" s="102" t="s">
        <v>30</v>
      </c>
      <c r="C71" s="107">
        <f>+'Asientos - para Consolidado'!I9</f>
        <v>6000</v>
      </c>
      <c r="E71" s="117"/>
      <c r="F71" s="104">
        <v>6000</v>
      </c>
      <c r="G71" s="118">
        <f>+F71/$F$73</f>
        <v>0.6</v>
      </c>
      <c r="H71" s="101" t="s">
        <v>50</v>
      </c>
    </row>
    <row r="72" spans="2:9" ht="14.4" thickBot="1">
      <c r="B72" s="102" t="s">
        <v>131</v>
      </c>
      <c r="C72" s="119">
        <f>C68*G72</f>
        <v>4000</v>
      </c>
      <c r="D72" s="120" t="s">
        <v>34</v>
      </c>
      <c r="E72" s="101"/>
      <c r="F72" s="121">
        <v>4000</v>
      </c>
      <c r="G72" s="118">
        <f>+F72/$F$73</f>
        <v>0.4</v>
      </c>
      <c r="H72" s="101" t="s">
        <v>52</v>
      </c>
    </row>
    <row r="73" spans="2:9">
      <c r="B73" s="102" t="s">
        <v>31</v>
      </c>
      <c r="C73" s="103">
        <f>+C71+C72</f>
        <v>10000</v>
      </c>
      <c r="E73" s="101"/>
      <c r="F73" s="104">
        <f>SUM(F71:F72)</f>
        <v>10000</v>
      </c>
      <c r="G73" s="101"/>
      <c r="H73" s="101"/>
      <c r="I73" s="137">
        <f>C71</f>
        <v>6000</v>
      </c>
    </row>
    <row r="74" spans="2:9">
      <c r="B74" s="102" t="s">
        <v>133</v>
      </c>
      <c r="C74" s="107">
        <f>+C68</f>
        <v>10000</v>
      </c>
      <c r="D74" s="120"/>
      <c r="E74" s="101"/>
      <c r="F74" s="101"/>
      <c r="G74" s="101"/>
      <c r="H74" s="101"/>
      <c r="I74" s="138">
        <f>C68*G71</f>
        <v>6000</v>
      </c>
    </row>
    <row r="75" spans="2:9">
      <c r="B75" s="99" t="s">
        <v>169</v>
      </c>
      <c r="C75" s="122">
        <f>+C73-C74</f>
        <v>0</v>
      </c>
      <c r="D75" s="120"/>
      <c r="E75" s="101"/>
      <c r="F75" s="101"/>
      <c r="G75" s="101"/>
      <c r="H75" s="101"/>
      <c r="I75" s="138">
        <f>I73-I74</f>
        <v>0</v>
      </c>
    </row>
    <row r="76" spans="2:9" ht="6.75" customHeight="1" thickBot="1">
      <c r="B76" s="123"/>
      <c r="C76" s="124"/>
    </row>
    <row r="77" spans="2:9" ht="14.4" thickBot="1"/>
    <row r="78" spans="2:9">
      <c r="B78" s="109" t="s">
        <v>60</v>
      </c>
      <c r="C78" s="110"/>
      <c r="G78" s="125"/>
    </row>
    <row r="79" spans="2:9" ht="15" customHeight="1">
      <c r="B79" s="111" t="s">
        <v>121</v>
      </c>
      <c r="C79" s="112">
        <f>+'ESF - ERI'!L58+881973</f>
        <v>883113.17</v>
      </c>
      <c r="D79" s="618" t="s">
        <v>208</v>
      </c>
      <c r="E79" s="619"/>
      <c r="F79" s="619"/>
      <c r="G79" s="619"/>
      <c r="H79" s="619"/>
    </row>
    <row r="80" spans="2:9">
      <c r="B80" s="114"/>
      <c r="C80" s="115"/>
      <c r="G80" s="125"/>
    </row>
    <row r="81" spans="2:9" ht="27.6">
      <c r="B81" s="116" t="s">
        <v>135</v>
      </c>
      <c r="C81" s="23" t="s">
        <v>29</v>
      </c>
      <c r="E81" s="101"/>
      <c r="F81" s="101"/>
      <c r="G81" s="105"/>
      <c r="H81" s="101"/>
    </row>
    <row r="82" spans="2:9">
      <c r="B82" s="102" t="s">
        <v>30</v>
      </c>
      <c r="C82" s="107">
        <f>+'Asientos - para Consolidado'!J9</f>
        <v>1114176</v>
      </c>
      <c r="E82" s="117"/>
      <c r="F82" s="104">
        <v>799.96</v>
      </c>
      <c r="G82" s="118">
        <f>+F82/$F$84</f>
        <v>0.99995000000000001</v>
      </c>
      <c r="H82" s="101" t="s">
        <v>50</v>
      </c>
    </row>
    <row r="83" spans="2:9" ht="14.4" thickBot="1">
      <c r="B83" s="102" t="s">
        <v>139</v>
      </c>
      <c r="C83" s="119">
        <f>C79*G83</f>
        <v>44.155658500000001</v>
      </c>
      <c r="D83" s="120" t="s">
        <v>34</v>
      </c>
      <c r="E83" s="101"/>
      <c r="F83" s="121">
        <v>0.04</v>
      </c>
      <c r="G83" s="118">
        <f>+F83/$F$84</f>
        <v>5.0000000000000002E-5</v>
      </c>
      <c r="H83" s="101" t="s">
        <v>52</v>
      </c>
    </row>
    <row r="84" spans="2:9">
      <c r="B84" s="102" t="s">
        <v>31</v>
      </c>
      <c r="C84" s="103">
        <f>+C82+C83</f>
        <v>1114220.1556585</v>
      </c>
      <c r="E84" s="101"/>
      <c r="F84" s="104">
        <f>SUM(F82:F83)</f>
        <v>800</v>
      </c>
      <c r="G84" s="101"/>
      <c r="H84" s="101"/>
    </row>
    <row r="85" spans="2:9">
      <c r="B85" s="102" t="s">
        <v>61</v>
      </c>
      <c r="C85" s="107">
        <f>+C79</f>
        <v>883113.17</v>
      </c>
      <c r="D85" s="120"/>
      <c r="E85" s="101"/>
      <c r="F85" s="101"/>
      <c r="G85" s="101"/>
      <c r="H85" s="101"/>
      <c r="I85" s="113">
        <f>C82</f>
        <v>1114176</v>
      </c>
    </row>
    <row r="86" spans="2:9">
      <c r="B86" s="99" t="s">
        <v>166</v>
      </c>
      <c r="C86" s="122">
        <f>+C84-C85</f>
        <v>231106.98565849999</v>
      </c>
      <c r="D86" s="120" t="s">
        <v>140</v>
      </c>
      <c r="E86" s="101"/>
      <c r="F86" s="101"/>
      <c r="G86" s="101"/>
      <c r="H86" s="101"/>
      <c r="I86" s="113">
        <f>C79*G82</f>
        <v>883069.01434150001</v>
      </c>
    </row>
    <row r="87" spans="2:9" ht="15.75" customHeight="1" thickBot="1">
      <c r="B87" s="123"/>
      <c r="C87" s="124"/>
      <c r="I87" s="113">
        <f>I85-I86</f>
        <v>231106.98565849999</v>
      </c>
    </row>
    <row r="88" spans="2:9" ht="14.4" thickBot="1"/>
    <row r="89" spans="2:9">
      <c r="B89" s="109" t="s">
        <v>134</v>
      </c>
      <c r="C89" s="110"/>
      <c r="G89" s="125"/>
    </row>
    <row r="90" spans="2:9">
      <c r="B90" s="111" t="s">
        <v>121</v>
      </c>
      <c r="C90" s="112">
        <f>+'ESF - ERI'!M58</f>
        <v>800</v>
      </c>
      <c r="E90" s="101"/>
      <c r="F90" s="101"/>
      <c r="G90" s="105"/>
      <c r="H90" s="101"/>
    </row>
    <row r="91" spans="2:9">
      <c r="B91" s="114"/>
      <c r="C91" s="115"/>
      <c r="G91" s="125"/>
    </row>
    <row r="92" spans="2:9" ht="27.6">
      <c r="B92" s="116" t="s">
        <v>136</v>
      </c>
      <c r="C92" s="23" t="s">
        <v>29</v>
      </c>
      <c r="E92" s="101"/>
      <c r="F92" s="101"/>
      <c r="G92" s="105"/>
      <c r="H92" s="101"/>
    </row>
    <row r="93" spans="2:9">
      <c r="B93" s="102" t="s">
        <v>30</v>
      </c>
      <c r="C93" s="107">
        <f>+'Asientos - para Consolidado'!K9</f>
        <v>740</v>
      </c>
      <c r="E93" s="117"/>
      <c r="F93" s="104">
        <v>740</v>
      </c>
      <c r="G93" s="118">
        <f>+F93/$F$95</f>
        <v>0.92500000000000004</v>
      </c>
      <c r="H93" s="101" t="s">
        <v>50</v>
      </c>
    </row>
    <row r="94" spans="2:9" ht="14.4" thickBot="1">
      <c r="B94" s="102" t="s">
        <v>137</v>
      </c>
      <c r="C94" s="119">
        <f>C90*G94</f>
        <v>60</v>
      </c>
      <c r="D94" s="120" t="s">
        <v>34</v>
      </c>
      <c r="E94" s="101"/>
      <c r="F94" s="121">
        <v>60</v>
      </c>
      <c r="G94" s="118">
        <f>+F94/$F$95</f>
        <v>7.4999999999999997E-2</v>
      </c>
      <c r="H94" s="101" t="s">
        <v>52</v>
      </c>
    </row>
    <row r="95" spans="2:9">
      <c r="B95" s="102" t="s">
        <v>31</v>
      </c>
      <c r="C95" s="103">
        <f>+C93+C94</f>
        <v>800</v>
      </c>
      <c r="E95" s="101"/>
      <c r="F95" s="104">
        <f>SUM(F93:F94)</f>
        <v>800</v>
      </c>
      <c r="G95" s="101"/>
      <c r="H95" s="101"/>
      <c r="I95" s="137">
        <f>C93</f>
        <v>740</v>
      </c>
    </row>
    <row r="96" spans="2:9">
      <c r="B96" s="102" t="s">
        <v>138</v>
      </c>
      <c r="C96" s="107">
        <f>+C90</f>
        <v>800</v>
      </c>
      <c r="D96" s="120"/>
      <c r="E96" s="101"/>
      <c r="F96" s="101"/>
      <c r="G96" s="101"/>
      <c r="H96" s="101"/>
      <c r="I96" s="138">
        <f>C90*G93</f>
        <v>740</v>
      </c>
    </row>
    <row r="97" spans="2:9">
      <c r="B97" s="99" t="s">
        <v>169</v>
      </c>
      <c r="C97" s="122">
        <f>+C95-C96</f>
        <v>0</v>
      </c>
      <c r="D97" s="120"/>
      <c r="E97" s="101"/>
      <c r="F97" s="101"/>
      <c r="G97" s="101"/>
      <c r="H97" s="101"/>
      <c r="I97" s="138">
        <f>I95-I96</f>
        <v>0</v>
      </c>
    </row>
    <row r="98" spans="2:9" ht="6.75" customHeight="1" thickBot="1">
      <c r="B98" s="123"/>
      <c r="C98" s="124"/>
    </row>
    <row r="99" spans="2:9">
      <c r="B99" s="128"/>
      <c r="C99" s="129"/>
    </row>
    <row r="100" spans="2:9">
      <c r="B100" s="128"/>
      <c r="C100" s="129"/>
    </row>
    <row r="101" spans="2:9" ht="15" customHeight="1">
      <c r="B101" s="130" t="s">
        <v>62</v>
      </c>
      <c r="C101" s="131">
        <f>+C17+C28+C39+C50+C61+C72+C83+C94+C6</f>
        <v>9357519.0706554651</v>
      </c>
      <c r="D101" s="620" t="s">
        <v>64</v>
      </c>
      <c r="E101" s="620"/>
      <c r="F101" s="620"/>
      <c r="G101" s="620"/>
      <c r="H101" s="132"/>
    </row>
    <row r="102" spans="2:9" ht="14.4">
      <c r="B102" s="130" t="s">
        <v>63</v>
      </c>
      <c r="C102" s="131">
        <f>+C9+C31+C64+C42</f>
        <v>828548.36364874605</v>
      </c>
      <c r="D102" s="620" t="s">
        <v>209</v>
      </c>
      <c r="E102" s="620"/>
      <c r="F102" s="620"/>
      <c r="G102" s="620"/>
      <c r="H102" s="620"/>
    </row>
    <row r="103" spans="2:9" ht="14.4">
      <c r="B103" s="130" t="s">
        <v>141</v>
      </c>
      <c r="C103" s="131">
        <f>+C86+C53+C20</f>
        <v>394335.36694421433</v>
      </c>
      <c r="D103" s="620" t="s">
        <v>166</v>
      </c>
      <c r="E103" s="620"/>
      <c r="F103" s="620"/>
      <c r="G103" s="620"/>
    </row>
    <row r="105" spans="2:9">
      <c r="E105" s="135"/>
    </row>
  </sheetData>
  <mergeCells count="12">
    <mergeCell ref="D103:G103"/>
    <mergeCell ref="D102:H102"/>
    <mergeCell ref="D101:G101"/>
    <mergeCell ref="E64:F64"/>
    <mergeCell ref="E42:F42"/>
    <mergeCell ref="E31:F31"/>
    <mergeCell ref="E9:F9"/>
    <mergeCell ref="D79:H79"/>
    <mergeCell ref="D8:H8"/>
    <mergeCell ref="D13:H13"/>
    <mergeCell ref="D35:H35"/>
    <mergeCell ref="D46:H46"/>
  </mergeCells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topLeftCell="A2" workbookViewId="0">
      <selection activeCell="B8" sqref="B8"/>
    </sheetView>
  </sheetViews>
  <sheetFormatPr baseColWidth="10" defaultColWidth="11.44140625" defaultRowHeight="13.2"/>
  <cols>
    <col min="1" max="1" width="11.44140625" style="63"/>
    <col min="2" max="2" width="25.6640625" style="63" bestFit="1" customWidth="1"/>
    <col min="3" max="16384" width="11.44140625" style="63"/>
  </cols>
  <sheetData>
    <row r="1" spans="2:5">
      <c r="C1" s="622" t="s">
        <v>116</v>
      </c>
      <c r="D1" s="623"/>
    </row>
    <row r="2" spans="2:5">
      <c r="C2" s="64" t="s">
        <v>114</v>
      </c>
      <c r="D2" s="64">
        <v>101</v>
      </c>
    </row>
    <row r="3" spans="2:5">
      <c r="B3" s="67" t="s">
        <v>107</v>
      </c>
      <c r="C3" s="65">
        <v>77</v>
      </c>
      <c r="D3" s="65">
        <v>70.5</v>
      </c>
    </row>
    <row r="4" spans="2:5">
      <c r="B4" s="68" t="s">
        <v>108</v>
      </c>
      <c r="C4" s="65">
        <v>113.8</v>
      </c>
      <c r="D4" s="65">
        <v>137.05000000000001</v>
      </c>
    </row>
    <row r="5" spans="2:5">
      <c r="B5" s="68" t="s">
        <v>109</v>
      </c>
      <c r="C5" s="65">
        <v>72</v>
      </c>
      <c r="D5" s="65">
        <v>67.55</v>
      </c>
    </row>
    <row r="6" spans="2:5">
      <c r="B6" s="68" t="s">
        <v>110</v>
      </c>
      <c r="C6" s="65">
        <v>52.9</v>
      </c>
      <c r="D6" s="65">
        <v>53.3</v>
      </c>
    </row>
    <row r="7" spans="2:5">
      <c r="B7" s="68" t="s">
        <v>41</v>
      </c>
      <c r="C7" s="65">
        <v>65.8</v>
      </c>
      <c r="D7" s="65">
        <v>76.98</v>
      </c>
    </row>
    <row r="8" spans="2:5">
      <c r="B8" s="68" t="s">
        <v>111</v>
      </c>
      <c r="C8" s="65">
        <v>124.6</v>
      </c>
      <c r="D8" s="65">
        <v>140.44</v>
      </c>
    </row>
    <row r="9" spans="2:5">
      <c r="B9" s="68" t="s">
        <v>115</v>
      </c>
      <c r="C9" s="65">
        <f>-(+C8+C10+C11-C12)</f>
        <v>-106.96</v>
      </c>
      <c r="D9" s="65">
        <f>-(+D8+D10+D11-D12)</f>
        <v>-116.58</v>
      </c>
    </row>
    <row r="10" spans="2:5">
      <c r="B10" s="68" t="s">
        <v>112</v>
      </c>
      <c r="C10" s="65">
        <v>-2.64</v>
      </c>
      <c r="D10" s="65">
        <v>-2.9</v>
      </c>
    </row>
    <row r="11" spans="2:5">
      <c r="B11" s="68" t="s">
        <v>23</v>
      </c>
      <c r="C11" s="65">
        <v>-1.6</v>
      </c>
      <c r="D11" s="65">
        <v>-1.6</v>
      </c>
    </row>
    <row r="12" spans="2:5">
      <c r="B12" s="69" t="s">
        <v>113</v>
      </c>
      <c r="C12" s="66">
        <v>13.4</v>
      </c>
      <c r="D12" s="66">
        <v>19.36</v>
      </c>
    </row>
    <row r="14" spans="2:5">
      <c r="C14" s="622" t="s">
        <v>117</v>
      </c>
      <c r="D14" s="624"/>
      <c r="E14" s="623"/>
    </row>
    <row r="15" spans="2:5" ht="26.4">
      <c r="C15" s="71" t="s">
        <v>118</v>
      </c>
      <c r="D15" s="70">
        <v>101</v>
      </c>
      <c r="E15" s="71" t="s">
        <v>119</v>
      </c>
    </row>
    <row r="16" spans="2:5">
      <c r="B16" s="67" t="s">
        <v>107</v>
      </c>
      <c r="C16" s="65"/>
      <c r="D16" s="65"/>
      <c r="E16" s="65">
        <v>82.6</v>
      </c>
    </row>
    <row r="17" spans="2:5">
      <c r="B17" s="68" t="s">
        <v>108</v>
      </c>
      <c r="C17" s="65"/>
      <c r="D17" s="65"/>
      <c r="E17" s="65">
        <v>118.2</v>
      </c>
    </row>
    <row r="18" spans="2:5">
      <c r="B18" s="68" t="s">
        <v>109</v>
      </c>
      <c r="C18" s="65"/>
      <c r="D18" s="65"/>
      <c r="E18" s="65">
        <v>85.8</v>
      </c>
    </row>
    <row r="19" spans="2:5">
      <c r="B19" s="68" t="s">
        <v>110</v>
      </c>
      <c r="C19" s="65"/>
      <c r="D19" s="65"/>
      <c r="E19" s="65">
        <v>59.5</v>
      </c>
    </row>
    <row r="20" spans="2:5">
      <c r="B20" s="68" t="s">
        <v>41</v>
      </c>
      <c r="C20" s="65"/>
      <c r="D20" s="65"/>
      <c r="E20" s="65">
        <v>55.5</v>
      </c>
    </row>
    <row r="21" spans="2:5">
      <c r="B21" s="68" t="s">
        <v>111</v>
      </c>
      <c r="C21" s="65"/>
      <c r="D21" s="65"/>
      <c r="E21" s="65">
        <v>104.1</v>
      </c>
    </row>
    <row r="22" spans="2:5">
      <c r="B22" s="68" t="s">
        <v>115</v>
      </c>
      <c r="C22" s="65"/>
      <c r="D22" s="65"/>
      <c r="E22" s="65">
        <f>-(+E21+E23+E24-E25)</f>
        <v>-74.099999999999994</v>
      </c>
    </row>
    <row r="23" spans="2:5">
      <c r="B23" s="68" t="s">
        <v>112</v>
      </c>
      <c r="C23" s="65"/>
      <c r="D23" s="65"/>
      <c r="E23" s="65">
        <v>-3.4</v>
      </c>
    </row>
    <row r="24" spans="2:5">
      <c r="B24" s="68" t="s">
        <v>23</v>
      </c>
      <c r="C24" s="65"/>
      <c r="D24" s="65"/>
      <c r="E24" s="65">
        <v>-1.8</v>
      </c>
    </row>
    <row r="25" spans="2:5">
      <c r="B25" s="69" t="s">
        <v>113</v>
      </c>
      <c r="C25" s="66"/>
      <c r="D25" s="66"/>
      <c r="E25" s="66">
        <v>24.8</v>
      </c>
    </row>
  </sheetData>
  <mergeCells count="2">
    <mergeCell ref="C1:D1"/>
    <mergeCell ref="C14:E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A1:W80"/>
  <sheetViews>
    <sheetView showGridLines="0" topLeftCell="B48" zoomScale="60" zoomScaleNormal="60" workbookViewId="0">
      <selection activeCell="Q80" sqref="Q80"/>
    </sheetView>
  </sheetViews>
  <sheetFormatPr baseColWidth="10" defaultColWidth="11.44140625" defaultRowHeight="12.6"/>
  <cols>
    <col min="1" max="1" width="47.6640625" style="449" bestFit="1" customWidth="1"/>
    <col min="2" max="2" width="17.33203125" style="449" bestFit="1" customWidth="1"/>
    <col min="3" max="3" width="17.109375" style="449" customWidth="1"/>
    <col min="4" max="4" width="19.109375" style="449" customWidth="1"/>
    <col min="5" max="5" width="14.109375" style="449" bestFit="1" customWidth="1"/>
    <col min="6" max="6" width="14.6640625" style="449" bestFit="1" customWidth="1"/>
    <col min="7" max="7" width="13.6640625" style="449" customWidth="1"/>
    <col min="8" max="8" width="16.33203125" style="449" customWidth="1"/>
    <col min="9" max="9" width="14.88671875" style="449" bestFit="1" customWidth="1"/>
    <col min="10" max="10" width="15.88671875" style="449" customWidth="1"/>
    <col min="11" max="11" width="14.88671875" style="449" bestFit="1" customWidth="1"/>
    <col min="12" max="12" width="14.44140625" style="449" bestFit="1" customWidth="1"/>
    <col min="13" max="13" width="15.88671875" style="449" customWidth="1"/>
    <col min="14" max="14" width="18" style="449" customWidth="1"/>
    <col min="15" max="15" width="8.33203125" style="449" customWidth="1"/>
    <col min="16" max="17" width="16.33203125" style="449" bestFit="1" customWidth="1"/>
    <col min="18" max="18" width="17.44140625" style="449" customWidth="1"/>
    <col min="19" max="19" width="14.33203125" style="449" bestFit="1" customWidth="1"/>
    <col min="20" max="20" width="14.44140625" style="449" customWidth="1"/>
    <col min="21" max="21" width="11.44140625" style="449"/>
    <col min="22" max="22" width="14" style="449" customWidth="1"/>
    <col min="23" max="23" width="13.33203125" style="449" customWidth="1"/>
    <col min="24" max="16384" width="11.44140625" style="449"/>
  </cols>
  <sheetData>
    <row r="1" spans="1:22">
      <c r="A1" s="448" t="s">
        <v>49</v>
      </c>
      <c r="C1" s="450"/>
    </row>
    <row r="2" spans="1:22">
      <c r="A2" s="451" t="s">
        <v>36</v>
      </c>
      <c r="C2" s="452"/>
    </row>
    <row r="3" spans="1:22" ht="24.75" customHeight="1">
      <c r="A3" s="453"/>
      <c r="E3" s="450"/>
      <c r="P3" s="625" t="s">
        <v>11</v>
      </c>
      <c r="Q3" s="626"/>
    </row>
    <row r="4" spans="1:22" ht="78" customHeight="1">
      <c r="A4" s="484" t="s">
        <v>4</v>
      </c>
      <c r="B4" s="485" t="s">
        <v>525</v>
      </c>
      <c r="C4" s="485" t="s">
        <v>535</v>
      </c>
      <c r="D4" s="485" t="s">
        <v>526</v>
      </c>
      <c r="E4" s="485" t="s">
        <v>527</v>
      </c>
      <c r="F4" s="485" t="s">
        <v>528</v>
      </c>
      <c r="G4" s="485" t="s">
        <v>529</v>
      </c>
      <c r="H4" s="485" t="s">
        <v>530</v>
      </c>
      <c r="I4" s="485" t="s">
        <v>536</v>
      </c>
      <c r="J4" s="485" t="s">
        <v>534</v>
      </c>
      <c r="K4" s="485" t="s">
        <v>531</v>
      </c>
      <c r="L4" s="485" t="s">
        <v>532</v>
      </c>
      <c r="M4" s="485" t="s">
        <v>533</v>
      </c>
      <c r="N4" s="485" t="s">
        <v>15</v>
      </c>
      <c r="O4" s="485" t="s">
        <v>10</v>
      </c>
      <c r="P4" s="485" t="s">
        <v>12</v>
      </c>
      <c r="Q4" s="485" t="s">
        <v>13</v>
      </c>
      <c r="R4" s="485" t="s">
        <v>431</v>
      </c>
    </row>
    <row r="5" spans="1:22" ht="15.75" customHeight="1">
      <c r="A5" s="454" t="s">
        <v>22</v>
      </c>
      <c r="B5" s="455">
        <v>1607132</v>
      </c>
      <c r="C5" s="455">
        <v>42926</v>
      </c>
      <c r="D5" s="455">
        <v>6856</v>
      </c>
      <c r="E5" s="455">
        <v>2227</v>
      </c>
      <c r="F5" s="455">
        <v>3845</v>
      </c>
      <c r="G5" s="455">
        <v>0</v>
      </c>
      <c r="H5" s="455">
        <v>0</v>
      </c>
      <c r="I5" s="455">
        <v>10000</v>
      </c>
      <c r="J5" s="455">
        <v>0</v>
      </c>
      <c r="K5" s="455">
        <v>5631</v>
      </c>
      <c r="L5" s="455">
        <v>10301</v>
      </c>
      <c r="M5" s="455">
        <v>53644</v>
      </c>
      <c r="N5" s="456">
        <f>SUM(B5:M5)</f>
        <v>1742562</v>
      </c>
      <c r="O5" s="457"/>
      <c r="P5" s="455"/>
      <c r="Q5" s="455"/>
      <c r="R5" s="538">
        <f>N5+P5-Q5</f>
        <v>1742562</v>
      </c>
    </row>
    <row r="6" spans="1:22" ht="27.75" customHeight="1">
      <c r="A6" s="454" t="s">
        <v>65</v>
      </c>
      <c r="B6" s="455">
        <v>2644455</v>
      </c>
      <c r="C6" s="455">
        <v>0</v>
      </c>
      <c r="D6" s="455">
        <v>0</v>
      </c>
      <c r="E6" s="455">
        <v>0</v>
      </c>
      <c r="F6" s="455">
        <v>0</v>
      </c>
      <c r="G6" s="455">
        <v>0</v>
      </c>
      <c r="H6" s="455">
        <v>0</v>
      </c>
      <c r="I6" s="455">
        <v>0</v>
      </c>
      <c r="J6" s="455">
        <v>0</v>
      </c>
      <c r="K6" s="455">
        <v>0</v>
      </c>
      <c r="L6" s="455">
        <v>0</v>
      </c>
      <c r="M6" s="455">
        <v>0</v>
      </c>
      <c r="N6" s="456">
        <f t="shared" ref="N6:N22" si="0">SUM(B6:M6)</f>
        <v>2644455</v>
      </c>
      <c r="O6" s="457"/>
      <c r="P6" s="455"/>
      <c r="Q6" s="455"/>
      <c r="R6" s="538">
        <f>N6+P6-Q6</f>
        <v>2644455</v>
      </c>
    </row>
    <row r="7" spans="1:22" ht="26.25" customHeight="1">
      <c r="A7" s="454" t="s">
        <v>66</v>
      </c>
      <c r="B7" s="455">
        <v>102620</v>
      </c>
      <c r="C7" s="455">
        <v>0</v>
      </c>
      <c r="D7" s="455">
        <v>0</v>
      </c>
      <c r="E7" s="455">
        <v>0</v>
      </c>
      <c r="F7" s="455">
        <v>0</v>
      </c>
      <c r="G7" s="455">
        <v>0</v>
      </c>
      <c r="H7" s="455">
        <v>0</v>
      </c>
      <c r="I7" s="455">
        <v>0</v>
      </c>
      <c r="J7" s="455">
        <v>0</v>
      </c>
      <c r="K7" s="455">
        <v>0</v>
      </c>
      <c r="L7" s="455">
        <v>0</v>
      </c>
      <c r="M7" s="455">
        <v>0</v>
      </c>
      <c r="N7" s="456">
        <f t="shared" si="0"/>
        <v>102620</v>
      </c>
      <c r="O7" s="457"/>
      <c r="P7" s="455"/>
      <c r="Q7" s="455"/>
      <c r="R7" s="538">
        <f>N7+P7-Q7</f>
        <v>102620</v>
      </c>
    </row>
    <row r="8" spans="1:22" ht="15.75" customHeight="1">
      <c r="A8" s="454" t="s">
        <v>67</v>
      </c>
      <c r="B8" s="455">
        <v>10565005</v>
      </c>
      <c r="C8" s="455">
        <v>4461516</v>
      </c>
      <c r="D8" s="455">
        <v>273861</v>
      </c>
      <c r="E8" s="455">
        <v>0</v>
      </c>
      <c r="F8" s="455">
        <v>18892</v>
      </c>
      <c r="G8" s="455">
        <v>0</v>
      </c>
      <c r="H8" s="455">
        <v>0</v>
      </c>
      <c r="I8" s="455">
        <v>0</v>
      </c>
      <c r="J8" s="455">
        <v>0</v>
      </c>
      <c r="K8" s="455">
        <v>41672</v>
      </c>
      <c r="L8" s="455">
        <f>81977-46414</f>
        <v>35563</v>
      </c>
      <c r="M8" s="455">
        <v>166895</v>
      </c>
      <c r="N8" s="456">
        <f t="shared" si="0"/>
        <v>15563404</v>
      </c>
      <c r="O8" s="457" t="s">
        <v>286</v>
      </c>
      <c r="P8" s="455"/>
      <c r="Q8" s="455">
        <f>+'Diarios Cxc Cxp relac (c)'!E36</f>
        <v>0</v>
      </c>
      <c r="R8" s="538">
        <f t="shared" ref="R8:R22" si="1">N8+P8-Q8</f>
        <v>15563404</v>
      </c>
      <c r="T8" s="450"/>
    </row>
    <row r="9" spans="1:22">
      <c r="A9" s="454" t="s">
        <v>5</v>
      </c>
      <c r="B9" s="455">
        <v>32908556</v>
      </c>
      <c r="C9" s="455">
        <v>2044176</v>
      </c>
      <c r="D9" s="455">
        <v>717537</v>
      </c>
      <c r="E9" s="455">
        <v>990080</v>
      </c>
      <c r="F9" s="455">
        <v>0</v>
      </c>
      <c r="G9" s="455">
        <v>0</v>
      </c>
      <c r="H9" s="455">
        <v>0</v>
      </c>
      <c r="I9" s="455">
        <v>0</v>
      </c>
      <c r="J9" s="455">
        <v>0</v>
      </c>
      <c r="K9" s="455">
        <v>0</v>
      </c>
      <c r="L9" s="455">
        <v>0</v>
      </c>
      <c r="M9" s="455">
        <v>10000</v>
      </c>
      <c r="N9" s="456">
        <f t="shared" si="0"/>
        <v>36670349</v>
      </c>
      <c r="O9" s="457" t="s">
        <v>286</v>
      </c>
      <c r="P9" s="455"/>
      <c r="Q9" s="455">
        <v>11595352</v>
      </c>
      <c r="R9" s="538">
        <f t="shared" si="1"/>
        <v>25074997</v>
      </c>
    </row>
    <row r="10" spans="1:22" ht="15.75" customHeight="1">
      <c r="A10" s="454" t="s">
        <v>68</v>
      </c>
      <c r="B10" s="455">
        <v>5481731</v>
      </c>
      <c r="C10" s="455">
        <v>4477</v>
      </c>
      <c r="D10" s="455">
        <v>0</v>
      </c>
      <c r="E10" s="455">
        <v>0</v>
      </c>
      <c r="F10" s="455"/>
      <c r="G10" s="455">
        <v>0</v>
      </c>
      <c r="H10" s="455">
        <v>0</v>
      </c>
      <c r="I10" s="455">
        <v>0</v>
      </c>
      <c r="J10" s="455">
        <v>0</v>
      </c>
      <c r="K10" s="455">
        <v>448</v>
      </c>
      <c r="L10" s="455">
        <f>35886+1569+4835</f>
        <v>42290</v>
      </c>
      <c r="M10" s="455">
        <v>9502</v>
      </c>
      <c r="N10" s="456">
        <f t="shared" si="0"/>
        <v>5538448</v>
      </c>
      <c r="O10" s="457" t="s">
        <v>286</v>
      </c>
      <c r="P10" s="455"/>
      <c r="Q10" s="455">
        <f>'Diarios Cxc Cxp relac (c)'!E35</f>
        <v>0</v>
      </c>
      <c r="R10" s="538">
        <f t="shared" si="1"/>
        <v>5538448</v>
      </c>
    </row>
    <row r="11" spans="1:22" ht="15.75" customHeight="1">
      <c r="A11" s="454" t="s">
        <v>69</v>
      </c>
      <c r="B11" s="455">
        <v>480186</v>
      </c>
      <c r="C11" s="455">
        <v>0</v>
      </c>
      <c r="D11" s="455">
        <v>60656</v>
      </c>
      <c r="E11" s="455">
        <v>134914</v>
      </c>
      <c r="F11" s="455">
        <v>123577</v>
      </c>
      <c r="G11" s="455">
        <v>0</v>
      </c>
      <c r="H11" s="455">
        <v>7989</v>
      </c>
      <c r="I11" s="455">
        <v>0</v>
      </c>
      <c r="J11" s="455">
        <v>0</v>
      </c>
      <c r="K11" s="455">
        <v>242520</v>
      </c>
      <c r="L11" s="455">
        <v>74937</v>
      </c>
      <c r="M11" s="455" t="s">
        <v>347</v>
      </c>
      <c r="N11" s="456">
        <f t="shared" si="0"/>
        <v>1124779</v>
      </c>
      <c r="O11" s="457"/>
      <c r="P11" s="455"/>
      <c r="Q11" s="455"/>
      <c r="R11" s="538">
        <f t="shared" si="1"/>
        <v>1124779</v>
      </c>
    </row>
    <row r="12" spans="1:22" ht="15.75" customHeight="1">
      <c r="A12" s="454" t="s">
        <v>70</v>
      </c>
      <c r="B12" s="455">
        <v>625964</v>
      </c>
      <c r="C12" s="455">
        <v>0</v>
      </c>
      <c r="D12" s="455">
        <v>152</v>
      </c>
      <c r="E12" s="455">
        <v>0</v>
      </c>
      <c r="F12" s="455">
        <v>0</v>
      </c>
      <c r="G12" s="455">
        <v>0</v>
      </c>
      <c r="H12" s="455">
        <v>0</v>
      </c>
      <c r="I12" s="455">
        <v>0</v>
      </c>
      <c r="J12" s="455">
        <v>0</v>
      </c>
      <c r="K12" s="455">
        <v>16068</v>
      </c>
      <c r="L12" s="455">
        <v>0</v>
      </c>
      <c r="M12" s="455">
        <v>0</v>
      </c>
      <c r="N12" s="456">
        <f t="shared" si="0"/>
        <v>642184</v>
      </c>
      <c r="O12" s="457"/>
      <c r="P12" s="455"/>
      <c r="Q12" s="455"/>
      <c r="R12" s="538">
        <f t="shared" si="1"/>
        <v>642184</v>
      </c>
    </row>
    <row r="13" spans="1:22" ht="15.75" customHeight="1">
      <c r="A13" s="454" t="s">
        <v>6</v>
      </c>
      <c r="B13" s="455">
        <v>14883321</v>
      </c>
      <c r="C13" s="455">
        <v>0</v>
      </c>
      <c r="D13" s="455">
        <v>1706</v>
      </c>
      <c r="E13" s="455">
        <v>0</v>
      </c>
      <c r="F13" s="455">
        <v>0</v>
      </c>
      <c r="G13" s="455">
        <v>0</v>
      </c>
      <c r="H13" s="455">
        <v>0</v>
      </c>
      <c r="I13" s="455">
        <v>0</v>
      </c>
      <c r="J13" s="455">
        <v>0</v>
      </c>
      <c r="K13" s="455">
        <v>11306</v>
      </c>
      <c r="L13" s="455">
        <v>0</v>
      </c>
      <c r="M13" s="455">
        <v>0</v>
      </c>
      <c r="N13" s="456">
        <f t="shared" si="0"/>
        <v>14896333</v>
      </c>
      <c r="O13" s="457"/>
      <c r="P13" s="455"/>
      <c r="Q13" s="455">
        <f>'Ventas-Compras (d)'!E30</f>
        <v>11306</v>
      </c>
      <c r="R13" s="538">
        <f t="shared" si="1"/>
        <v>14885027</v>
      </c>
    </row>
    <row r="14" spans="1:22" ht="15.75" customHeight="1">
      <c r="A14" s="454" t="s">
        <v>290</v>
      </c>
      <c r="B14" s="455">
        <v>40694</v>
      </c>
      <c r="C14" s="455">
        <v>0</v>
      </c>
      <c r="D14" s="455">
        <v>0</v>
      </c>
      <c r="E14" s="455">
        <v>0</v>
      </c>
      <c r="F14" s="455">
        <v>0</v>
      </c>
      <c r="G14" s="455">
        <v>0</v>
      </c>
      <c r="H14" s="455">
        <v>0</v>
      </c>
      <c r="I14" s="455">
        <v>0</v>
      </c>
      <c r="J14" s="455">
        <v>0</v>
      </c>
      <c r="K14" s="455">
        <v>0</v>
      </c>
      <c r="L14" s="455">
        <v>0</v>
      </c>
      <c r="M14" s="455">
        <v>0</v>
      </c>
      <c r="N14" s="456">
        <f t="shared" si="0"/>
        <v>40694</v>
      </c>
      <c r="O14" s="457" t="s">
        <v>286</v>
      </c>
      <c r="P14" s="455"/>
      <c r="Q14" s="455">
        <f>'Diarios Cxc Cxp relac (c)'!E34</f>
        <v>40694</v>
      </c>
      <c r="R14" s="539">
        <f t="shared" si="1"/>
        <v>0</v>
      </c>
    </row>
    <row r="15" spans="1:22" ht="15.75" customHeight="1">
      <c r="A15" s="454" t="s">
        <v>72</v>
      </c>
      <c r="B15" s="455">
        <v>3212434</v>
      </c>
      <c r="C15" s="455">
        <v>0</v>
      </c>
      <c r="D15" s="455">
        <v>0</v>
      </c>
      <c r="E15" s="455">
        <v>0</v>
      </c>
      <c r="F15" s="455">
        <v>0</v>
      </c>
      <c r="G15" s="455">
        <v>0</v>
      </c>
      <c r="H15" s="455">
        <v>0</v>
      </c>
      <c r="I15" s="455">
        <v>0</v>
      </c>
      <c r="J15" s="455">
        <v>0</v>
      </c>
      <c r="K15" s="455">
        <v>0</v>
      </c>
      <c r="L15" s="455">
        <v>0</v>
      </c>
      <c r="M15" s="455">
        <v>0</v>
      </c>
      <c r="N15" s="456">
        <f t="shared" si="0"/>
        <v>3212434</v>
      </c>
      <c r="O15" s="457"/>
      <c r="P15" s="455"/>
      <c r="Q15" s="455"/>
      <c r="R15" s="538">
        <f t="shared" si="1"/>
        <v>3212434</v>
      </c>
      <c r="V15" s="450">
        <f>B15-R15</f>
        <v>0</v>
      </c>
    </row>
    <row r="16" spans="1:22" ht="14.25" customHeight="1">
      <c r="A16" s="454" t="s">
        <v>73</v>
      </c>
      <c r="B16" s="455">
        <v>66573020</v>
      </c>
      <c r="C16" s="455">
        <v>44671913</v>
      </c>
      <c r="D16" s="455">
        <v>3233810</v>
      </c>
      <c r="E16" s="455">
        <v>33545</v>
      </c>
      <c r="F16" s="455">
        <v>218631</v>
      </c>
      <c r="G16" s="455">
        <v>373713</v>
      </c>
      <c r="H16" s="455">
        <v>0</v>
      </c>
      <c r="I16" s="455">
        <v>0</v>
      </c>
      <c r="J16" s="455">
        <v>1140</v>
      </c>
      <c r="K16" s="455">
        <v>1718909</v>
      </c>
      <c r="L16" s="455">
        <v>367967</v>
      </c>
      <c r="M16" s="455">
        <v>204656</v>
      </c>
      <c r="N16" s="456">
        <f t="shared" si="0"/>
        <v>117397304</v>
      </c>
      <c r="O16" s="457" t="s">
        <v>285</v>
      </c>
      <c r="P16" s="455">
        <f>'Diario 2015 (a)'!C10</f>
        <v>881973.00000000559</v>
      </c>
      <c r="Q16" s="455">
        <v>5392876</v>
      </c>
      <c r="R16" s="538">
        <f t="shared" si="1"/>
        <v>112886401</v>
      </c>
      <c r="S16" s="450"/>
    </row>
    <row r="17" spans="1:20" ht="15.75" customHeight="1">
      <c r="A17" s="454" t="s">
        <v>16</v>
      </c>
      <c r="B17" s="455">
        <v>661755</v>
      </c>
      <c r="C17" s="455">
        <v>0</v>
      </c>
      <c r="D17" s="455">
        <v>0</v>
      </c>
      <c r="E17" s="455">
        <v>0</v>
      </c>
      <c r="F17" s="455">
        <v>0</v>
      </c>
      <c r="G17" s="455">
        <v>0</v>
      </c>
      <c r="H17" s="455">
        <v>0</v>
      </c>
      <c r="I17" s="455">
        <v>0</v>
      </c>
      <c r="J17" s="455">
        <v>0</v>
      </c>
      <c r="K17" s="455">
        <v>0</v>
      </c>
      <c r="L17" s="455"/>
      <c r="M17" s="455">
        <v>0</v>
      </c>
      <c r="N17" s="456">
        <f t="shared" si="0"/>
        <v>661755</v>
      </c>
      <c r="O17" s="457"/>
      <c r="P17" s="455"/>
      <c r="Q17" s="455"/>
      <c r="R17" s="538">
        <f t="shared" si="1"/>
        <v>661755</v>
      </c>
    </row>
    <row r="18" spans="1:20" ht="15.75" customHeight="1">
      <c r="A18" s="454" t="s">
        <v>74</v>
      </c>
      <c r="B18" s="455">
        <v>11586243</v>
      </c>
      <c r="C18" s="459">
        <v>0</v>
      </c>
      <c r="D18" s="455">
        <v>0</v>
      </c>
      <c r="E18" s="455">
        <v>0</v>
      </c>
      <c r="F18" s="455">
        <v>0</v>
      </c>
      <c r="G18" s="455">
        <v>0</v>
      </c>
      <c r="H18" s="455">
        <v>0</v>
      </c>
      <c r="I18" s="455">
        <v>0</v>
      </c>
      <c r="J18" s="455">
        <v>0</v>
      </c>
      <c r="K18" s="455">
        <v>0</v>
      </c>
      <c r="L18" s="455">
        <v>117971</v>
      </c>
      <c r="M18" s="455">
        <v>0</v>
      </c>
      <c r="N18" s="456">
        <f t="shared" si="0"/>
        <v>11704214</v>
      </c>
      <c r="O18" s="457" t="s">
        <v>42</v>
      </c>
      <c r="P18" s="455">
        <v>394335</v>
      </c>
      <c r="Q18" s="455">
        <v>822437</v>
      </c>
      <c r="R18" s="538">
        <f t="shared" si="1"/>
        <v>11276112</v>
      </c>
      <c r="T18" s="450"/>
    </row>
    <row r="19" spans="1:20">
      <c r="A19" s="454" t="s">
        <v>212</v>
      </c>
      <c r="B19" s="455">
        <v>1422229</v>
      </c>
      <c r="C19" s="455">
        <v>0</v>
      </c>
      <c r="D19" s="455">
        <v>0</v>
      </c>
      <c r="E19" s="455">
        <v>0</v>
      </c>
      <c r="F19" s="455">
        <v>0</v>
      </c>
      <c r="G19" s="455">
        <v>0</v>
      </c>
      <c r="H19" s="455">
        <v>0</v>
      </c>
      <c r="I19" s="455">
        <v>0</v>
      </c>
      <c r="J19" s="455">
        <v>0</v>
      </c>
      <c r="K19" s="455">
        <v>0</v>
      </c>
      <c r="L19" s="455">
        <v>0</v>
      </c>
      <c r="M19" s="455">
        <v>0</v>
      </c>
      <c r="N19" s="456">
        <f t="shared" si="0"/>
        <v>1422229</v>
      </c>
      <c r="O19" s="457"/>
      <c r="P19" s="455"/>
      <c r="Q19" s="455"/>
      <c r="R19" s="538">
        <f t="shared" si="1"/>
        <v>1422229</v>
      </c>
    </row>
    <row r="20" spans="1:20">
      <c r="A20" s="454" t="s">
        <v>76</v>
      </c>
      <c r="B20" s="455">
        <v>44513438</v>
      </c>
      <c r="C20" s="455">
        <v>100</v>
      </c>
      <c r="D20" s="455">
        <v>0</v>
      </c>
      <c r="E20" s="455">
        <v>0</v>
      </c>
      <c r="F20" s="455">
        <v>0</v>
      </c>
      <c r="G20" s="455">
        <v>0</v>
      </c>
      <c r="H20" s="455">
        <v>0</v>
      </c>
      <c r="I20" s="455">
        <v>0</v>
      </c>
      <c r="J20" s="455">
        <v>0</v>
      </c>
      <c r="K20" s="455">
        <v>0</v>
      </c>
      <c r="L20" s="455">
        <v>0</v>
      </c>
      <c r="M20" s="455">
        <v>0</v>
      </c>
      <c r="N20" s="456">
        <f t="shared" si="0"/>
        <v>44513538</v>
      </c>
      <c r="O20" s="457" t="s">
        <v>287</v>
      </c>
      <c r="P20" s="455">
        <f>1231351+42502+8000</f>
        <v>1281853</v>
      </c>
      <c r="Q20" s="455">
        <f>-(-1982263-800-943459-147840-462500-140052-1834157-31550577-6000-644000-10000-1113036-340-266632-224942-1)</f>
        <v>39326599</v>
      </c>
      <c r="R20" s="538">
        <f t="shared" si="1"/>
        <v>6468792</v>
      </c>
    </row>
    <row r="21" spans="1:20">
      <c r="A21" s="454" t="s">
        <v>181</v>
      </c>
      <c r="B21" s="460">
        <v>0</v>
      </c>
      <c r="C21" s="460">
        <v>883849</v>
      </c>
      <c r="D21" s="455">
        <v>0</v>
      </c>
      <c r="E21" s="455">
        <v>0</v>
      </c>
      <c r="F21" s="455">
        <v>0</v>
      </c>
      <c r="G21" s="455">
        <v>0</v>
      </c>
      <c r="H21" s="455">
        <v>0</v>
      </c>
      <c r="I21" s="455">
        <v>0</v>
      </c>
      <c r="J21" s="455">
        <v>0</v>
      </c>
      <c r="L21" s="455">
        <v>0</v>
      </c>
      <c r="M21" s="455">
        <v>0</v>
      </c>
      <c r="N21" s="456">
        <f t="shared" si="0"/>
        <v>883849</v>
      </c>
      <c r="O21" s="457"/>
      <c r="P21" s="455"/>
      <c r="Q21" s="455"/>
      <c r="R21" s="538">
        <f t="shared" si="1"/>
        <v>883849</v>
      </c>
    </row>
    <row r="22" spans="1:20">
      <c r="A22" s="454" t="s">
        <v>77</v>
      </c>
      <c r="B22" s="460">
        <v>105894</v>
      </c>
      <c r="C22" s="455">
        <v>0</v>
      </c>
      <c r="D22" s="455">
        <v>373443</v>
      </c>
      <c r="E22" s="455">
        <v>0</v>
      </c>
      <c r="F22" s="455">
        <v>0</v>
      </c>
      <c r="G22" s="455">
        <v>0</v>
      </c>
      <c r="H22" s="455">
        <v>0</v>
      </c>
      <c r="I22" s="455">
        <v>0</v>
      </c>
      <c r="J22" s="455">
        <v>0</v>
      </c>
      <c r="K22" s="455">
        <v>2963501</v>
      </c>
      <c r="L22" s="455">
        <v>0</v>
      </c>
      <c r="M22" s="455">
        <v>0</v>
      </c>
      <c r="N22" s="456">
        <f t="shared" si="0"/>
        <v>3442838</v>
      </c>
      <c r="O22" s="457"/>
      <c r="P22" s="455"/>
      <c r="Q22" s="455"/>
      <c r="R22" s="538">
        <f t="shared" si="1"/>
        <v>3442838</v>
      </c>
    </row>
    <row r="23" spans="1:20">
      <c r="A23" s="541" t="s">
        <v>39</v>
      </c>
      <c r="B23" s="542">
        <f t="shared" ref="B23:N23" si="2">SUM(B5:B22)</f>
        <v>197414677</v>
      </c>
      <c r="C23" s="542">
        <f t="shared" si="2"/>
        <v>52108957</v>
      </c>
      <c r="D23" s="542">
        <f t="shared" si="2"/>
        <v>4668021</v>
      </c>
      <c r="E23" s="542">
        <f t="shared" si="2"/>
        <v>1160766</v>
      </c>
      <c r="F23" s="542">
        <f t="shared" si="2"/>
        <v>364945</v>
      </c>
      <c r="G23" s="542">
        <f t="shared" si="2"/>
        <v>373713</v>
      </c>
      <c r="H23" s="542">
        <f t="shared" si="2"/>
        <v>7989</v>
      </c>
      <c r="I23" s="542">
        <f t="shared" si="2"/>
        <v>10000</v>
      </c>
      <c r="J23" s="542">
        <f t="shared" si="2"/>
        <v>1140</v>
      </c>
      <c r="K23" s="542">
        <f t="shared" si="2"/>
        <v>5000055</v>
      </c>
      <c r="L23" s="542">
        <f t="shared" si="2"/>
        <v>649029</v>
      </c>
      <c r="M23" s="542">
        <f t="shared" si="2"/>
        <v>444697</v>
      </c>
      <c r="N23" s="542">
        <f t="shared" si="2"/>
        <v>262203989</v>
      </c>
      <c r="O23" s="543"/>
      <c r="P23" s="542">
        <f>+SUM(P5:P22)</f>
        <v>2558161.0000000056</v>
      </c>
      <c r="Q23" s="542">
        <f>+SUM(Q5:Q22)</f>
        <v>57189264</v>
      </c>
      <c r="R23" s="542">
        <f>SUM(R5:R22)</f>
        <v>207572886</v>
      </c>
    </row>
    <row r="24" spans="1:20">
      <c r="A24" s="454" t="s">
        <v>394</v>
      </c>
      <c r="B24" s="455">
        <v>260402</v>
      </c>
      <c r="C24" s="464"/>
      <c r="D24" s="464"/>
      <c r="E24" s="464"/>
      <c r="F24" s="464"/>
      <c r="G24" s="464"/>
      <c r="H24" s="464"/>
      <c r="I24" s="464"/>
      <c r="J24" s="464"/>
      <c r="K24" s="464"/>
      <c r="L24" s="464"/>
      <c r="M24" s="464"/>
      <c r="N24" s="456">
        <f>SUM(B24:M24)</f>
        <v>260402</v>
      </c>
      <c r="O24" s="457"/>
      <c r="P24" s="464">
        <v>0</v>
      </c>
      <c r="Q24" s="464">
        <v>0</v>
      </c>
      <c r="R24" s="458">
        <f>N24-P24+Q24</f>
        <v>260402</v>
      </c>
    </row>
    <row r="25" spans="1:20">
      <c r="A25" s="454" t="s">
        <v>395</v>
      </c>
      <c r="B25" s="455">
        <v>13413675</v>
      </c>
      <c r="C25" s="455">
        <v>0</v>
      </c>
      <c r="D25" s="455">
        <v>0</v>
      </c>
      <c r="E25" s="455">
        <v>0</v>
      </c>
      <c r="F25" s="455">
        <v>0</v>
      </c>
      <c r="G25" s="455">
        <v>0</v>
      </c>
      <c r="H25" s="455">
        <v>0</v>
      </c>
      <c r="I25" s="455">
        <v>0</v>
      </c>
      <c r="J25" s="455">
        <v>0</v>
      </c>
      <c r="K25" s="455">
        <v>0</v>
      </c>
      <c r="L25" s="455">
        <v>0</v>
      </c>
      <c r="M25" s="455">
        <v>0</v>
      </c>
      <c r="N25" s="456">
        <f>SUM(B25:M25)</f>
        <v>13413675</v>
      </c>
      <c r="O25" s="457"/>
      <c r="P25" s="455"/>
      <c r="Q25" s="455"/>
      <c r="R25" s="458">
        <f>N25-P25+Q25</f>
        <v>13413675</v>
      </c>
    </row>
    <row r="26" spans="1:20">
      <c r="A26" s="454" t="s">
        <v>396</v>
      </c>
      <c r="B26" s="455">
        <v>11459310</v>
      </c>
      <c r="C26" s="455"/>
      <c r="D26" s="455"/>
      <c r="E26" s="455"/>
      <c r="F26" s="455"/>
      <c r="G26" s="455"/>
      <c r="H26" s="455"/>
      <c r="I26" s="455"/>
      <c r="J26" s="455"/>
      <c r="K26" s="455"/>
      <c r="L26" s="455"/>
      <c r="M26" s="455"/>
      <c r="N26" s="456">
        <f>SUM(B26:M26)</f>
        <v>11459310</v>
      </c>
      <c r="O26" s="457"/>
      <c r="P26" s="455"/>
      <c r="Q26" s="455"/>
      <c r="R26" s="458">
        <f>N26-P26+Q26</f>
        <v>11459310</v>
      </c>
    </row>
    <row r="27" spans="1:20" ht="15.75" customHeight="1">
      <c r="A27" s="454" t="s">
        <v>79</v>
      </c>
      <c r="B27" s="455">
        <v>18438625</v>
      </c>
      <c r="C27" s="455">
        <v>2041083</v>
      </c>
      <c r="D27" s="455">
        <v>42437</v>
      </c>
      <c r="E27" s="455">
        <v>0</v>
      </c>
      <c r="F27" s="455"/>
      <c r="G27" s="455">
        <v>0</v>
      </c>
      <c r="H27" s="455">
        <v>0</v>
      </c>
      <c r="I27" s="455">
        <v>0</v>
      </c>
      <c r="J27" s="455">
        <v>0</v>
      </c>
      <c r="K27" s="455">
        <v>24357</v>
      </c>
      <c r="L27" s="455">
        <v>10173</v>
      </c>
      <c r="M27" s="455">
        <v>55288</v>
      </c>
      <c r="N27" s="456">
        <f t="shared" ref="N27:N39" si="3">SUM(B27:M27)</f>
        <v>20611963</v>
      </c>
      <c r="O27" s="457" t="s">
        <v>286</v>
      </c>
      <c r="P27" s="455">
        <v>175918</v>
      </c>
      <c r="Q27" s="455"/>
      <c r="R27" s="458">
        <f t="shared" ref="R27:R40" si="4">N27-P27+Q27</f>
        <v>20436045</v>
      </c>
    </row>
    <row r="28" spans="1:20" ht="15.75" customHeight="1">
      <c r="A28" s="454" t="s">
        <v>7</v>
      </c>
      <c r="B28" s="455">
        <v>1314903</v>
      </c>
      <c r="C28" s="455">
        <f>4733+865104+5397853+278023</f>
        <v>6545713</v>
      </c>
      <c r="D28" s="455">
        <v>0</v>
      </c>
      <c r="E28" s="455">
        <v>180603</v>
      </c>
      <c r="F28" s="455">
        <v>1296079</v>
      </c>
      <c r="G28" s="455">
        <v>0</v>
      </c>
      <c r="H28" s="455">
        <v>0</v>
      </c>
      <c r="I28" s="455">
        <v>0</v>
      </c>
      <c r="J28" s="455">
        <v>0</v>
      </c>
      <c r="K28" s="455">
        <v>0</v>
      </c>
      <c r="L28" s="455">
        <v>125748</v>
      </c>
      <c r="M28" s="455">
        <v>901340</v>
      </c>
      <c r="N28" s="456">
        <f t="shared" si="3"/>
        <v>10364386</v>
      </c>
      <c r="O28" s="457" t="s">
        <v>179</v>
      </c>
      <c r="P28" s="455">
        <f>8450783-26</f>
        <v>8450757</v>
      </c>
      <c r="Q28" s="455"/>
      <c r="R28" s="458">
        <f t="shared" si="4"/>
        <v>1913629</v>
      </c>
    </row>
    <row r="29" spans="1:20" ht="15.75" customHeight="1">
      <c r="A29" s="454" t="s">
        <v>357</v>
      </c>
      <c r="B29" s="455">
        <v>4228478</v>
      </c>
      <c r="C29" s="455">
        <v>0</v>
      </c>
      <c r="D29" s="455">
        <v>39874</v>
      </c>
      <c r="E29" s="455">
        <v>0</v>
      </c>
      <c r="F29" s="455">
        <v>0</v>
      </c>
      <c r="G29" s="455">
        <v>0</v>
      </c>
      <c r="H29" s="455">
        <v>0</v>
      </c>
      <c r="I29" s="455">
        <v>0</v>
      </c>
      <c r="J29" s="455">
        <v>0</v>
      </c>
      <c r="K29" s="455">
        <v>0</v>
      </c>
      <c r="L29" s="455">
        <v>6555</v>
      </c>
      <c r="M29" s="455">
        <v>0</v>
      </c>
      <c r="N29" s="456">
        <f t="shared" si="3"/>
        <v>4274907</v>
      </c>
      <c r="O29" s="457"/>
      <c r="P29" s="455"/>
      <c r="Q29" s="455"/>
      <c r="R29" s="458">
        <f t="shared" si="4"/>
        <v>4274907</v>
      </c>
    </row>
    <row r="30" spans="1:20" ht="15.75" customHeight="1">
      <c r="A30" s="454" t="s">
        <v>80</v>
      </c>
      <c r="B30" s="455">
        <v>4870701</v>
      </c>
      <c r="C30" s="455">
        <v>0</v>
      </c>
      <c r="D30" s="455">
        <v>19615</v>
      </c>
      <c r="E30" s="455">
        <v>0</v>
      </c>
      <c r="F30" s="455">
        <v>0</v>
      </c>
      <c r="G30" s="455">
        <v>0</v>
      </c>
      <c r="H30" s="455">
        <v>0</v>
      </c>
      <c r="I30" s="455">
        <v>0</v>
      </c>
      <c r="J30" s="455">
        <v>0</v>
      </c>
      <c r="K30" s="455">
        <v>551</v>
      </c>
      <c r="L30" s="455">
        <f>26629+15462+477</f>
        <v>42568</v>
      </c>
      <c r="M30" s="455">
        <v>22519</v>
      </c>
      <c r="N30" s="456">
        <f t="shared" si="3"/>
        <v>4955954</v>
      </c>
      <c r="O30" s="457" t="s">
        <v>387</v>
      </c>
      <c r="P30" s="455">
        <f>1380360+25</f>
        <v>1380385</v>
      </c>
      <c r="Q30" s="455">
        <f>+'Diarios Var.Inversión -Patr (b)'!E161</f>
        <v>112799</v>
      </c>
      <c r="R30" s="458">
        <f>N30-P30+Q30</f>
        <v>3688368</v>
      </c>
    </row>
    <row r="31" spans="1:20" ht="15.75" customHeight="1">
      <c r="A31" s="454" t="s">
        <v>81</v>
      </c>
      <c r="B31" s="455">
        <v>1953502</v>
      </c>
      <c r="C31" s="455">
        <f>6540980-865104-5397853-278023</f>
        <v>0</v>
      </c>
      <c r="D31" s="455">
        <v>0</v>
      </c>
      <c r="E31" s="455">
        <v>0</v>
      </c>
      <c r="F31" s="455">
        <v>0</v>
      </c>
      <c r="G31" s="455">
        <v>0</v>
      </c>
      <c r="H31" s="455">
        <v>0</v>
      </c>
      <c r="I31" s="455">
        <v>0</v>
      </c>
      <c r="J31" s="455">
        <v>0</v>
      </c>
      <c r="K31" s="455">
        <v>0</v>
      </c>
      <c r="L31" s="455">
        <v>0</v>
      </c>
      <c r="M31" s="455">
        <v>0</v>
      </c>
      <c r="N31" s="456">
        <f t="shared" si="3"/>
        <v>1953502</v>
      </c>
      <c r="O31" s="457"/>
      <c r="P31" s="455"/>
      <c r="Q31" s="455"/>
      <c r="R31" s="458">
        <f t="shared" si="4"/>
        <v>1953502</v>
      </c>
    </row>
    <row r="32" spans="1:20" ht="15.75" customHeight="1">
      <c r="A32" s="454" t="s">
        <v>82</v>
      </c>
      <c r="B32" s="455">
        <v>4524107</v>
      </c>
      <c r="C32" s="455">
        <v>0</v>
      </c>
      <c r="D32" s="455">
        <v>14447</v>
      </c>
      <c r="E32" s="455">
        <v>0</v>
      </c>
      <c r="F32" s="455">
        <v>0</v>
      </c>
      <c r="G32" s="455">
        <v>0</v>
      </c>
      <c r="H32" s="455">
        <v>0</v>
      </c>
      <c r="I32" s="455">
        <v>0</v>
      </c>
      <c r="J32" s="455">
        <v>0</v>
      </c>
      <c r="K32" s="455">
        <v>6596</v>
      </c>
      <c r="L32" s="455">
        <f>11535+2782</f>
        <v>14317</v>
      </c>
      <c r="M32" s="455">
        <v>0</v>
      </c>
      <c r="N32" s="456">
        <f t="shared" si="3"/>
        <v>4559467</v>
      </c>
      <c r="O32" s="457"/>
      <c r="P32" s="455"/>
      <c r="Q32" s="455"/>
      <c r="R32" s="458">
        <f t="shared" si="4"/>
        <v>4559467</v>
      </c>
    </row>
    <row r="33" spans="1:23" ht="15.75" customHeight="1">
      <c r="A33" s="454" t="s">
        <v>83</v>
      </c>
      <c r="B33" s="460">
        <v>4183053</v>
      </c>
      <c r="C33" s="455">
        <v>0</v>
      </c>
      <c r="D33" s="455">
        <v>0</v>
      </c>
      <c r="E33" s="455">
        <v>0</v>
      </c>
      <c r="F33" s="455">
        <v>0</v>
      </c>
      <c r="G33" s="455">
        <v>0</v>
      </c>
      <c r="H33" s="455">
        <v>0</v>
      </c>
      <c r="I33" s="455">
        <v>0</v>
      </c>
      <c r="J33" s="455">
        <v>0</v>
      </c>
      <c r="K33" s="455">
        <v>0</v>
      </c>
      <c r="L33" s="455">
        <v>0</v>
      </c>
      <c r="M33" s="455">
        <v>0</v>
      </c>
      <c r="N33" s="456">
        <f t="shared" si="3"/>
        <v>4183053</v>
      </c>
      <c r="O33" s="457"/>
      <c r="P33" s="455"/>
      <c r="Q33" s="455"/>
      <c r="R33" s="458">
        <f t="shared" si="4"/>
        <v>4183053</v>
      </c>
    </row>
    <row r="34" spans="1:23" ht="15.75" customHeight="1">
      <c r="A34" s="454" t="s">
        <v>397</v>
      </c>
      <c r="B34" s="460">
        <v>9674932</v>
      </c>
      <c r="C34" s="455">
        <v>0</v>
      </c>
      <c r="D34" s="455">
        <v>0</v>
      </c>
      <c r="E34" s="455">
        <v>0</v>
      </c>
      <c r="F34" s="455">
        <v>0</v>
      </c>
      <c r="G34" s="455">
        <v>0</v>
      </c>
      <c r="H34" s="455">
        <v>0</v>
      </c>
      <c r="I34" s="455">
        <v>0</v>
      </c>
      <c r="J34" s="455">
        <v>0</v>
      </c>
      <c r="K34" s="455">
        <v>0</v>
      </c>
      <c r="L34" s="455">
        <v>0</v>
      </c>
      <c r="M34" s="455">
        <v>0</v>
      </c>
      <c r="N34" s="456">
        <f t="shared" si="3"/>
        <v>9674932</v>
      </c>
      <c r="O34" s="457"/>
      <c r="P34" s="455"/>
      <c r="Q34" s="455"/>
      <c r="R34" s="458">
        <f t="shared" si="4"/>
        <v>9674932</v>
      </c>
    </row>
    <row r="35" spans="1:23" ht="15.75" customHeight="1">
      <c r="A35" s="454" t="s">
        <v>398</v>
      </c>
      <c r="B35" s="460">
        <v>6710516</v>
      </c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6">
        <f t="shared" si="3"/>
        <v>6710516</v>
      </c>
      <c r="O35" s="457"/>
      <c r="P35" s="455"/>
      <c r="Q35" s="455"/>
      <c r="R35" s="458">
        <f t="shared" si="4"/>
        <v>6710516</v>
      </c>
    </row>
    <row r="36" spans="1:23" ht="15.75" customHeight="1">
      <c r="A36" s="454" t="s">
        <v>214</v>
      </c>
      <c r="B36" s="460">
        <v>2203673</v>
      </c>
      <c r="C36" s="455">
        <v>0</v>
      </c>
      <c r="D36" s="455">
        <v>0</v>
      </c>
      <c r="E36" s="455">
        <v>0</v>
      </c>
      <c r="F36" s="455">
        <v>0</v>
      </c>
      <c r="G36" s="455">
        <v>0</v>
      </c>
      <c r="H36" s="455">
        <v>0</v>
      </c>
      <c r="I36" s="455">
        <v>0</v>
      </c>
      <c r="J36" s="455">
        <v>0</v>
      </c>
      <c r="K36" s="455">
        <v>0</v>
      </c>
      <c r="L36" s="455">
        <v>0</v>
      </c>
      <c r="M36" s="455">
        <v>0</v>
      </c>
      <c r="N36" s="456">
        <f t="shared" si="3"/>
        <v>2203673</v>
      </c>
      <c r="O36" s="457"/>
      <c r="P36" s="455"/>
      <c r="Q36" s="455"/>
      <c r="R36" s="458">
        <f t="shared" si="4"/>
        <v>2203673</v>
      </c>
    </row>
    <row r="37" spans="1:23" ht="15.75" customHeight="1">
      <c r="A37" s="454" t="s">
        <v>84</v>
      </c>
      <c r="B37" s="460">
        <v>10628880</v>
      </c>
      <c r="C37" s="455">
        <v>0</v>
      </c>
      <c r="D37" s="460">
        <v>2566935</v>
      </c>
      <c r="E37" s="455">
        <v>0</v>
      </c>
      <c r="F37" s="455">
        <v>0</v>
      </c>
      <c r="G37" s="455">
        <v>0</v>
      </c>
      <c r="H37" s="455">
        <v>0</v>
      </c>
      <c r="I37" s="455">
        <v>0</v>
      </c>
      <c r="J37" s="455">
        <v>0</v>
      </c>
      <c r="K37" s="460">
        <v>3477854</v>
      </c>
      <c r="L37" s="455">
        <v>507600</v>
      </c>
      <c r="M37" s="455">
        <v>0</v>
      </c>
      <c r="N37" s="456">
        <f t="shared" si="3"/>
        <v>17181269</v>
      </c>
      <c r="O37" s="457" t="s">
        <v>286</v>
      </c>
      <c r="P37" s="455">
        <v>6552389</v>
      </c>
      <c r="Q37" s="455"/>
      <c r="R37" s="458">
        <f t="shared" si="4"/>
        <v>10628880</v>
      </c>
    </row>
    <row r="38" spans="1:23" ht="15.75" customHeight="1">
      <c r="A38" s="454" t="s">
        <v>291</v>
      </c>
      <c r="B38" s="460">
        <v>3182459</v>
      </c>
      <c r="C38" s="455">
        <v>0</v>
      </c>
      <c r="D38" s="455">
        <v>0</v>
      </c>
      <c r="E38" s="455">
        <v>0</v>
      </c>
      <c r="F38" s="455">
        <v>0</v>
      </c>
      <c r="G38" s="455">
        <v>0</v>
      </c>
      <c r="H38" s="455">
        <v>0</v>
      </c>
      <c r="I38" s="455">
        <v>0</v>
      </c>
      <c r="J38" s="455">
        <v>0</v>
      </c>
      <c r="K38" s="455">
        <v>16045</v>
      </c>
      <c r="L38" s="455">
        <v>0</v>
      </c>
      <c r="M38" s="455">
        <v>0</v>
      </c>
      <c r="N38" s="456">
        <f t="shared" si="3"/>
        <v>3198504</v>
      </c>
      <c r="O38" s="457" t="s">
        <v>286</v>
      </c>
      <c r="P38" s="455">
        <v>882525</v>
      </c>
      <c r="Q38" s="455"/>
      <c r="R38" s="458">
        <f>N38-P38+Q38</f>
        <v>2315979</v>
      </c>
    </row>
    <row r="39" spans="1:23" ht="15.75" customHeight="1">
      <c r="A39" s="454" t="s">
        <v>86</v>
      </c>
      <c r="B39" s="460">
        <v>5140510</v>
      </c>
      <c r="C39" s="455">
        <v>0</v>
      </c>
      <c r="D39" s="455">
        <v>0</v>
      </c>
      <c r="E39" s="455">
        <v>0</v>
      </c>
      <c r="F39" s="455">
        <v>0</v>
      </c>
      <c r="G39" s="455">
        <v>0</v>
      </c>
      <c r="H39" s="455">
        <v>0</v>
      </c>
      <c r="I39" s="455">
        <v>0</v>
      </c>
      <c r="J39" s="455">
        <v>0</v>
      </c>
      <c r="K39" s="460">
        <v>0</v>
      </c>
      <c r="L39" s="460">
        <v>45037</v>
      </c>
      <c r="M39" s="455">
        <v>0</v>
      </c>
      <c r="N39" s="456">
        <f t="shared" si="3"/>
        <v>5185547</v>
      </c>
      <c r="O39" s="457"/>
      <c r="P39" s="455"/>
      <c r="Q39" s="455"/>
      <c r="R39" s="458">
        <f t="shared" si="4"/>
        <v>5185547</v>
      </c>
    </row>
    <row r="40" spans="1:23" ht="15.75" customHeight="1">
      <c r="A40" s="454" t="s">
        <v>85</v>
      </c>
      <c r="B40" s="460">
        <v>20813206</v>
      </c>
      <c r="C40" s="455">
        <v>0</v>
      </c>
      <c r="D40" s="455">
        <v>0</v>
      </c>
      <c r="E40" s="455">
        <v>0</v>
      </c>
      <c r="F40" s="455">
        <v>0</v>
      </c>
      <c r="G40" s="455">
        <v>0</v>
      </c>
      <c r="H40" s="455">
        <v>0</v>
      </c>
      <c r="I40" s="455">
        <v>0</v>
      </c>
      <c r="J40" s="455">
        <v>0</v>
      </c>
      <c r="K40" s="460">
        <v>0</v>
      </c>
      <c r="L40" s="455">
        <v>0</v>
      </c>
      <c r="M40" s="455">
        <v>0</v>
      </c>
      <c r="N40" s="456">
        <f>SUM(B40:M40)</f>
        <v>20813206</v>
      </c>
      <c r="O40" s="457"/>
      <c r="P40" s="455"/>
      <c r="Q40" s="455"/>
      <c r="R40" s="458">
        <f t="shared" si="4"/>
        <v>20813206</v>
      </c>
    </row>
    <row r="41" spans="1:23" ht="15.75" customHeight="1" thickBot="1">
      <c r="A41" s="454" t="s">
        <v>87</v>
      </c>
      <c r="B41" s="461">
        <v>3572443</v>
      </c>
      <c r="C41" s="461">
        <v>0</v>
      </c>
      <c r="D41" s="461">
        <v>0</v>
      </c>
      <c r="E41" s="461">
        <v>0</v>
      </c>
      <c r="F41" s="461">
        <v>0</v>
      </c>
      <c r="G41" s="461">
        <v>0</v>
      </c>
      <c r="H41" s="461">
        <v>0</v>
      </c>
      <c r="I41" s="461">
        <v>0</v>
      </c>
      <c r="J41" s="461">
        <v>0</v>
      </c>
      <c r="K41" s="461">
        <v>0</v>
      </c>
      <c r="L41" s="461">
        <v>0</v>
      </c>
      <c r="M41" s="461">
        <v>0</v>
      </c>
      <c r="N41" s="462">
        <f>SUM(B41:M41)</f>
        <v>3572443</v>
      </c>
      <c r="O41" s="457"/>
      <c r="P41" s="455"/>
      <c r="Q41" s="455"/>
      <c r="R41" s="528">
        <f>N41-P41+Q41</f>
        <v>3572443</v>
      </c>
    </row>
    <row r="42" spans="1:23">
      <c r="A42" s="541" t="s">
        <v>40</v>
      </c>
      <c r="B42" s="542">
        <f>SUM(B24:B41)</f>
        <v>126573375</v>
      </c>
      <c r="C42" s="542">
        <f t="shared" ref="C42:M42" si="5">SUM(C25:C41)</f>
        <v>8586796</v>
      </c>
      <c r="D42" s="542">
        <f t="shared" si="5"/>
        <v>2683308</v>
      </c>
      <c r="E42" s="542">
        <f t="shared" si="5"/>
        <v>180603</v>
      </c>
      <c r="F42" s="542">
        <f t="shared" si="5"/>
        <v>1296079</v>
      </c>
      <c r="G42" s="542">
        <f t="shared" si="5"/>
        <v>0</v>
      </c>
      <c r="H42" s="542">
        <f t="shared" si="5"/>
        <v>0</v>
      </c>
      <c r="I42" s="542">
        <f t="shared" si="5"/>
        <v>0</v>
      </c>
      <c r="J42" s="542">
        <f t="shared" si="5"/>
        <v>0</v>
      </c>
      <c r="K42" s="542">
        <f t="shared" si="5"/>
        <v>3525403</v>
      </c>
      <c r="L42" s="542">
        <f t="shared" si="5"/>
        <v>751998</v>
      </c>
      <c r="M42" s="542">
        <f t="shared" si="5"/>
        <v>979147</v>
      </c>
      <c r="N42" s="542">
        <f>SUM(N24:N41)</f>
        <v>144576709</v>
      </c>
      <c r="O42" s="543"/>
      <c r="P42" s="542"/>
      <c r="Q42" s="542"/>
      <c r="R42" s="542">
        <f>SUM(R24:R41)</f>
        <v>127247534</v>
      </c>
    </row>
    <row r="43" spans="1:23" ht="15.75" customHeight="1">
      <c r="A43" s="454" t="s">
        <v>8</v>
      </c>
      <c r="B43" s="455">
        <v>30006697</v>
      </c>
      <c r="C43" s="465">
        <v>5000</v>
      </c>
      <c r="D43" s="465">
        <v>1105000</v>
      </c>
      <c r="E43" s="465">
        <v>10000</v>
      </c>
      <c r="F43" s="455">
        <v>1000</v>
      </c>
      <c r="G43" s="455">
        <v>1000</v>
      </c>
      <c r="H43" s="455">
        <v>5000</v>
      </c>
      <c r="I43" s="455">
        <v>10000</v>
      </c>
      <c r="J43" s="455">
        <v>800</v>
      </c>
      <c r="K43" s="455">
        <v>800</v>
      </c>
      <c r="L43" s="455">
        <v>3661400</v>
      </c>
      <c r="M43" s="455">
        <v>10000</v>
      </c>
      <c r="N43" s="456">
        <f>SUM(B43:M43)</f>
        <v>34816697</v>
      </c>
      <c r="O43" s="457" t="s">
        <v>287</v>
      </c>
      <c r="P43" s="455">
        <f>-(-1104950-800-6800-500-750-4640-740-3751-6000-3624786-10000)</f>
        <v>4763717</v>
      </c>
      <c r="Q43" s="455"/>
      <c r="R43" s="458">
        <f>N43-P43+Q43</f>
        <v>30052980</v>
      </c>
      <c r="S43" s="450"/>
    </row>
    <row r="44" spans="1:23" ht="15.75" customHeight="1">
      <c r="A44" s="454" t="s">
        <v>88</v>
      </c>
      <c r="B44" s="455">
        <v>920</v>
      </c>
      <c r="C44" s="465">
        <v>42340052</v>
      </c>
      <c r="D44" s="465">
        <v>877313</v>
      </c>
      <c r="E44" s="455">
        <v>0</v>
      </c>
      <c r="F44" s="455">
        <v>49015</v>
      </c>
      <c r="G44" s="455">
        <v>330450</v>
      </c>
      <c r="H44" s="455">
        <v>0</v>
      </c>
      <c r="I44" s="455">
        <v>0</v>
      </c>
      <c r="J44" s="455">
        <v>0</v>
      </c>
      <c r="K44" s="455">
        <v>1833417</v>
      </c>
      <c r="L44" s="455">
        <v>406800</v>
      </c>
      <c r="M44" s="455">
        <v>0</v>
      </c>
      <c r="N44" s="456">
        <f t="shared" ref="N44:N50" si="6">SUM(B44:M44)</f>
        <v>45837967</v>
      </c>
      <c r="O44" s="457" t="s">
        <v>287</v>
      </c>
      <c r="P44" s="455">
        <f>-(-877313-49015-330450-1833417-31546825-292500)</f>
        <v>34929520</v>
      </c>
      <c r="Q44" s="455"/>
      <c r="R44" s="458">
        <f t="shared" ref="R44:R50" si="7">N44-P44+Q44</f>
        <v>10908447</v>
      </c>
      <c r="S44" s="450"/>
      <c r="V44" s="466"/>
    </row>
    <row r="45" spans="1:23" ht="15.75" customHeight="1">
      <c r="A45" s="454" t="s">
        <v>17</v>
      </c>
      <c r="B45" s="455">
        <v>4662954</v>
      </c>
      <c r="C45" s="455">
        <v>0</v>
      </c>
      <c r="D45" s="455">
        <v>0</v>
      </c>
      <c r="E45" s="465">
        <v>0</v>
      </c>
      <c r="F45" s="455">
        <v>500</v>
      </c>
      <c r="G45" s="455">
        <v>0</v>
      </c>
      <c r="H45" s="455">
        <v>0</v>
      </c>
      <c r="I45" s="455">
        <v>0</v>
      </c>
      <c r="J45" s="455">
        <v>340</v>
      </c>
      <c r="K45" s="455">
        <v>0</v>
      </c>
      <c r="L45" s="455">
        <v>0</v>
      </c>
      <c r="M45" s="455">
        <v>0</v>
      </c>
      <c r="N45" s="456">
        <f t="shared" si="6"/>
        <v>4663794</v>
      </c>
      <c r="O45" s="457" t="s">
        <v>285</v>
      </c>
      <c r="P45" s="455">
        <f>-(-500-340)</f>
        <v>840</v>
      </c>
      <c r="Q45" s="455"/>
      <c r="R45" s="458">
        <f t="shared" si="7"/>
        <v>4662954</v>
      </c>
      <c r="S45" s="450"/>
    </row>
    <row r="46" spans="1:23" ht="15.75" customHeight="1">
      <c r="A46" s="454" t="s">
        <v>19</v>
      </c>
      <c r="B46" s="455">
        <v>34797</v>
      </c>
      <c r="C46" s="455">
        <v>0</v>
      </c>
      <c r="D46" s="455">
        <v>0</v>
      </c>
      <c r="E46" s="455">
        <v>0</v>
      </c>
      <c r="F46" s="455">
        <v>0</v>
      </c>
      <c r="G46" s="455">
        <v>0</v>
      </c>
      <c r="H46" s="455">
        <v>0</v>
      </c>
      <c r="I46" s="455">
        <v>0</v>
      </c>
      <c r="J46" s="455">
        <v>0</v>
      </c>
      <c r="K46" s="455">
        <v>0</v>
      </c>
      <c r="L46" s="455">
        <v>0</v>
      </c>
      <c r="M46" s="455">
        <v>0</v>
      </c>
      <c r="N46" s="456">
        <f t="shared" si="6"/>
        <v>34797</v>
      </c>
      <c r="O46" s="457"/>
      <c r="P46" s="455"/>
      <c r="Q46" s="455"/>
      <c r="R46" s="458">
        <f t="shared" si="7"/>
        <v>34797</v>
      </c>
      <c r="S46" s="450"/>
    </row>
    <row r="47" spans="1:23" ht="15.75" customHeight="1">
      <c r="A47" s="454" t="s">
        <v>18</v>
      </c>
      <c r="B47" s="455">
        <v>227072</v>
      </c>
      <c r="C47" s="455">
        <v>0</v>
      </c>
      <c r="D47" s="455">
        <v>0</v>
      </c>
      <c r="E47" s="465">
        <v>74426</v>
      </c>
      <c r="F47" s="455">
        <v>0</v>
      </c>
      <c r="G47" s="455">
        <v>109633</v>
      </c>
      <c r="H47" s="455">
        <v>1226</v>
      </c>
      <c r="I47" s="455">
        <v>0</v>
      </c>
      <c r="J47" s="455">
        <v>0</v>
      </c>
      <c r="K47" s="455">
        <v>0</v>
      </c>
      <c r="L47" s="455">
        <v>274690</v>
      </c>
      <c r="M47" s="455">
        <v>0</v>
      </c>
      <c r="N47" s="456">
        <f t="shared" si="6"/>
        <v>687047</v>
      </c>
      <c r="O47" s="457" t="s">
        <v>285</v>
      </c>
      <c r="P47" s="455">
        <f>-(-74426-109633-1226-274690)</f>
        <v>459975</v>
      </c>
      <c r="Q47" s="455"/>
      <c r="R47" s="458">
        <f t="shared" si="7"/>
        <v>227072</v>
      </c>
      <c r="S47" s="450"/>
      <c r="V47" s="450"/>
    </row>
    <row r="48" spans="1:23" ht="15.75" customHeight="1">
      <c r="A48" s="454" t="s">
        <v>20</v>
      </c>
      <c r="B48" s="455">
        <v>-3202431</v>
      </c>
      <c r="C48" s="455">
        <v>0</v>
      </c>
      <c r="D48" s="455">
        <v>0</v>
      </c>
      <c r="E48" s="455">
        <v>0</v>
      </c>
      <c r="F48" s="455">
        <v>0</v>
      </c>
      <c r="G48" s="455">
        <v>0</v>
      </c>
      <c r="H48" s="455">
        <v>0</v>
      </c>
      <c r="I48" s="455">
        <v>0</v>
      </c>
      <c r="J48" s="455">
        <v>0</v>
      </c>
      <c r="K48" s="455">
        <v>0</v>
      </c>
      <c r="L48" s="455">
        <v>-56932</v>
      </c>
      <c r="M48" s="455">
        <v>0</v>
      </c>
      <c r="N48" s="456">
        <f t="shared" si="6"/>
        <v>-3259363</v>
      </c>
      <c r="O48" s="457" t="s">
        <v>287</v>
      </c>
      <c r="P48" s="455"/>
      <c r="Q48" s="455">
        <v>56932</v>
      </c>
      <c r="R48" s="458">
        <f t="shared" si="7"/>
        <v>-3202431</v>
      </c>
      <c r="S48" s="450"/>
      <c r="W48" s="452"/>
    </row>
    <row r="49" spans="1:23" ht="15.75" customHeight="1">
      <c r="A49" s="454" t="s">
        <v>399</v>
      </c>
      <c r="B49" s="455">
        <f>1849659-495802</f>
        <v>1353857</v>
      </c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6">
        <f t="shared" si="6"/>
        <v>1353857</v>
      </c>
      <c r="O49" s="457"/>
      <c r="P49" s="455"/>
      <c r="Q49" s="455"/>
      <c r="R49" s="458">
        <f t="shared" si="7"/>
        <v>1353857</v>
      </c>
      <c r="S49" s="450"/>
      <c r="W49" s="452"/>
    </row>
    <row r="50" spans="1:23" ht="15.75" customHeight="1">
      <c r="A50" s="454" t="s">
        <v>21</v>
      </c>
      <c r="B50" s="455">
        <f>31666289+495802-200+5595545</f>
        <v>37757436</v>
      </c>
      <c r="C50" s="465">
        <f>2254833-1077724</f>
        <v>1177109</v>
      </c>
      <c r="D50" s="465">
        <f>-16937+19337</f>
        <v>2400</v>
      </c>
      <c r="E50" s="465">
        <f>911628-15891</f>
        <v>895737</v>
      </c>
      <c r="F50" s="455">
        <f>-488265-493384</f>
        <v>-981649</v>
      </c>
      <c r="G50" s="455">
        <f>-53896-13474</f>
        <v>-67370</v>
      </c>
      <c r="H50" s="455">
        <v>1763</v>
      </c>
      <c r="I50" s="455">
        <v>0</v>
      </c>
      <c r="J50" s="455">
        <v>0</v>
      </c>
      <c r="K50" s="455">
        <f>-15422-344143</f>
        <v>-359565</v>
      </c>
      <c r="L50" s="455">
        <f>-3886526-502401</f>
        <v>-4388927</v>
      </c>
      <c r="M50" s="455">
        <f>-142959-401491</f>
        <v>-544450</v>
      </c>
      <c r="N50" s="456">
        <f t="shared" si="6"/>
        <v>33492484</v>
      </c>
      <c r="O50" s="457" t="s">
        <v>288</v>
      </c>
      <c r="P50" s="455">
        <f>-(-862233-97825-21667-1763-822437-266632-224942)</f>
        <v>2297499</v>
      </c>
      <c r="Q50" s="455">
        <f>3491044+394445+42502+1160144+4556</f>
        <v>5092691</v>
      </c>
      <c r="R50" s="455">
        <f t="shared" si="7"/>
        <v>36287676</v>
      </c>
      <c r="S50" s="450"/>
      <c r="T50" s="450"/>
      <c r="V50" s="450"/>
      <c r="W50" s="452"/>
    </row>
    <row r="51" spans="1:23">
      <c r="A51" s="541" t="s">
        <v>41</v>
      </c>
      <c r="B51" s="542">
        <f t="shared" ref="B51:N51" si="8">SUM(B43:B50)</f>
        <v>70841302</v>
      </c>
      <c r="C51" s="542">
        <f t="shared" si="8"/>
        <v>43522161</v>
      </c>
      <c r="D51" s="542">
        <f t="shared" si="8"/>
        <v>1984713</v>
      </c>
      <c r="E51" s="542">
        <f t="shared" si="8"/>
        <v>980163</v>
      </c>
      <c r="F51" s="542">
        <f t="shared" si="8"/>
        <v>-931134</v>
      </c>
      <c r="G51" s="542">
        <f t="shared" si="8"/>
        <v>373713</v>
      </c>
      <c r="H51" s="542">
        <f t="shared" si="8"/>
        <v>7989</v>
      </c>
      <c r="I51" s="542">
        <f t="shared" si="8"/>
        <v>10000</v>
      </c>
      <c r="J51" s="542">
        <f t="shared" si="8"/>
        <v>1140</v>
      </c>
      <c r="K51" s="542">
        <f t="shared" si="8"/>
        <v>1474652</v>
      </c>
      <c r="L51" s="542">
        <f t="shared" si="8"/>
        <v>-102969</v>
      </c>
      <c r="M51" s="542">
        <f t="shared" si="8"/>
        <v>-534450</v>
      </c>
      <c r="N51" s="542">
        <f t="shared" si="8"/>
        <v>117627280</v>
      </c>
      <c r="O51" s="543"/>
      <c r="P51" s="542">
        <f>+SUM(P24:P50)</f>
        <v>59893525</v>
      </c>
      <c r="Q51" s="542">
        <f>+SUM(Q24:Q50)</f>
        <v>5262422</v>
      </c>
      <c r="R51" s="542">
        <f>SUM(R43:R50)</f>
        <v>80325352</v>
      </c>
    </row>
    <row r="52" spans="1:23" s="536" customFormat="1" ht="15.75" customHeight="1">
      <c r="A52" s="474"/>
      <c r="B52" s="534"/>
      <c r="C52" s="534"/>
      <c r="D52" s="534"/>
      <c r="E52" s="534"/>
      <c r="F52" s="534"/>
      <c r="G52" s="534"/>
      <c r="H52" s="534"/>
      <c r="I52" s="534"/>
      <c r="J52" s="534"/>
      <c r="K52" s="534"/>
      <c r="L52" s="534"/>
      <c r="M52" s="534"/>
      <c r="N52" s="534"/>
      <c r="O52" s="535"/>
      <c r="P52" s="534">
        <f>+Q23-P23</f>
        <v>54631102.999999993</v>
      </c>
      <c r="Q52" s="540">
        <f>+P51-Q51</f>
        <v>54631103</v>
      </c>
      <c r="R52" s="534"/>
      <c r="S52" s="537">
        <f>+R51+R42</f>
        <v>207572886</v>
      </c>
      <c r="T52" s="537">
        <f>+S52-R23</f>
        <v>0</v>
      </c>
    </row>
    <row r="53" spans="1:23" s="536" customFormat="1" ht="15.75" customHeight="1">
      <c r="A53" s="474"/>
      <c r="B53" s="534"/>
      <c r="C53" s="534"/>
      <c r="D53" s="534"/>
      <c r="E53" s="534"/>
      <c r="F53" s="534"/>
      <c r="G53" s="534"/>
      <c r="H53" s="534"/>
      <c r="I53" s="534"/>
      <c r="J53" s="534"/>
      <c r="K53" s="534"/>
      <c r="L53" s="534"/>
      <c r="M53" s="534"/>
      <c r="N53" s="534"/>
      <c r="O53" s="535"/>
      <c r="P53" s="534"/>
      <c r="R53" s="534"/>
      <c r="S53" s="537"/>
      <c r="T53" s="537"/>
    </row>
    <row r="54" spans="1:23" ht="78" customHeight="1">
      <c r="A54" s="484" t="s">
        <v>4</v>
      </c>
      <c r="B54" s="485" t="s">
        <v>525</v>
      </c>
      <c r="C54" s="485" t="s">
        <v>535</v>
      </c>
      <c r="D54" s="485" t="s">
        <v>526</v>
      </c>
      <c r="E54" s="485" t="s">
        <v>527</v>
      </c>
      <c r="F54" s="485" t="s">
        <v>528</v>
      </c>
      <c r="G54" s="485" t="s">
        <v>529</v>
      </c>
      <c r="H54" s="485" t="s">
        <v>530</v>
      </c>
      <c r="I54" s="485" t="s">
        <v>536</v>
      </c>
      <c r="J54" s="485" t="s">
        <v>534</v>
      </c>
      <c r="K54" s="485" t="s">
        <v>531</v>
      </c>
      <c r="L54" s="485" t="s">
        <v>532</v>
      </c>
      <c r="M54" s="485" t="s">
        <v>533</v>
      </c>
      <c r="N54" s="485" t="s">
        <v>15</v>
      </c>
      <c r="O54" s="485" t="s">
        <v>10</v>
      </c>
      <c r="P54" s="485" t="s">
        <v>12</v>
      </c>
      <c r="Q54" s="485" t="s">
        <v>13</v>
      </c>
      <c r="R54" s="485" t="s">
        <v>431</v>
      </c>
    </row>
    <row r="55" spans="1:23" ht="15.75" customHeight="1">
      <c r="A55" s="529" t="s">
        <v>89</v>
      </c>
      <c r="B55" s="530">
        <v>152924768</v>
      </c>
      <c r="C55" s="530">
        <v>1907995</v>
      </c>
      <c r="D55" s="530">
        <v>636407</v>
      </c>
      <c r="E55" s="530">
        <v>0</v>
      </c>
      <c r="F55" s="530">
        <v>0</v>
      </c>
      <c r="G55" s="530">
        <v>0</v>
      </c>
      <c r="H55" s="530">
        <v>0</v>
      </c>
      <c r="I55" s="530">
        <v>0</v>
      </c>
      <c r="J55" s="530">
        <v>0</v>
      </c>
      <c r="K55" s="530">
        <v>120923</v>
      </c>
      <c r="L55" s="530">
        <v>280002</v>
      </c>
      <c r="M55" s="530">
        <v>162445</v>
      </c>
      <c r="N55" s="531">
        <f>SUM(B55:M55)</f>
        <v>156032540</v>
      </c>
      <c r="O55" s="532" t="s">
        <v>178</v>
      </c>
      <c r="P55" s="530">
        <f>'Ventas-Compras (d)'!D26</f>
        <v>376468.58</v>
      </c>
      <c r="Q55" s="530"/>
      <c r="R55" s="533">
        <f t="shared" ref="R55" si="9">N55-P55+Q55</f>
        <v>155656071.41999999</v>
      </c>
    </row>
    <row r="56" spans="1:23" ht="15.75" customHeight="1" thickBot="1">
      <c r="A56" s="454" t="s">
        <v>90</v>
      </c>
      <c r="B56" s="470">
        <v>-100189814</v>
      </c>
      <c r="C56" s="470">
        <v>-2677882</v>
      </c>
      <c r="D56" s="470">
        <v>-187557</v>
      </c>
      <c r="E56" s="470">
        <v>0</v>
      </c>
      <c r="F56" s="470">
        <v>0</v>
      </c>
      <c r="G56" s="470">
        <v>0</v>
      </c>
      <c r="H56" s="470">
        <v>0</v>
      </c>
      <c r="I56" s="470">
        <v>0</v>
      </c>
      <c r="J56" s="470">
        <v>0</v>
      </c>
      <c r="K56" s="470">
        <v>-299751</v>
      </c>
      <c r="L56" s="470">
        <v>-199020</v>
      </c>
      <c r="M56" s="470">
        <v>-118573</v>
      </c>
      <c r="N56" s="462">
        <f>SUM(B56:M56)</f>
        <v>-103672597</v>
      </c>
      <c r="O56" s="469" t="s">
        <v>178</v>
      </c>
      <c r="P56" s="468"/>
      <c r="Q56" s="468">
        <f>'Ventas-Compras (d)'!E27</f>
        <v>357344</v>
      </c>
      <c r="R56" s="461">
        <f>N56-P56+Q56</f>
        <v>-103315253</v>
      </c>
    </row>
    <row r="57" spans="1:23" ht="15.75" customHeight="1">
      <c r="A57" s="454" t="s">
        <v>94</v>
      </c>
      <c r="B57" s="471">
        <f t="shared" ref="B57:M57" si="10">SUM(B55:B56)</f>
        <v>52734954</v>
      </c>
      <c r="C57" s="471">
        <f t="shared" si="10"/>
        <v>-769887</v>
      </c>
      <c r="D57" s="471">
        <f t="shared" si="10"/>
        <v>448850</v>
      </c>
      <c r="E57" s="471">
        <f t="shared" si="10"/>
        <v>0</v>
      </c>
      <c r="F57" s="471">
        <f t="shared" si="10"/>
        <v>0</v>
      </c>
      <c r="G57" s="471">
        <f t="shared" si="10"/>
        <v>0</v>
      </c>
      <c r="H57" s="471">
        <f t="shared" si="10"/>
        <v>0</v>
      </c>
      <c r="I57" s="471">
        <f t="shared" si="10"/>
        <v>0</v>
      </c>
      <c r="J57" s="471">
        <f t="shared" si="10"/>
        <v>0</v>
      </c>
      <c r="K57" s="471">
        <f t="shared" si="10"/>
        <v>-178828</v>
      </c>
      <c r="L57" s="471">
        <f t="shared" si="10"/>
        <v>80982</v>
      </c>
      <c r="M57" s="471">
        <f t="shared" si="10"/>
        <v>43872</v>
      </c>
      <c r="N57" s="471">
        <f>SUM(N55:N56)</f>
        <v>52359943</v>
      </c>
      <c r="O57" s="469"/>
      <c r="P57" s="471" t="s">
        <v>347</v>
      </c>
      <c r="Q57" s="471"/>
      <c r="R57" s="471">
        <f>SUM(R55:R56)</f>
        <v>52340818.419999987</v>
      </c>
    </row>
    <row r="58" spans="1:23" ht="15.75" customHeight="1">
      <c r="A58" s="472"/>
      <c r="B58" s="468"/>
      <c r="C58" s="468"/>
      <c r="D58" s="468"/>
      <c r="E58" s="468"/>
      <c r="F58" s="468"/>
      <c r="G58" s="468"/>
      <c r="H58" s="468"/>
      <c r="I58" s="468"/>
      <c r="J58" s="468"/>
      <c r="K58" s="468"/>
      <c r="L58" s="468"/>
      <c r="M58" s="468"/>
      <c r="N58" s="456"/>
      <c r="O58" s="469"/>
      <c r="P58" s="468"/>
      <c r="Q58" s="468"/>
      <c r="R58" s="455"/>
    </row>
    <row r="59" spans="1:23" ht="15.75" customHeight="1">
      <c r="A59" s="454" t="s">
        <v>91</v>
      </c>
      <c r="B59" s="468">
        <v>-33320786</v>
      </c>
      <c r="C59" s="468">
        <v>-306890</v>
      </c>
      <c r="D59" s="468">
        <f>-429513+54059</f>
        <v>-375454</v>
      </c>
      <c r="E59" s="468">
        <v>-15891</v>
      </c>
      <c r="F59" s="468">
        <v>-493384</v>
      </c>
      <c r="G59" s="468">
        <v>-13474</v>
      </c>
      <c r="H59" s="468">
        <v>0</v>
      </c>
      <c r="I59" s="468">
        <v>0</v>
      </c>
      <c r="J59" s="468">
        <v>0</v>
      </c>
      <c r="K59" s="468">
        <f>-165338+23</f>
        <v>-165315</v>
      </c>
      <c r="L59" s="468">
        <v>-586188</v>
      </c>
      <c r="M59" s="468">
        <v>-444288</v>
      </c>
      <c r="N59" s="456">
        <f>SUM(B59:M59)</f>
        <v>-35721670</v>
      </c>
      <c r="O59" s="469"/>
      <c r="P59" s="468"/>
      <c r="Q59" s="468">
        <f>'Ventas-Compras (d)'!E28</f>
        <v>7818.58</v>
      </c>
      <c r="R59" s="455">
        <f t="shared" ref="R59" si="11">N59-P59+Q59</f>
        <v>-35713851.420000002</v>
      </c>
    </row>
    <row r="60" spans="1:23" ht="15.75" customHeight="1" thickBot="1">
      <c r="A60" s="473" t="s">
        <v>92</v>
      </c>
      <c r="B60" s="470">
        <v>-3618624</v>
      </c>
      <c r="C60" s="470">
        <v>-947</v>
      </c>
      <c r="D60" s="470">
        <v>0</v>
      </c>
      <c r="E60" s="470">
        <v>0</v>
      </c>
      <c r="F60" s="470">
        <v>0</v>
      </c>
      <c r="G60" s="470">
        <v>0</v>
      </c>
      <c r="H60" s="470">
        <v>0</v>
      </c>
      <c r="I60" s="470">
        <v>0</v>
      </c>
      <c r="J60" s="470">
        <v>0</v>
      </c>
      <c r="K60" s="470">
        <v>0</v>
      </c>
      <c r="L60" s="470">
        <v>17690</v>
      </c>
      <c r="M60" s="470">
        <v>4857</v>
      </c>
      <c r="N60" s="462">
        <f>SUM(B60:M60)</f>
        <v>-3597024</v>
      </c>
      <c r="O60" s="469" t="s">
        <v>42</v>
      </c>
      <c r="P60" s="468">
        <f>'Diarios Var.Inversión -Patr (b)'!D165</f>
        <v>0</v>
      </c>
      <c r="Q60" s="468">
        <f>'Diarios Var.Inversión -Patr (b)'!E165</f>
        <v>1276594.05</v>
      </c>
      <c r="R60" s="461">
        <f>N60-P60+Q60</f>
        <v>-2320429.9500000002</v>
      </c>
    </row>
    <row r="61" spans="1:23" ht="15.75" customHeight="1">
      <c r="A61" s="473" t="s">
        <v>93</v>
      </c>
      <c r="B61" s="471">
        <f>SUM(B57:B60)</f>
        <v>15795544</v>
      </c>
      <c r="C61" s="471">
        <f>SUM(C57:C60)</f>
        <v>-1077724</v>
      </c>
      <c r="D61" s="471">
        <f>SUM(D57:D60)</f>
        <v>73396</v>
      </c>
      <c r="E61" s="471">
        <f t="shared" ref="E61:M61" si="12">SUM(E57:E60)</f>
        <v>-15891</v>
      </c>
      <c r="F61" s="471">
        <f t="shared" si="12"/>
        <v>-493384</v>
      </c>
      <c r="G61" s="471">
        <f t="shared" si="12"/>
        <v>-13474</v>
      </c>
      <c r="H61" s="471">
        <f t="shared" si="12"/>
        <v>0</v>
      </c>
      <c r="I61" s="471">
        <f t="shared" si="12"/>
        <v>0</v>
      </c>
      <c r="J61" s="471">
        <f t="shared" si="12"/>
        <v>0</v>
      </c>
      <c r="K61" s="471">
        <f t="shared" si="12"/>
        <v>-344143</v>
      </c>
      <c r="L61" s="471">
        <f t="shared" si="12"/>
        <v>-487516</v>
      </c>
      <c r="M61" s="471">
        <f t="shared" si="12"/>
        <v>-395559</v>
      </c>
      <c r="N61" s="471">
        <f>SUM(N57:N60)</f>
        <v>13041249</v>
      </c>
      <c r="O61" s="469"/>
      <c r="P61" s="471"/>
      <c r="Q61" s="471"/>
      <c r="R61" s="471">
        <f t="shared" ref="R61" si="13">SUM(R57:R60)</f>
        <v>14306537.049999986</v>
      </c>
    </row>
    <row r="62" spans="1:23" ht="15.75" customHeight="1">
      <c r="A62" s="473"/>
      <c r="B62" s="468"/>
      <c r="C62" s="468"/>
      <c r="D62" s="468"/>
      <c r="E62" s="468"/>
      <c r="F62" s="468"/>
      <c r="G62" s="468"/>
      <c r="H62" s="468"/>
      <c r="I62" s="468"/>
      <c r="J62" s="468"/>
      <c r="K62" s="468"/>
      <c r="L62" s="468"/>
      <c r="M62" s="468"/>
      <c r="N62" s="456"/>
      <c r="O62" s="469"/>
      <c r="P62" s="468"/>
      <c r="Q62" s="468"/>
      <c r="R62" s="455"/>
      <c r="S62" s="450">
        <f>Q60+Q59+Q56</f>
        <v>1641756.6300000001</v>
      </c>
    </row>
    <row r="63" spans="1:23" ht="15.75" customHeight="1" thickBot="1">
      <c r="A63" s="473" t="s">
        <v>95</v>
      </c>
      <c r="B63" s="470">
        <f>-5186848</f>
        <v>-5186848</v>
      </c>
      <c r="C63" s="470">
        <v>0</v>
      </c>
      <c r="D63" s="470">
        <v>0</v>
      </c>
      <c r="E63" s="470">
        <v>0</v>
      </c>
      <c r="F63" s="470">
        <v>0</v>
      </c>
      <c r="G63" s="470">
        <v>0</v>
      </c>
      <c r="H63" s="470">
        <v>0</v>
      </c>
      <c r="I63" s="470">
        <v>0</v>
      </c>
      <c r="J63" s="470">
        <v>0</v>
      </c>
      <c r="K63" s="470">
        <v>0</v>
      </c>
      <c r="L63" s="470">
        <v>-14885</v>
      </c>
      <c r="M63" s="470">
        <v>0</v>
      </c>
      <c r="N63" s="462">
        <f>SUM(B63:M63)</f>
        <v>-5201733</v>
      </c>
      <c r="O63" s="469"/>
      <c r="P63" s="468"/>
      <c r="Q63" s="468"/>
      <c r="R63" s="461">
        <f>N63-P63+Q63</f>
        <v>-5201733</v>
      </c>
      <c r="S63" s="450">
        <f>P55</f>
        <v>376468.58</v>
      </c>
    </row>
    <row r="64" spans="1:23" ht="15.75" customHeight="1">
      <c r="A64" s="473" t="s">
        <v>96</v>
      </c>
      <c r="B64" s="471">
        <f>+B61+B63</f>
        <v>10608696</v>
      </c>
      <c r="C64" s="471">
        <f t="shared" ref="C64:M64" si="14">+C61+C63</f>
        <v>-1077724</v>
      </c>
      <c r="D64" s="471">
        <f t="shared" si="14"/>
        <v>73396</v>
      </c>
      <c r="E64" s="471">
        <f t="shared" si="14"/>
        <v>-15891</v>
      </c>
      <c r="F64" s="471">
        <f t="shared" si="14"/>
        <v>-493384</v>
      </c>
      <c r="G64" s="471">
        <f t="shared" si="14"/>
        <v>-13474</v>
      </c>
      <c r="H64" s="471">
        <f t="shared" si="14"/>
        <v>0</v>
      </c>
      <c r="I64" s="471">
        <f t="shared" si="14"/>
        <v>0</v>
      </c>
      <c r="J64" s="471">
        <f t="shared" si="14"/>
        <v>0</v>
      </c>
      <c r="K64" s="471">
        <f t="shared" si="14"/>
        <v>-344143</v>
      </c>
      <c r="L64" s="471">
        <f t="shared" si="14"/>
        <v>-502401</v>
      </c>
      <c r="M64" s="471">
        <f t="shared" si="14"/>
        <v>-395559</v>
      </c>
      <c r="N64" s="471">
        <f>+N61+N63</f>
        <v>7839516</v>
      </c>
      <c r="O64" s="469"/>
      <c r="P64" s="468"/>
      <c r="Q64" s="468"/>
      <c r="R64" s="471">
        <f t="shared" ref="R64" si="15">+R61+R63</f>
        <v>9104804.0499999858</v>
      </c>
      <c r="S64" s="450">
        <f>S63-S62</f>
        <v>-1265288.05</v>
      </c>
    </row>
    <row r="65" spans="1:22" ht="15.75" customHeight="1">
      <c r="A65" s="473"/>
      <c r="B65" s="471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69"/>
      <c r="P65" s="468"/>
      <c r="Q65" s="468"/>
      <c r="R65" s="471"/>
    </row>
    <row r="66" spans="1:22" ht="15.75" customHeight="1">
      <c r="A66" s="473" t="s">
        <v>112</v>
      </c>
      <c r="B66" s="468">
        <v>-1591304</v>
      </c>
      <c r="C66" s="468"/>
      <c r="D66" s="468"/>
      <c r="E66" s="468"/>
      <c r="F66" s="468"/>
      <c r="G66" s="468"/>
      <c r="H66" s="468"/>
      <c r="I66" s="468"/>
      <c r="J66" s="468"/>
      <c r="K66" s="468"/>
      <c r="L66" s="468"/>
      <c r="M66" s="468"/>
      <c r="N66" s="456">
        <f>SUM(B66:M66)</f>
        <v>-1591304</v>
      </c>
      <c r="O66" s="469"/>
      <c r="P66" s="468"/>
      <c r="Q66" s="468"/>
      <c r="R66" s="455">
        <f>N66-P66+Q66</f>
        <v>-1591304</v>
      </c>
    </row>
    <row r="67" spans="1:22" ht="15.75" customHeight="1">
      <c r="A67" s="454" t="s">
        <v>23</v>
      </c>
      <c r="B67" s="455">
        <v>-3421847</v>
      </c>
      <c r="C67" s="455">
        <v>0</v>
      </c>
      <c r="D67" s="455">
        <v>-54059</v>
      </c>
      <c r="E67" s="455"/>
      <c r="F67" s="455">
        <v>0</v>
      </c>
      <c r="G67" s="455">
        <v>0</v>
      </c>
      <c r="H67" s="455">
        <v>0</v>
      </c>
      <c r="I67" s="455">
        <v>0</v>
      </c>
      <c r="J67" s="455">
        <v>0</v>
      </c>
      <c r="K67" s="455">
        <v>0</v>
      </c>
      <c r="L67" s="455">
        <v>0</v>
      </c>
      <c r="M67" s="455">
        <v>0</v>
      </c>
      <c r="N67" s="456">
        <f>SUM(B67:M67)</f>
        <v>-3475906</v>
      </c>
      <c r="O67" s="457"/>
      <c r="P67" s="455"/>
      <c r="Q67" s="468"/>
      <c r="R67" s="455">
        <f>N67-P67+Q67</f>
        <v>-3475906</v>
      </c>
    </row>
    <row r="68" spans="1:22">
      <c r="A68" s="463" t="s">
        <v>9</v>
      </c>
      <c r="B68" s="464">
        <f t="shared" ref="B68:G68" si="16">+B64+B66+B67</f>
        <v>5595545</v>
      </c>
      <c r="C68" s="464">
        <f t="shared" si="16"/>
        <v>-1077724</v>
      </c>
      <c r="D68" s="464">
        <f t="shared" si="16"/>
        <v>19337</v>
      </c>
      <c r="E68" s="464">
        <f t="shared" si="16"/>
        <v>-15891</v>
      </c>
      <c r="F68" s="464">
        <f t="shared" si="16"/>
        <v>-493384</v>
      </c>
      <c r="G68" s="464">
        <f t="shared" si="16"/>
        <v>-13474</v>
      </c>
      <c r="H68" s="464">
        <f t="shared" ref="H68:J68" si="17">+H64+H67</f>
        <v>0</v>
      </c>
      <c r="I68" s="464">
        <f t="shared" si="17"/>
        <v>0</v>
      </c>
      <c r="J68" s="464">
        <f t="shared" si="17"/>
        <v>0</v>
      </c>
      <c r="K68" s="464">
        <f>+K64+K66+K67</f>
        <v>-344143</v>
      </c>
      <c r="L68" s="464">
        <f>+L64+L66+L67</f>
        <v>-502401</v>
      </c>
      <c r="M68" s="464">
        <f>+M64+M66+M67</f>
        <v>-395559</v>
      </c>
      <c r="N68" s="464">
        <f>+N64+N66+N67</f>
        <v>2772306</v>
      </c>
      <c r="O68" s="457"/>
      <c r="P68" s="464"/>
      <c r="Q68" s="464"/>
      <c r="R68" s="464">
        <f>+R64+R66+R67</f>
        <v>4037594.0499999858</v>
      </c>
    </row>
    <row r="69" spans="1:22">
      <c r="A69" s="463"/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57"/>
      <c r="P69" s="464"/>
      <c r="Q69" s="464"/>
      <c r="R69" s="464"/>
    </row>
    <row r="70" spans="1:22">
      <c r="A70" s="454" t="s">
        <v>292</v>
      </c>
      <c r="B70" s="455">
        <v>1849659</v>
      </c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464"/>
      <c r="N70" s="456">
        <f>SUM(B70:M70)</f>
        <v>1849659</v>
      </c>
      <c r="O70" s="457"/>
      <c r="P70" s="464"/>
      <c r="Q70" s="464"/>
      <c r="R70" s="455">
        <f>N70-P70+Q70</f>
        <v>1849659</v>
      </c>
    </row>
    <row r="71" spans="1:22">
      <c r="A71" s="541" t="s">
        <v>293</v>
      </c>
      <c r="B71" s="542">
        <f>B68+B70</f>
        <v>7445204</v>
      </c>
      <c r="C71" s="542">
        <f t="shared" ref="C71:M71" si="18">C68+C70</f>
        <v>-1077724</v>
      </c>
      <c r="D71" s="542">
        <f t="shared" si="18"/>
        <v>19337</v>
      </c>
      <c r="E71" s="542">
        <f t="shared" si="18"/>
        <v>-15891</v>
      </c>
      <c r="F71" s="542">
        <f t="shared" si="18"/>
        <v>-493384</v>
      </c>
      <c r="G71" s="542">
        <f t="shared" si="18"/>
        <v>-13474</v>
      </c>
      <c r="H71" s="542">
        <f t="shared" si="18"/>
        <v>0</v>
      </c>
      <c r="I71" s="542">
        <f t="shared" si="18"/>
        <v>0</v>
      </c>
      <c r="J71" s="542">
        <f t="shared" si="18"/>
        <v>0</v>
      </c>
      <c r="K71" s="542">
        <f t="shared" si="18"/>
        <v>-344143</v>
      </c>
      <c r="L71" s="542">
        <f t="shared" si="18"/>
        <v>-502401</v>
      </c>
      <c r="M71" s="542">
        <f t="shared" si="18"/>
        <v>-395559</v>
      </c>
      <c r="N71" s="542">
        <f>N68+N70</f>
        <v>4621965</v>
      </c>
      <c r="O71" s="543"/>
      <c r="P71" s="542"/>
      <c r="Q71" s="542"/>
      <c r="R71" s="542">
        <f>R68+R70</f>
        <v>5887253.0499999858</v>
      </c>
    </row>
    <row r="72" spans="1:22">
      <c r="A72" s="474"/>
      <c r="B72" s="475"/>
      <c r="C72" s="475"/>
      <c r="D72" s="475"/>
      <c r="E72" s="476"/>
      <c r="F72" s="475"/>
      <c r="G72" s="475"/>
      <c r="H72" s="475"/>
      <c r="I72" s="475"/>
      <c r="J72" s="475"/>
      <c r="K72" s="475"/>
      <c r="L72" s="475"/>
      <c r="M72" s="475"/>
      <c r="N72" s="475"/>
      <c r="O72" s="477"/>
      <c r="P72" s="475"/>
      <c r="Q72" s="475"/>
      <c r="R72" s="475"/>
    </row>
    <row r="73" spans="1:22" ht="21.75" customHeight="1">
      <c r="A73" s="478"/>
      <c r="B73" s="450"/>
    </row>
    <row r="74" spans="1:22" ht="21.75" customHeight="1">
      <c r="A74" s="479"/>
      <c r="B74" s="480">
        <f t="shared" ref="B74:N74" si="19">+B51+B42-B23</f>
        <v>0</v>
      </c>
      <c r="C74" s="480">
        <f t="shared" si="19"/>
        <v>0</v>
      </c>
      <c r="D74" s="480">
        <f t="shared" si="19"/>
        <v>0</v>
      </c>
      <c r="E74" s="480">
        <f t="shared" si="19"/>
        <v>0</v>
      </c>
      <c r="F74" s="480">
        <f t="shared" si="19"/>
        <v>0</v>
      </c>
      <c r="G74" s="480">
        <f t="shared" si="19"/>
        <v>0</v>
      </c>
      <c r="H74" s="480">
        <f t="shared" si="19"/>
        <v>0</v>
      </c>
      <c r="I74" s="480">
        <f t="shared" si="19"/>
        <v>0</v>
      </c>
      <c r="J74" s="480">
        <f t="shared" si="19"/>
        <v>0</v>
      </c>
      <c r="K74" s="480">
        <f t="shared" si="19"/>
        <v>0</v>
      </c>
      <c r="L74" s="480">
        <f t="shared" si="19"/>
        <v>0</v>
      </c>
      <c r="M74" s="480">
        <f t="shared" si="19"/>
        <v>0</v>
      </c>
      <c r="N74" s="480">
        <f t="shared" si="19"/>
        <v>0</v>
      </c>
      <c r="P74" s="450">
        <f>SUM(P5:P73)</f>
        <v>179910943.58000001</v>
      </c>
      <c r="Q74" s="450">
        <f>SUM(Q5:Q73)</f>
        <v>181176231.63000003</v>
      </c>
      <c r="R74" s="480">
        <f>+R51+R42-R23</f>
        <v>0</v>
      </c>
    </row>
    <row r="75" spans="1:22">
      <c r="B75" s="450"/>
      <c r="C75" s="450"/>
      <c r="D75" s="450"/>
      <c r="E75" s="450"/>
      <c r="F75" s="450"/>
      <c r="G75" s="450"/>
      <c r="H75" s="450"/>
      <c r="I75" s="450"/>
      <c r="J75" s="450"/>
      <c r="K75" s="450"/>
      <c r="L75" s="450"/>
      <c r="M75" s="450"/>
      <c r="Q75" s="450"/>
      <c r="T75" s="450"/>
    </row>
    <row r="76" spans="1:22">
      <c r="A76" s="481" t="s">
        <v>280</v>
      </c>
      <c r="B76" s="452">
        <f>+B71*100%</f>
        <v>7445204</v>
      </c>
      <c r="C76" s="452">
        <f>+C71*'Variación Patrimonio'!L4</f>
        <v>-808508.54480000003</v>
      </c>
      <c r="D76" s="452">
        <f>+D71*'Variación Patrimonio'!L19</f>
        <v>19336.125022624434</v>
      </c>
      <c r="E76" s="450">
        <f>+E71*'Variación Patrimonio'!L36</f>
        <v>-10805.880000000001</v>
      </c>
      <c r="F76" s="450">
        <f>+F71*'Variación Patrimonio'!L50</f>
        <v>-246692</v>
      </c>
      <c r="G76" s="450">
        <f>+G71*'Variación Patrimonio'!L66</f>
        <v>-10105.5</v>
      </c>
      <c r="H76" s="452">
        <v>0</v>
      </c>
      <c r="I76" s="452">
        <v>0</v>
      </c>
      <c r="J76" s="452">
        <v>0</v>
      </c>
      <c r="K76" s="452">
        <f>+K71*'Variación Patrimonio'!L124</f>
        <v>-318332.27500000002</v>
      </c>
      <c r="L76" s="452">
        <f>+L71*'Variación Patrimonio'!L142</f>
        <v>-492352.98</v>
      </c>
      <c r="M76" s="452">
        <f>+M71*'Variación Patrimonio'!L167</f>
        <v>-395559</v>
      </c>
      <c r="N76" s="482">
        <f>SUM(B76:M76)</f>
        <v>5182183.9452226236</v>
      </c>
      <c r="P76" s="450">
        <f>+P60+P55</f>
        <v>376468.58</v>
      </c>
      <c r="Q76" s="482">
        <f>Q56+Q60+Q59</f>
        <v>1641756.6300000001</v>
      </c>
      <c r="R76" s="482">
        <f>+N76-P76+Q76</f>
        <v>6447471.9952226235</v>
      </c>
      <c r="S76" s="467"/>
    </row>
    <row r="77" spans="1:22">
      <c r="A77" s="481" t="s">
        <v>281</v>
      </c>
      <c r="B77" s="452">
        <f>+B71-B76</f>
        <v>0</v>
      </c>
      <c r="C77" s="483">
        <f t="shared" ref="C77:M77" si="20">+C71-C76</f>
        <v>-269215.45519999997</v>
      </c>
      <c r="D77" s="483">
        <f t="shared" si="20"/>
        <v>0.87497737556623179</v>
      </c>
      <c r="E77" s="452">
        <f t="shared" si="20"/>
        <v>-5085.119999999999</v>
      </c>
      <c r="F77" s="452">
        <f t="shared" si="20"/>
        <v>-246692</v>
      </c>
      <c r="G77" s="452">
        <f t="shared" si="20"/>
        <v>-3368.5</v>
      </c>
      <c r="H77" s="452">
        <f t="shared" si="20"/>
        <v>0</v>
      </c>
      <c r="I77" s="452">
        <f t="shared" si="20"/>
        <v>0</v>
      </c>
      <c r="J77" s="452">
        <f t="shared" si="20"/>
        <v>0</v>
      </c>
      <c r="K77" s="483">
        <f t="shared" si="20"/>
        <v>-25810.724999999977</v>
      </c>
      <c r="L77" s="483">
        <f t="shared" si="20"/>
        <v>-10048.020000000019</v>
      </c>
      <c r="M77" s="452">
        <f t="shared" si="20"/>
        <v>0</v>
      </c>
      <c r="N77" s="482">
        <f>SUM(B77:M77)</f>
        <v>-560218.94522262446</v>
      </c>
      <c r="Q77" s="482"/>
      <c r="R77" s="482">
        <f>+N77-P77+Q77</f>
        <v>-560218.94522262446</v>
      </c>
      <c r="U77" s="452"/>
      <c r="V77" s="482"/>
    </row>
    <row r="78" spans="1:22">
      <c r="C78" s="467">
        <f>+C76+C77</f>
        <v>-1077724</v>
      </c>
      <c r="D78" s="467">
        <f>+D76+D77</f>
        <v>19337</v>
      </c>
      <c r="E78" s="467">
        <f>+E76+E77</f>
        <v>-15891</v>
      </c>
      <c r="F78" s="467">
        <f>+F76+F77</f>
        <v>-493384</v>
      </c>
      <c r="G78" s="467">
        <f>+G76+G77</f>
        <v>-13474</v>
      </c>
      <c r="K78" s="467">
        <f>+K76+K77</f>
        <v>-344143</v>
      </c>
      <c r="L78" s="467">
        <f>+L76+L77</f>
        <v>-502401</v>
      </c>
      <c r="M78" s="467">
        <f>+M76+M77</f>
        <v>-395559</v>
      </c>
    </row>
    <row r="80" spans="1:22">
      <c r="Q80" s="466">
        <f>'Diario 2015 (a)'!F15</f>
        <v>70321542.087764025</v>
      </c>
    </row>
  </sheetData>
  <mergeCells count="1">
    <mergeCell ref="P3:Q3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A1:AI44"/>
  <sheetViews>
    <sheetView showGridLines="0" zoomScale="90" zoomScaleNormal="90" workbookViewId="0">
      <selection activeCell="B31" sqref="B31"/>
    </sheetView>
  </sheetViews>
  <sheetFormatPr baseColWidth="10" defaultColWidth="11.44140625" defaultRowHeight="8.4"/>
  <cols>
    <col min="1" max="1" width="28" style="550" bestFit="1" customWidth="1"/>
    <col min="2" max="2" width="1.6640625" style="550" customWidth="1"/>
    <col min="3" max="3" width="11" style="550" bestFit="1" customWidth="1"/>
    <col min="4" max="4" width="1.6640625" style="550" customWidth="1"/>
    <col min="5" max="5" width="11" style="550" customWidth="1"/>
    <col min="6" max="6" width="1.6640625" style="550" customWidth="1"/>
    <col min="7" max="7" width="13.33203125" style="550" customWidth="1"/>
    <col min="8" max="8" width="1.6640625" style="550" customWidth="1"/>
    <col min="9" max="9" width="9.33203125" style="550" bestFit="1" customWidth="1"/>
    <col min="10" max="10" width="1.6640625" style="550" customWidth="1"/>
    <col min="11" max="11" width="9.109375" style="550" bestFit="1" customWidth="1"/>
    <col min="12" max="12" width="1.6640625" style="550" customWidth="1"/>
    <col min="13" max="13" width="8.5546875" style="550" bestFit="1" customWidth="1"/>
    <col min="14" max="14" width="1.6640625" style="550" customWidth="1"/>
    <col min="15" max="15" width="11.44140625" style="550" bestFit="1" customWidth="1"/>
    <col min="16" max="16" width="1.6640625" style="550" customWidth="1"/>
    <col min="17" max="17" width="12.44140625" style="550" customWidth="1"/>
    <col min="18" max="18" width="1.6640625" style="550" customWidth="1"/>
    <col min="19" max="19" width="12.44140625" style="550" customWidth="1"/>
    <col min="20" max="20" width="1.6640625" style="550" customWidth="1"/>
    <col min="21" max="21" width="10" style="550" bestFit="1" customWidth="1"/>
    <col min="22" max="22" width="1.6640625" style="550" customWidth="1"/>
    <col min="23" max="23" width="10.5546875" style="550" bestFit="1" customWidth="1"/>
    <col min="24" max="24" width="1.6640625" style="550" customWidth="1"/>
    <col min="25" max="25" width="8.88671875" style="550" customWidth="1"/>
    <col min="26" max="26" width="1.6640625" style="550" customWidth="1"/>
    <col min="27" max="27" width="12" style="550" bestFit="1" customWidth="1"/>
    <col min="28" max="28" width="1.6640625" style="550" customWidth="1"/>
    <col min="29" max="29" width="11.5546875" style="550" bestFit="1" customWidth="1"/>
    <col min="30" max="30" width="1.6640625" style="550" customWidth="1"/>
    <col min="31" max="31" width="11.5546875" style="550" bestFit="1" customWidth="1"/>
    <col min="32" max="32" width="1.6640625" style="550" customWidth="1"/>
    <col min="33" max="33" width="12" style="557" bestFit="1" customWidth="1"/>
    <col min="34" max="16384" width="11.44140625" style="550"/>
  </cols>
  <sheetData>
    <row r="1" spans="1:35" s="544" customFormat="1" ht="16.8">
      <c r="C1" s="544" t="s">
        <v>151</v>
      </c>
      <c r="E1" s="544" t="s">
        <v>442</v>
      </c>
      <c r="G1" s="544" t="s">
        <v>444</v>
      </c>
      <c r="I1" s="544" t="s">
        <v>152</v>
      </c>
      <c r="K1" s="544" t="s">
        <v>156</v>
      </c>
      <c r="M1" s="544" t="s">
        <v>203</v>
      </c>
      <c r="O1" s="544" t="s">
        <v>159</v>
      </c>
      <c r="Q1" s="544" t="s">
        <v>445</v>
      </c>
      <c r="S1" s="544" t="s">
        <v>443</v>
      </c>
      <c r="U1" s="544" t="s">
        <v>204</v>
      </c>
      <c r="W1" s="544" t="s">
        <v>267</v>
      </c>
      <c r="Y1" s="544" t="s">
        <v>295</v>
      </c>
      <c r="AA1" s="544" t="s">
        <v>15</v>
      </c>
      <c r="AC1" s="544" t="s">
        <v>26</v>
      </c>
      <c r="AE1" s="544" t="s">
        <v>27</v>
      </c>
      <c r="AG1" s="544" t="s">
        <v>15</v>
      </c>
    </row>
    <row r="3" spans="1:35">
      <c r="A3" s="545" t="s">
        <v>193</v>
      </c>
      <c r="B3" s="545"/>
      <c r="C3" s="546">
        <v>30006697</v>
      </c>
      <c r="D3" s="547"/>
      <c r="E3" s="546">
        <v>5000</v>
      </c>
      <c r="F3" s="547"/>
      <c r="G3" s="546">
        <v>1105000</v>
      </c>
      <c r="H3" s="547"/>
      <c r="I3" s="546">
        <v>10000</v>
      </c>
      <c r="J3" s="547"/>
      <c r="K3" s="546">
        <v>1000</v>
      </c>
      <c r="L3" s="547"/>
      <c r="M3" s="546">
        <v>1000</v>
      </c>
      <c r="N3" s="547"/>
      <c r="O3" s="546">
        <v>5000</v>
      </c>
      <c r="P3" s="547"/>
      <c r="Q3" s="546">
        <v>10000</v>
      </c>
      <c r="R3" s="547"/>
      <c r="S3" s="546">
        <v>800</v>
      </c>
      <c r="T3" s="547"/>
      <c r="U3" s="546">
        <v>800</v>
      </c>
      <c r="V3" s="548"/>
      <c r="W3" s="546">
        <v>3661400</v>
      </c>
      <c r="X3" s="548"/>
      <c r="Y3" s="546">
        <v>10000</v>
      </c>
      <c r="Z3" s="547"/>
      <c r="AA3" s="547">
        <f t="shared" ref="AA3:AA11" si="0">+SUM(C3:Y3)</f>
        <v>34816697</v>
      </c>
      <c r="AB3" s="547"/>
      <c r="AC3" s="547">
        <f>-1104950-800-6800-500-750-4640-740-3751-6000-3624786-10000</f>
        <v>-4763717</v>
      </c>
      <c r="AD3" s="547"/>
      <c r="AE3" s="547"/>
      <c r="AF3" s="547"/>
      <c r="AG3" s="549">
        <f t="shared" ref="AG3:AG11" si="1">+AA3+AC3+AE3</f>
        <v>30052980</v>
      </c>
      <c r="AI3" s="551"/>
    </row>
    <row r="4" spans="1:35">
      <c r="A4" s="545" t="s">
        <v>432</v>
      </c>
      <c r="B4" s="545"/>
      <c r="C4" s="547">
        <v>920</v>
      </c>
      <c r="D4" s="547"/>
      <c r="E4" s="547">
        <v>42340052</v>
      </c>
      <c r="F4" s="547"/>
      <c r="G4" s="547">
        <v>877313</v>
      </c>
      <c r="H4" s="547"/>
      <c r="I4" s="547">
        <v>0</v>
      </c>
      <c r="J4" s="547"/>
      <c r="K4" s="547">
        <v>49015</v>
      </c>
      <c r="L4" s="547"/>
      <c r="M4" s="547">
        <v>330450</v>
      </c>
      <c r="N4" s="547"/>
      <c r="O4" s="547">
        <v>0</v>
      </c>
      <c r="P4" s="547"/>
      <c r="Q4" s="547">
        <v>0</v>
      </c>
      <c r="R4" s="547"/>
      <c r="S4" s="547">
        <v>0</v>
      </c>
      <c r="T4" s="547"/>
      <c r="U4" s="547">
        <v>1833417</v>
      </c>
      <c r="V4" s="548"/>
      <c r="W4" s="547">
        <v>406800</v>
      </c>
      <c r="X4" s="548"/>
      <c r="Y4" s="547">
        <v>0</v>
      </c>
      <c r="Z4" s="547"/>
      <c r="AA4" s="547">
        <f t="shared" si="0"/>
        <v>45837967</v>
      </c>
      <c r="AB4" s="547"/>
      <c r="AC4" s="547">
        <f>-877313-49015-330450-1833417-31546825-292500</f>
        <v>-34929520</v>
      </c>
      <c r="AD4" s="547"/>
      <c r="AE4" s="547"/>
      <c r="AF4" s="547"/>
      <c r="AG4" s="549">
        <f t="shared" si="1"/>
        <v>10908447</v>
      </c>
    </row>
    <row r="5" spans="1:35">
      <c r="A5" s="545" t="s">
        <v>17</v>
      </c>
      <c r="B5" s="552"/>
      <c r="C5" s="547">
        <v>4662954</v>
      </c>
      <c r="D5" s="547"/>
      <c r="E5" s="547">
        <v>0</v>
      </c>
      <c r="F5" s="547"/>
      <c r="G5" s="547">
        <v>0</v>
      </c>
      <c r="H5" s="547"/>
      <c r="I5" s="547">
        <v>0</v>
      </c>
      <c r="J5" s="547"/>
      <c r="K5" s="547">
        <v>500</v>
      </c>
      <c r="L5" s="547"/>
      <c r="M5" s="547">
        <v>0</v>
      </c>
      <c r="N5" s="547"/>
      <c r="O5" s="547">
        <v>0</v>
      </c>
      <c r="P5" s="547"/>
      <c r="Q5" s="547">
        <v>0</v>
      </c>
      <c r="R5" s="547"/>
      <c r="S5" s="547">
        <v>340</v>
      </c>
      <c r="T5" s="547"/>
      <c r="U5" s="547">
        <v>0</v>
      </c>
      <c r="V5" s="548"/>
      <c r="W5" s="547">
        <v>0</v>
      </c>
      <c r="X5" s="548"/>
      <c r="Y5" s="547">
        <v>0</v>
      </c>
      <c r="Z5" s="547"/>
      <c r="AA5" s="547">
        <f t="shared" si="0"/>
        <v>4663794</v>
      </c>
      <c r="AB5" s="547"/>
      <c r="AC5" s="547">
        <f>-500-340</f>
        <v>-840</v>
      </c>
      <c r="AD5" s="547"/>
      <c r="AE5" s="547"/>
      <c r="AF5" s="547"/>
      <c r="AG5" s="549">
        <f t="shared" si="1"/>
        <v>4662954</v>
      </c>
    </row>
    <row r="6" spans="1:35">
      <c r="A6" s="545" t="s">
        <v>19</v>
      </c>
      <c r="B6" s="552"/>
      <c r="C6" s="547">
        <v>34797</v>
      </c>
      <c r="D6" s="547"/>
      <c r="E6" s="547">
        <v>0</v>
      </c>
      <c r="F6" s="547"/>
      <c r="G6" s="547">
        <v>0</v>
      </c>
      <c r="H6" s="547"/>
      <c r="I6" s="547">
        <v>0</v>
      </c>
      <c r="J6" s="547"/>
      <c r="K6" s="547">
        <v>0</v>
      </c>
      <c r="L6" s="547"/>
      <c r="M6" s="547">
        <v>0</v>
      </c>
      <c r="N6" s="547"/>
      <c r="O6" s="547">
        <v>0</v>
      </c>
      <c r="P6" s="547"/>
      <c r="Q6" s="547">
        <v>0</v>
      </c>
      <c r="R6" s="547"/>
      <c r="S6" s="547">
        <v>0</v>
      </c>
      <c r="T6" s="547"/>
      <c r="U6" s="547">
        <v>0</v>
      </c>
      <c r="V6" s="548"/>
      <c r="W6" s="547">
        <v>0</v>
      </c>
      <c r="X6" s="548"/>
      <c r="Y6" s="547">
        <v>0</v>
      </c>
      <c r="Z6" s="547"/>
      <c r="AA6" s="547">
        <f t="shared" si="0"/>
        <v>34797</v>
      </c>
      <c r="AB6" s="547"/>
      <c r="AC6" s="547">
        <v>0</v>
      </c>
      <c r="AD6" s="547"/>
      <c r="AE6" s="547"/>
      <c r="AF6" s="547"/>
      <c r="AG6" s="549">
        <f t="shared" si="1"/>
        <v>34797</v>
      </c>
    </row>
    <row r="7" spans="1:35">
      <c r="A7" s="545" t="s">
        <v>434</v>
      </c>
      <c r="B7" s="552"/>
      <c r="C7" s="547">
        <v>1353857</v>
      </c>
      <c r="D7" s="547"/>
      <c r="E7" s="547">
        <v>0</v>
      </c>
      <c r="F7" s="547"/>
      <c r="G7" s="547">
        <v>0</v>
      </c>
      <c r="H7" s="547"/>
      <c r="I7" s="547">
        <v>0</v>
      </c>
      <c r="J7" s="547"/>
      <c r="K7" s="547">
        <v>0</v>
      </c>
      <c r="L7" s="547"/>
      <c r="M7" s="547">
        <v>0</v>
      </c>
      <c r="N7" s="547"/>
      <c r="O7" s="547">
        <v>0</v>
      </c>
      <c r="P7" s="547"/>
      <c r="Q7" s="547">
        <v>0</v>
      </c>
      <c r="R7" s="547"/>
      <c r="S7" s="547">
        <v>0</v>
      </c>
      <c r="T7" s="547"/>
      <c r="U7" s="547">
        <v>0</v>
      </c>
      <c r="V7" s="548"/>
      <c r="W7" s="547">
        <v>0</v>
      </c>
      <c r="X7" s="548"/>
      <c r="Y7" s="547">
        <v>0</v>
      </c>
      <c r="Z7" s="547"/>
      <c r="AA7" s="547">
        <f t="shared" si="0"/>
        <v>1353857</v>
      </c>
      <c r="AB7" s="547"/>
      <c r="AC7" s="547">
        <v>0</v>
      </c>
      <c r="AD7" s="547"/>
      <c r="AE7" s="547"/>
      <c r="AF7" s="547"/>
      <c r="AG7" s="549">
        <f t="shared" si="1"/>
        <v>1353857</v>
      </c>
    </row>
    <row r="8" spans="1:35">
      <c r="A8" s="545" t="s">
        <v>429</v>
      </c>
      <c r="B8" s="552"/>
      <c r="C8" s="547">
        <v>227072</v>
      </c>
      <c r="D8" s="547"/>
      <c r="E8" s="547">
        <v>0</v>
      </c>
      <c r="F8" s="547"/>
      <c r="G8" s="547">
        <v>0</v>
      </c>
      <c r="H8" s="547"/>
      <c r="I8" s="547">
        <v>74426</v>
      </c>
      <c r="J8" s="547"/>
      <c r="K8" s="547">
        <v>0</v>
      </c>
      <c r="L8" s="547"/>
      <c r="M8" s="547">
        <v>109633</v>
      </c>
      <c r="N8" s="547"/>
      <c r="O8" s="547">
        <v>1226</v>
      </c>
      <c r="P8" s="547"/>
      <c r="Q8" s="547">
        <v>0</v>
      </c>
      <c r="R8" s="547"/>
      <c r="S8" s="547">
        <v>0</v>
      </c>
      <c r="T8" s="547"/>
      <c r="U8" s="547">
        <v>0</v>
      </c>
      <c r="V8" s="548"/>
      <c r="W8" s="547">
        <v>0</v>
      </c>
      <c r="X8" s="548"/>
      <c r="Y8" s="547">
        <v>0</v>
      </c>
      <c r="Z8" s="547"/>
      <c r="AA8" s="547">
        <f t="shared" si="0"/>
        <v>412357</v>
      </c>
      <c r="AB8" s="547"/>
      <c r="AC8" s="547">
        <f>-74426-109633-1226</f>
        <v>-185285</v>
      </c>
      <c r="AD8" s="547"/>
      <c r="AE8" s="547"/>
      <c r="AF8" s="547"/>
      <c r="AG8" s="549">
        <f t="shared" si="1"/>
        <v>227072</v>
      </c>
    </row>
    <row r="9" spans="1:35">
      <c r="A9" s="545" t="s">
        <v>435</v>
      </c>
      <c r="B9" s="552"/>
      <c r="C9" s="547">
        <v>-3202431</v>
      </c>
      <c r="D9" s="547"/>
      <c r="E9" s="547">
        <v>0</v>
      </c>
      <c r="F9" s="547"/>
      <c r="G9" s="547">
        <v>0</v>
      </c>
      <c r="H9" s="547"/>
      <c r="I9" s="547">
        <v>0</v>
      </c>
      <c r="J9" s="547"/>
      <c r="K9" s="547">
        <v>0</v>
      </c>
      <c r="L9" s="547"/>
      <c r="M9" s="547">
        <v>0</v>
      </c>
      <c r="N9" s="547"/>
      <c r="O9" s="547">
        <v>0</v>
      </c>
      <c r="P9" s="547"/>
      <c r="Q9" s="547">
        <v>0</v>
      </c>
      <c r="R9" s="547"/>
      <c r="S9" s="547">
        <v>0</v>
      </c>
      <c r="T9" s="547"/>
      <c r="U9" s="547">
        <v>0</v>
      </c>
      <c r="V9" s="548"/>
      <c r="W9" s="547">
        <v>-56932</v>
      </c>
      <c r="X9" s="548"/>
      <c r="Y9" s="547">
        <v>0</v>
      </c>
      <c r="Z9" s="547"/>
      <c r="AA9" s="547">
        <f t="shared" si="0"/>
        <v>-3259363</v>
      </c>
      <c r="AB9" s="547"/>
      <c r="AC9" s="547">
        <v>0</v>
      </c>
      <c r="AD9" s="547"/>
      <c r="AE9" s="547">
        <v>56932</v>
      </c>
      <c r="AF9" s="547"/>
      <c r="AG9" s="549">
        <f t="shared" si="1"/>
        <v>-3202431</v>
      </c>
    </row>
    <row r="10" spans="1:35">
      <c r="A10" s="545" t="s">
        <v>446</v>
      </c>
      <c r="B10" s="552"/>
      <c r="C10" s="547">
        <v>0</v>
      </c>
      <c r="D10" s="547"/>
      <c r="E10" s="547">
        <v>0</v>
      </c>
      <c r="F10" s="547"/>
      <c r="G10" s="547">
        <v>0</v>
      </c>
      <c r="H10" s="547"/>
      <c r="I10" s="547">
        <v>0</v>
      </c>
      <c r="J10" s="547"/>
      <c r="K10" s="547">
        <v>0</v>
      </c>
      <c r="L10" s="547"/>
      <c r="M10" s="547">
        <v>0</v>
      </c>
      <c r="N10" s="547"/>
      <c r="O10" s="547">
        <v>0</v>
      </c>
      <c r="P10" s="547"/>
      <c r="Q10" s="547">
        <v>0</v>
      </c>
      <c r="R10" s="547"/>
      <c r="S10" s="547">
        <v>0</v>
      </c>
      <c r="T10" s="547"/>
      <c r="U10" s="547">
        <v>0</v>
      </c>
      <c r="V10" s="548"/>
      <c r="W10" s="547">
        <v>274690</v>
      </c>
      <c r="X10" s="548"/>
      <c r="Y10" s="547">
        <v>0</v>
      </c>
      <c r="Z10" s="547"/>
      <c r="AA10" s="547">
        <f t="shared" si="0"/>
        <v>274690</v>
      </c>
      <c r="AB10" s="547"/>
      <c r="AC10" s="547">
        <v>-274690</v>
      </c>
      <c r="AD10" s="547"/>
      <c r="AE10" s="547"/>
      <c r="AF10" s="547"/>
      <c r="AG10" s="549">
        <f t="shared" si="1"/>
        <v>0</v>
      </c>
    </row>
    <row r="11" spans="1:35">
      <c r="A11" s="545" t="s">
        <v>157</v>
      </c>
      <c r="B11" s="552"/>
      <c r="C11" s="547">
        <v>37757436</v>
      </c>
      <c r="D11" s="547"/>
      <c r="E11" s="547">
        <f>2254833-1077724</f>
        <v>1177109</v>
      </c>
      <c r="F11" s="547"/>
      <c r="G11" s="547">
        <f>-16938+19337+1</f>
        <v>2400</v>
      </c>
      <c r="H11" s="547"/>
      <c r="I11" s="547">
        <f>911628-15891</f>
        <v>895737</v>
      </c>
      <c r="J11" s="547"/>
      <c r="K11" s="547">
        <f>-488265-493384</f>
        <v>-981649</v>
      </c>
      <c r="L11" s="547"/>
      <c r="M11" s="547">
        <f>-53896-13474</f>
        <v>-67370</v>
      </c>
      <c r="N11" s="547"/>
      <c r="O11" s="547">
        <v>1763</v>
      </c>
      <c r="P11" s="547"/>
      <c r="Q11" s="547">
        <v>0</v>
      </c>
      <c r="R11" s="547"/>
      <c r="S11" s="547">
        <v>0</v>
      </c>
      <c r="T11" s="547"/>
      <c r="U11" s="547">
        <v>-359565</v>
      </c>
      <c r="V11" s="548"/>
      <c r="W11" s="547">
        <v>-4388927</v>
      </c>
      <c r="X11" s="548"/>
      <c r="Y11" s="547">
        <f>-(142959+401491)</f>
        <v>-544450</v>
      </c>
      <c r="Z11" s="547"/>
      <c r="AA11" s="547">
        <f t="shared" si="0"/>
        <v>33492484</v>
      </c>
      <c r="AB11" s="547"/>
      <c r="AC11" s="547">
        <f>-862233-97825-21667-1763-822437-266632-224942</f>
        <v>-2297499</v>
      </c>
      <c r="AD11" s="547"/>
      <c r="AE11" s="547">
        <f>3491044+394445+42502+1160144+4556</f>
        <v>5092691</v>
      </c>
      <c r="AF11" s="547"/>
      <c r="AG11" s="549">
        <f t="shared" si="1"/>
        <v>36287676</v>
      </c>
    </row>
    <row r="12" spans="1:35" ht="5.0999999999999996" customHeight="1"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8"/>
      <c r="W12" s="547"/>
      <c r="X12" s="548"/>
      <c r="Y12" s="547"/>
      <c r="Z12" s="547"/>
      <c r="AA12" s="547"/>
      <c r="AB12" s="547"/>
      <c r="AC12" s="547"/>
      <c r="AD12" s="547"/>
      <c r="AE12" s="547"/>
      <c r="AF12" s="547"/>
      <c r="AG12" s="549"/>
    </row>
    <row r="13" spans="1:35" ht="9" thickBot="1">
      <c r="A13" s="550" t="s">
        <v>436</v>
      </c>
      <c r="C13" s="553">
        <f>+SUM(C3:C11)</f>
        <v>70841302</v>
      </c>
      <c r="D13" s="547"/>
      <c r="E13" s="553">
        <f>+SUM(E3:E11)</f>
        <v>43522161</v>
      </c>
      <c r="F13" s="547"/>
      <c r="G13" s="553">
        <f>+SUM(G3:G11)</f>
        <v>1984713</v>
      </c>
      <c r="H13" s="547"/>
      <c r="I13" s="553">
        <f>+SUM(I3:I11)</f>
        <v>980163</v>
      </c>
      <c r="J13" s="547"/>
      <c r="K13" s="553">
        <f>+SUM(K3:K11)</f>
        <v>-931134</v>
      </c>
      <c r="L13" s="547"/>
      <c r="M13" s="553">
        <f>+SUM(M3:M11)</f>
        <v>373713</v>
      </c>
      <c r="N13" s="547"/>
      <c r="O13" s="553">
        <f>+SUM(O3:O11)</f>
        <v>7989</v>
      </c>
      <c r="P13" s="547"/>
      <c r="Q13" s="553">
        <f>+SUM(Q3:Q11)</f>
        <v>10000</v>
      </c>
      <c r="R13" s="547"/>
      <c r="S13" s="553">
        <f>+SUM(S3:S11)</f>
        <v>1140</v>
      </c>
      <c r="T13" s="547"/>
      <c r="U13" s="553">
        <f>+SUM(U3:U11)</f>
        <v>1474652</v>
      </c>
      <c r="V13" s="548"/>
      <c r="W13" s="553">
        <f>+SUM(W3:W11)</f>
        <v>-102969</v>
      </c>
      <c r="X13" s="548"/>
      <c r="Y13" s="553">
        <f>+SUM(Y3:Y11)</f>
        <v>-534450</v>
      </c>
      <c r="Z13" s="547"/>
      <c r="AA13" s="553">
        <f>+SUM(AA3:AA11)</f>
        <v>117627280</v>
      </c>
      <c r="AB13" s="547"/>
      <c r="AC13" s="553">
        <f>+SUM(AC3:AC11)</f>
        <v>-42451551</v>
      </c>
      <c r="AD13" s="547"/>
      <c r="AE13" s="553">
        <f>+SUM(AE3:AE11)</f>
        <v>5149623</v>
      </c>
      <c r="AF13" s="547"/>
      <c r="AG13" s="554">
        <f>+SUM(AG3:AG11)</f>
        <v>80325352</v>
      </c>
    </row>
    <row r="14" spans="1:35" ht="5.0999999999999996" customHeight="1" thickTop="1">
      <c r="C14" s="547"/>
      <c r="D14" s="547"/>
      <c r="E14" s="547"/>
      <c r="F14" s="547"/>
      <c r="G14" s="547"/>
      <c r="H14" s="547"/>
      <c r="I14" s="547"/>
      <c r="J14" s="547"/>
      <c r="K14" s="547"/>
      <c r="L14" s="547"/>
      <c r="M14" s="547"/>
      <c r="N14" s="547"/>
      <c r="O14" s="547"/>
      <c r="P14" s="547"/>
      <c r="Q14" s="547"/>
      <c r="R14" s="547"/>
      <c r="S14" s="547"/>
      <c r="T14" s="547"/>
      <c r="U14" s="547"/>
      <c r="V14" s="548"/>
      <c r="W14" s="547"/>
      <c r="X14" s="548"/>
      <c r="Y14" s="547"/>
      <c r="Z14" s="547"/>
      <c r="AA14" s="547"/>
      <c r="AB14" s="547"/>
      <c r="AC14" s="547"/>
      <c r="AD14" s="547"/>
      <c r="AE14" s="547"/>
      <c r="AF14" s="547"/>
      <c r="AG14" s="549"/>
    </row>
    <row r="15" spans="1:35" ht="5.0999999999999996" customHeight="1">
      <c r="V15" s="555"/>
      <c r="X15" s="555"/>
      <c r="AC15" s="556"/>
      <c r="AE15" s="556"/>
    </row>
    <row r="16" spans="1:35" s="558" customFormat="1">
      <c r="A16" s="558" t="s">
        <v>437</v>
      </c>
      <c r="C16" s="558">
        <v>1</v>
      </c>
      <c r="E16" s="558">
        <v>0.75019999999999998</v>
      </c>
      <c r="G16" s="558">
        <f>+(1104950/1105000)</f>
        <v>0.99995475113122168</v>
      </c>
      <c r="I16" s="558">
        <f>+(0.68)*100%</f>
        <v>0.68</v>
      </c>
      <c r="K16" s="558">
        <v>0.5</v>
      </c>
      <c r="M16" s="558">
        <v>0.75</v>
      </c>
      <c r="O16" s="558">
        <f>+(0.928)*100%</f>
        <v>0.92800000000000005</v>
      </c>
      <c r="Q16" s="558">
        <v>0.6</v>
      </c>
      <c r="S16" s="558">
        <f>+(799.96/800)*100%</f>
        <v>0.99995000000000001</v>
      </c>
      <c r="U16" s="558">
        <v>0.92500000000000004</v>
      </c>
      <c r="V16" s="559"/>
      <c r="W16" s="558">
        <v>0.99</v>
      </c>
      <c r="X16" s="559"/>
      <c r="Y16" s="558">
        <v>1</v>
      </c>
      <c r="AE16" s="560"/>
      <c r="AG16" s="561"/>
    </row>
    <row r="17" spans="1:33" ht="5.0999999999999996" customHeight="1">
      <c r="C17" s="556"/>
      <c r="E17" s="556"/>
      <c r="I17" s="556"/>
      <c r="K17" s="556"/>
      <c r="M17" s="556"/>
      <c r="O17" s="556"/>
      <c r="Q17" s="556"/>
      <c r="S17" s="556"/>
      <c r="U17" s="556"/>
      <c r="V17" s="555"/>
      <c r="W17" s="556"/>
      <c r="X17" s="555"/>
      <c r="Y17" s="556"/>
      <c r="AC17" s="556"/>
      <c r="AG17" s="562"/>
    </row>
    <row r="18" spans="1:33">
      <c r="A18" s="563" t="s">
        <v>438</v>
      </c>
      <c r="C18" s="556"/>
      <c r="E18" s="556"/>
      <c r="I18" s="556"/>
      <c r="K18" s="556"/>
      <c r="M18" s="556"/>
      <c r="O18" s="556"/>
      <c r="Q18" s="556"/>
      <c r="S18" s="556"/>
      <c r="U18" s="556"/>
      <c r="V18" s="555"/>
      <c r="W18" s="556"/>
      <c r="X18" s="555"/>
      <c r="Y18" s="556"/>
      <c r="AC18" s="556"/>
      <c r="AE18" s="556"/>
      <c r="AG18" s="562"/>
    </row>
    <row r="19" spans="1:33">
      <c r="A19" s="545" t="s">
        <v>193</v>
      </c>
      <c r="C19" s="547">
        <f t="shared" ref="C19:C25" si="2">+C3*C$16</f>
        <v>30006697</v>
      </c>
      <c r="D19" s="547"/>
      <c r="E19" s="547">
        <f>+E3*E$16</f>
        <v>3751</v>
      </c>
      <c r="F19" s="547"/>
      <c r="G19" s="547">
        <f>+G3*G$16</f>
        <v>1104950</v>
      </c>
      <c r="H19" s="547"/>
      <c r="I19" s="547">
        <f>+I3*I$16</f>
        <v>6800.0000000000009</v>
      </c>
      <c r="J19" s="547"/>
      <c r="K19" s="547">
        <f>+K3*K$16</f>
        <v>500</v>
      </c>
      <c r="L19" s="547"/>
      <c r="M19" s="547">
        <f>+M3*M$16</f>
        <v>750</v>
      </c>
      <c r="N19" s="547"/>
      <c r="O19" s="547">
        <f>+O3*O$16</f>
        <v>4640</v>
      </c>
      <c r="P19" s="547"/>
      <c r="Q19" s="547">
        <f t="shared" ref="Q19:Q25" si="3">+Q3*Q$16</f>
        <v>6000</v>
      </c>
      <c r="R19" s="547"/>
      <c r="S19" s="547">
        <f t="shared" ref="S19:S25" si="4">+S3*S$16</f>
        <v>799.96</v>
      </c>
      <c r="T19" s="547"/>
      <c r="U19" s="547">
        <f>+U3*U$16</f>
        <v>740</v>
      </c>
      <c r="V19" s="548"/>
      <c r="W19" s="547">
        <f>+W3*W$16</f>
        <v>3624786</v>
      </c>
      <c r="X19" s="548"/>
      <c r="Y19" s="547">
        <f t="shared" ref="Y19:Y25" si="5">+Y3*Y$16</f>
        <v>10000</v>
      </c>
      <c r="Z19" s="547"/>
      <c r="AA19" s="547">
        <f t="shared" ref="AA19:AA27" si="6">+SUM(C19:Z19)</f>
        <v>34770413.960000001</v>
      </c>
      <c r="AC19" s="556">
        <f t="shared" ref="AC19:AC25" si="7">+AC3</f>
        <v>-4763717</v>
      </c>
      <c r="AE19" s="564">
        <f t="shared" ref="AE19:AE25" si="8">+AE3</f>
        <v>0</v>
      </c>
      <c r="AG19" s="549">
        <f t="shared" ref="AG19:AG27" si="9">+AA19+AC19+AE19</f>
        <v>30006696.960000001</v>
      </c>
    </row>
    <row r="20" spans="1:33">
      <c r="A20" s="545" t="s">
        <v>432</v>
      </c>
      <c r="C20" s="547">
        <f t="shared" si="2"/>
        <v>920</v>
      </c>
      <c r="D20" s="547"/>
      <c r="E20" s="547">
        <v>31546825</v>
      </c>
      <c r="F20" s="547"/>
      <c r="G20" s="547">
        <v>877313</v>
      </c>
      <c r="H20" s="547"/>
      <c r="I20" s="547">
        <f>+I4*I$16</f>
        <v>0</v>
      </c>
      <c r="J20" s="547"/>
      <c r="K20" s="547">
        <v>49015</v>
      </c>
      <c r="L20" s="547"/>
      <c r="M20" s="547">
        <v>330450</v>
      </c>
      <c r="N20" s="547"/>
      <c r="O20" s="547">
        <f>+O4*O$16</f>
        <v>0</v>
      </c>
      <c r="P20" s="547"/>
      <c r="Q20" s="547">
        <f t="shared" si="3"/>
        <v>0</v>
      </c>
      <c r="R20" s="547"/>
      <c r="S20" s="547">
        <f t="shared" si="4"/>
        <v>0</v>
      </c>
      <c r="T20" s="547"/>
      <c r="U20" s="547">
        <v>1833417</v>
      </c>
      <c r="V20" s="548"/>
      <c r="W20" s="547">
        <v>292500</v>
      </c>
      <c r="X20" s="548"/>
      <c r="Y20" s="547">
        <f t="shared" si="5"/>
        <v>0</v>
      </c>
      <c r="Z20" s="547"/>
      <c r="AA20" s="547">
        <f t="shared" si="6"/>
        <v>34930440</v>
      </c>
      <c r="AC20" s="556">
        <f t="shared" si="7"/>
        <v>-34929520</v>
      </c>
      <c r="AE20" s="564">
        <f t="shared" si="8"/>
        <v>0</v>
      </c>
      <c r="AG20" s="549">
        <f t="shared" si="9"/>
        <v>920</v>
      </c>
    </row>
    <row r="21" spans="1:33">
      <c r="A21" s="545" t="s">
        <v>17</v>
      </c>
      <c r="C21" s="547">
        <f t="shared" si="2"/>
        <v>4662954</v>
      </c>
      <c r="D21" s="547"/>
      <c r="E21" s="547">
        <f>+E5*E$16</f>
        <v>0</v>
      </c>
      <c r="F21" s="547"/>
      <c r="G21" s="547">
        <f>+G5*G$16</f>
        <v>0</v>
      </c>
      <c r="H21" s="547"/>
      <c r="I21" s="547">
        <f>+I5*I$16</f>
        <v>0</v>
      </c>
      <c r="J21" s="547"/>
      <c r="K21" s="547">
        <v>500</v>
      </c>
      <c r="L21" s="547"/>
      <c r="M21" s="547">
        <f>+M5*M$16</f>
        <v>0</v>
      </c>
      <c r="N21" s="547"/>
      <c r="O21" s="547">
        <f>+O5*O$16</f>
        <v>0</v>
      </c>
      <c r="P21" s="547"/>
      <c r="Q21" s="547">
        <f t="shared" si="3"/>
        <v>0</v>
      </c>
      <c r="R21" s="547"/>
      <c r="S21" s="547">
        <f t="shared" si="4"/>
        <v>339.983</v>
      </c>
      <c r="T21" s="547"/>
      <c r="U21" s="547">
        <f>+U5*U$16</f>
        <v>0</v>
      </c>
      <c r="V21" s="548"/>
      <c r="W21" s="547">
        <f>+W5*W$16</f>
        <v>0</v>
      </c>
      <c r="X21" s="548"/>
      <c r="Y21" s="547">
        <f t="shared" si="5"/>
        <v>0</v>
      </c>
      <c r="Z21" s="547"/>
      <c r="AA21" s="547">
        <f t="shared" si="6"/>
        <v>4663793.983</v>
      </c>
      <c r="AC21" s="556">
        <f t="shared" si="7"/>
        <v>-840</v>
      </c>
      <c r="AE21" s="564">
        <f t="shared" si="8"/>
        <v>0</v>
      </c>
      <c r="AG21" s="549">
        <f t="shared" si="9"/>
        <v>4662953.983</v>
      </c>
    </row>
    <row r="22" spans="1:33">
      <c r="A22" s="545" t="s">
        <v>433</v>
      </c>
      <c r="C22" s="547">
        <f t="shared" si="2"/>
        <v>34797</v>
      </c>
      <c r="D22" s="547"/>
      <c r="E22" s="547">
        <f>+E6*E$16</f>
        <v>0</v>
      </c>
      <c r="F22" s="547"/>
      <c r="G22" s="547">
        <f>+G6*G$16</f>
        <v>0</v>
      </c>
      <c r="H22" s="547"/>
      <c r="I22" s="547">
        <f>+I6*I$16</f>
        <v>0</v>
      </c>
      <c r="J22" s="547"/>
      <c r="K22" s="547">
        <f>+K6*K$16</f>
        <v>0</v>
      </c>
      <c r="L22" s="547"/>
      <c r="M22" s="547">
        <f>+M6*M$16</f>
        <v>0</v>
      </c>
      <c r="N22" s="547"/>
      <c r="O22" s="547">
        <f>+O6*O$16</f>
        <v>0</v>
      </c>
      <c r="P22" s="547"/>
      <c r="Q22" s="547">
        <f t="shared" si="3"/>
        <v>0</v>
      </c>
      <c r="R22" s="547"/>
      <c r="S22" s="547">
        <f t="shared" si="4"/>
        <v>0</v>
      </c>
      <c r="T22" s="547"/>
      <c r="U22" s="547">
        <f>+U6*U$16</f>
        <v>0</v>
      </c>
      <c r="V22" s="548"/>
      <c r="W22" s="547">
        <f>+W6*W$16</f>
        <v>0</v>
      </c>
      <c r="X22" s="548"/>
      <c r="Y22" s="547">
        <f t="shared" si="5"/>
        <v>0</v>
      </c>
      <c r="Z22" s="547"/>
      <c r="AA22" s="547">
        <f t="shared" si="6"/>
        <v>34797</v>
      </c>
      <c r="AC22" s="556">
        <f t="shared" si="7"/>
        <v>0</v>
      </c>
      <c r="AE22" s="564">
        <f t="shared" si="8"/>
        <v>0</v>
      </c>
      <c r="AG22" s="549">
        <f t="shared" si="9"/>
        <v>34797</v>
      </c>
    </row>
    <row r="23" spans="1:33">
      <c r="A23" s="545" t="s">
        <v>434</v>
      </c>
      <c r="C23" s="547">
        <f t="shared" si="2"/>
        <v>1353857</v>
      </c>
      <c r="D23" s="547"/>
      <c r="E23" s="547">
        <f>+E7*E$16</f>
        <v>0</v>
      </c>
      <c r="F23" s="547"/>
      <c r="G23" s="547">
        <f>+G7*G$16</f>
        <v>0</v>
      </c>
      <c r="H23" s="547"/>
      <c r="I23" s="547">
        <f>+I7*I$16</f>
        <v>0</v>
      </c>
      <c r="J23" s="547"/>
      <c r="K23" s="547">
        <f>+K7*K$16</f>
        <v>0</v>
      </c>
      <c r="L23" s="547"/>
      <c r="M23" s="547">
        <f>+M7*M$16</f>
        <v>0</v>
      </c>
      <c r="N23" s="547"/>
      <c r="O23" s="547">
        <f>+O7*O$16</f>
        <v>0</v>
      </c>
      <c r="P23" s="547"/>
      <c r="Q23" s="547">
        <f t="shared" si="3"/>
        <v>0</v>
      </c>
      <c r="R23" s="547"/>
      <c r="S23" s="547">
        <f t="shared" si="4"/>
        <v>0</v>
      </c>
      <c r="T23" s="547"/>
      <c r="U23" s="547">
        <f>+U7*U$16</f>
        <v>0</v>
      </c>
      <c r="V23" s="548"/>
      <c r="W23" s="547">
        <f>+W7*W$16</f>
        <v>0</v>
      </c>
      <c r="X23" s="548"/>
      <c r="Y23" s="547">
        <f t="shared" si="5"/>
        <v>0</v>
      </c>
      <c r="Z23" s="547"/>
      <c r="AA23" s="547">
        <f t="shared" si="6"/>
        <v>1353857</v>
      </c>
      <c r="AC23" s="556">
        <f t="shared" si="7"/>
        <v>0</v>
      </c>
      <c r="AE23" s="564">
        <f t="shared" si="8"/>
        <v>0</v>
      </c>
      <c r="AG23" s="549">
        <f t="shared" si="9"/>
        <v>1353857</v>
      </c>
    </row>
    <row r="24" spans="1:33">
      <c r="A24" s="545" t="s">
        <v>429</v>
      </c>
      <c r="C24" s="547">
        <f t="shared" si="2"/>
        <v>227072</v>
      </c>
      <c r="D24" s="547"/>
      <c r="E24" s="547">
        <f>+E8*E$16</f>
        <v>0</v>
      </c>
      <c r="F24" s="547"/>
      <c r="G24" s="547">
        <f>+G8*G$16</f>
        <v>0</v>
      </c>
      <c r="H24" s="547"/>
      <c r="I24" s="547">
        <v>74426</v>
      </c>
      <c r="J24" s="547"/>
      <c r="K24" s="547">
        <f>+K8*K$16</f>
        <v>0</v>
      </c>
      <c r="L24" s="547"/>
      <c r="M24" s="547">
        <v>109633</v>
      </c>
      <c r="N24" s="547"/>
      <c r="O24" s="547">
        <v>1226</v>
      </c>
      <c r="P24" s="547"/>
      <c r="Q24" s="547">
        <f t="shared" si="3"/>
        <v>0</v>
      </c>
      <c r="R24" s="547"/>
      <c r="S24" s="547">
        <f t="shared" si="4"/>
        <v>0</v>
      </c>
      <c r="T24" s="547"/>
      <c r="U24" s="547">
        <f>+U8*U$16</f>
        <v>0</v>
      </c>
      <c r="V24" s="548"/>
      <c r="W24" s="547">
        <f>+W8*W$16</f>
        <v>0</v>
      </c>
      <c r="X24" s="548"/>
      <c r="Y24" s="547">
        <f t="shared" si="5"/>
        <v>0</v>
      </c>
      <c r="Z24" s="547"/>
      <c r="AA24" s="547">
        <f t="shared" si="6"/>
        <v>412357</v>
      </c>
      <c r="AC24" s="556">
        <f t="shared" si="7"/>
        <v>-185285</v>
      </c>
      <c r="AE24" s="564">
        <f t="shared" si="8"/>
        <v>0</v>
      </c>
      <c r="AG24" s="549">
        <f t="shared" si="9"/>
        <v>227072</v>
      </c>
    </row>
    <row r="25" spans="1:33">
      <c r="A25" s="545" t="s">
        <v>439</v>
      </c>
      <c r="C25" s="547">
        <f t="shared" si="2"/>
        <v>-3202431</v>
      </c>
      <c r="D25" s="547"/>
      <c r="E25" s="547">
        <f>+E9*E$16</f>
        <v>0</v>
      </c>
      <c r="F25" s="547"/>
      <c r="G25" s="547">
        <f>+G9*G$16</f>
        <v>0</v>
      </c>
      <c r="H25" s="547"/>
      <c r="I25" s="547">
        <f>+I9*I$16</f>
        <v>0</v>
      </c>
      <c r="J25" s="547"/>
      <c r="K25" s="547">
        <f>+K9*K$16</f>
        <v>0</v>
      </c>
      <c r="L25" s="547"/>
      <c r="M25" s="547">
        <f>+M9*M$16</f>
        <v>0</v>
      </c>
      <c r="N25" s="547"/>
      <c r="O25" s="547">
        <f>+O9*O$16</f>
        <v>0</v>
      </c>
      <c r="P25" s="547"/>
      <c r="Q25" s="547">
        <f t="shared" si="3"/>
        <v>0</v>
      </c>
      <c r="R25" s="547"/>
      <c r="S25" s="547">
        <f t="shared" si="4"/>
        <v>0</v>
      </c>
      <c r="T25" s="547"/>
      <c r="U25" s="547">
        <f>+U9*U$16</f>
        <v>0</v>
      </c>
      <c r="V25" s="548"/>
      <c r="W25" s="547">
        <v>-56932</v>
      </c>
      <c r="X25" s="548"/>
      <c r="Y25" s="547">
        <f t="shared" si="5"/>
        <v>0</v>
      </c>
      <c r="Z25" s="547"/>
      <c r="AA25" s="547">
        <f t="shared" si="6"/>
        <v>-3259363</v>
      </c>
      <c r="AC25" s="556">
        <f t="shared" si="7"/>
        <v>0</v>
      </c>
      <c r="AE25" s="547">
        <f t="shared" si="8"/>
        <v>56932</v>
      </c>
      <c r="AG25" s="549">
        <f t="shared" si="9"/>
        <v>-3202431</v>
      </c>
    </row>
    <row r="26" spans="1:33">
      <c r="A26" s="545" t="s">
        <v>446</v>
      </c>
      <c r="B26" s="552"/>
      <c r="C26" s="547">
        <v>0</v>
      </c>
      <c r="D26" s="547"/>
      <c r="E26" s="547">
        <v>0</v>
      </c>
      <c r="F26" s="547"/>
      <c r="G26" s="547">
        <v>0</v>
      </c>
      <c r="H26" s="547"/>
      <c r="I26" s="547">
        <v>0</v>
      </c>
      <c r="J26" s="547"/>
      <c r="K26" s="547">
        <v>0</v>
      </c>
      <c r="L26" s="547"/>
      <c r="M26" s="547">
        <v>0</v>
      </c>
      <c r="N26" s="547"/>
      <c r="O26" s="547">
        <v>0</v>
      </c>
      <c r="P26" s="547"/>
      <c r="Q26" s="547">
        <v>0</v>
      </c>
      <c r="R26" s="547"/>
      <c r="S26" s="547">
        <v>0</v>
      </c>
      <c r="T26" s="547"/>
      <c r="U26" s="547">
        <v>0</v>
      </c>
      <c r="V26" s="548"/>
      <c r="W26" s="547">
        <v>274690</v>
      </c>
      <c r="X26" s="548"/>
      <c r="Y26" s="547">
        <v>0</v>
      </c>
      <c r="Z26" s="547"/>
      <c r="AA26" s="547">
        <f t="shared" ref="AA26" si="10">+SUM(C26:Y26)</f>
        <v>274690</v>
      </c>
      <c r="AB26" s="547"/>
      <c r="AC26" s="547">
        <v>-274690</v>
      </c>
      <c r="AD26" s="547"/>
      <c r="AE26" s="547">
        <v>0</v>
      </c>
      <c r="AF26" s="547"/>
      <c r="AG26" s="549">
        <f t="shared" si="9"/>
        <v>0</v>
      </c>
    </row>
    <row r="27" spans="1:33">
      <c r="A27" s="545" t="s">
        <v>157</v>
      </c>
      <c r="C27" s="565">
        <f>+C11*C$16</f>
        <v>37757436</v>
      </c>
      <c r="D27" s="547"/>
      <c r="E27" s="565">
        <f>+E11*E$16</f>
        <v>883067.17180000001</v>
      </c>
      <c r="F27" s="547"/>
      <c r="G27" s="565">
        <f>+G11*G$16</f>
        <v>2399.8914027149322</v>
      </c>
      <c r="H27" s="547"/>
      <c r="I27" s="565">
        <f>+I11*I$16</f>
        <v>609101.16</v>
      </c>
      <c r="J27" s="547"/>
      <c r="K27" s="565">
        <f>+K11*K$16</f>
        <v>-490824.5</v>
      </c>
      <c r="L27" s="547"/>
      <c r="M27" s="565">
        <f>+M11*M$16</f>
        <v>-50527.5</v>
      </c>
      <c r="N27" s="547"/>
      <c r="O27" s="565">
        <f>+O11*O$16</f>
        <v>1636.0640000000001</v>
      </c>
      <c r="P27" s="547"/>
      <c r="Q27" s="565">
        <f>+Q11*Q$16</f>
        <v>0</v>
      </c>
      <c r="R27" s="547"/>
      <c r="S27" s="565">
        <f>+S11*S$16</f>
        <v>0</v>
      </c>
      <c r="T27" s="547"/>
      <c r="U27" s="565">
        <f>+U11*U$16</f>
        <v>-332597.625</v>
      </c>
      <c r="V27" s="548"/>
      <c r="W27" s="565">
        <f>+W11*W$16</f>
        <v>-4345037.7299999995</v>
      </c>
      <c r="X27" s="548"/>
      <c r="Y27" s="565">
        <f>+Y11*Y$16</f>
        <v>-544450</v>
      </c>
      <c r="Z27" s="547"/>
      <c r="AA27" s="565">
        <f t="shared" si="6"/>
        <v>33490202.932202719</v>
      </c>
      <c r="AC27" s="556">
        <f>+AC11+560219</f>
        <v>-1737280</v>
      </c>
      <c r="AE27" s="547">
        <f>+AE11-205175</f>
        <v>4887516</v>
      </c>
      <c r="AG27" s="566">
        <f t="shared" si="9"/>
        <v>36640438.932202719</v>
      </c>
    </row>
    <row r="28" spans="1:33">
      <c r="A28" s="545"/>
      <c r="C28" s="556">
        <f>+SUM(C19:C27)</f>
        <v>70841302</v>
      </c>
      <c r="E28" s="556">
        <f>+SUM(E19:E27)</f>
        <v>32433643.171799999</v>
      </c>
      <c r="G28" s="556">
        <f>+SUM(G19:G27)</f>
        <v>1984662.8914027149</v>
      </c>
      <c r="I28" s="556">
        <f>+SUM(I19:I27)</f>
        <v>690327.16</v>
      </c>
      <c r="K28" s="556">
        <f>+SUM(K19:K27)</f>
        <v>-440809.5</v>
      </c>
      <c r="M28" s="556">
        <f>+SUM(M19:M27)</f>
        <v>390305.5</v>
      </c>
      <c r="O28" s="556">
        <f>+SUM(O19:O27)</f>
        <v>7502.0640000000003</v>
      </c>
      <c r="Q28" s="556">
        <f>+SUM(Q19:Q27)</f>
        <v>6000</v>
      </c>
      <c r="S28" s="556">
        <f>+SUM(S19:S27)</f>
        <v>1139.943</v>
      </c>
      <c r="U28" s="556">
        <f>+SUM(U19:U27)</f>
        <v>1501559.375</v>
      </c>
      <c r="V28" s="555"/>
      <c r="W28" s="556">
        <f>+SUM(W19:W27)</f>
        <v>-209993.72999999952</v>
      </c>
      <c r="X28" s="555"/>
      <c r="Y28" s="556">
        <f>+SUM(Y19:Y27)</f>
        <v>-534450</v>
      </c>
      <c r="AA28" s="556">
        <f>+SUM(AA19:AA27)</f>
        <v>106671188.87520272</v>
      </c>
      <c r="AC28" s="556"/>
      <c r="AG28" s="549">
        <f>+SUM(AG19:AG27)</f>
        <v>69724304.875202715</v>
      </c>
    </row>
    <row r="29" spans="1:33" ht="5.0999999999999996" customHeight="1">
      <c r="C29" s="556"/>
      <c r="E29" s="556"/>
      <c r="I29" s="556"/>
      <c r="K29" s="556"/>
      <c r="M29" s="556"/>
      <c r="O29" s="556"/>
      <c r="Q29" s="556"/>
      <c r="S29" s="556"/>
      <c r="U29" s="556"/>
      <c r="V29" s="555"/>
      <c r="W29" s="556"/>
      <c r="X29" s="555"/>
      <c r="Y29" s="556"/>
      <c r="AC29" s="556"/>
      <c r="AG29" s="562"/>
    </row>
    <row r="30" spans="1:33">
      <c r="A30" s="563" t="s">
        <v>440</v>
      </c>
      <c r="C30" s="556"/>
      <c r="E30" s="556"/>
      <c r="I30" s="556"/>
      <c r="K30" s="556"/>
      <c r="M30" s="556"/>
      <c r="O30" s="556"/>
      <c r="Q30" s="556"/>
      <c r="S30" s="556"/>
      <c r="U30" s="556"/>
      <c r="V30" s="555"/>
      <c r="W30" s="556"/>
      <c r="X30" s="555"/>
      <c r="Y30" s="556"/>
      <c r="AC30" s="556"/>
      <c r="AG30" s="562"/>
    </row>
    <row r="31" spans="1:33">
      <c r="A31" s="545" t="s">
        <v>193</v>
      </c>
      <c r="C31" s="556">
        <f t="shared" ref="C31:C37" si="11">+C3-C19</f>
        <v>0</v>
      </c>
      <c r="E31" s="556">
        <f t="shared" ref="E31:E37" si="12">+E3-E19</f>
        <v>1249</v>
      </c>
      <c r="G31" s="556">
        <f t="shared" ref="G31:G37" si="13">+G3-G19</f>
        <v>50</v>
      </c>
      <c r="I31" s="556">
        <f t="shared" ref="I31:I37" si="14">+I3-I19</f>
        <v>3199.9999999999991</v>
      </c>
      <c r="K31" s="556">
        <f t="shared" ref="K31:K37" si="15">+K3-K19</f>
        <v>500</v>
      </c>
      <c r="M31" s="556">
        <f t="shared" ref="M31:M37" si="16">+M3-M19</f>
        <v>250</v>
      </c>
      <c r="O31" s="556">
        <f t="shared" ref="O31:O37" si="17">+O3-O19</f>
        <v>360</v>
      </c>
      <c r="Q31" s="556">
        <f t="shared" ref="Q31:Q37" si="18">+Q3-Q19</f>
        <v>4000</v>
      </c>
      <c r="S31" s="556">
        <f t="shared" ref="S31:S37" si="19">+S3-S19</f>
        <v>3.999999999996362E-2</v>
      </c>
      <c r="U31" s="556">
        <f t="shared" ref="U31:U37" si="20">+U3-U19</f>
        <v>60</v>
      </c>
      <c r="V31" s="555"/>
      <c r="W31" s="556">
        <f t="shared" ref="W31:W37" si="21">+W3-W19</f>
        <v>36614</v>
      </c>
      <c r="X31" s="555"/>
      <c r="Y31" s="556">
        <f t="shared" ref="Y31:Y37" si="22">+Y3-Y19</f>
        <v>0</v>
      </c>
      <c r="AA31" s="547">
        <f t="shared" ref="AA31:AA39" si="23">+SUM(C31:Z31)</f>
        <v>46283.040000000001</v>
      </c>
      <c r="AC31" s="556">
        <v>0</v>
      </c>
      <c r="AE31" s="556">
        <v>0</v>
      </c>
      <c r="AG31" s="549">
        <f t="shared" ref="AG31:AG39" si="24">+AA31+AC31+AE31</f>
        <v>46283.040000000001</v>
      </c>
    </row>
    <row r="32" spans="1:33">
      <c r="A32" s="545" t="s">
        <v>432</v>
      </c>
      <c r="C32" s="556">
        <f t="shared" si="11"/>
        <v>0</v>
      </c>
      <c r="E32" s="556">
        <f t="shared" si="12"/>
        <v>10793227</v>
      </c>
      <c r="G32" s="556">
        <f t="shared" si="13"/>
        <v>0</v>
      </c>
      <c r="I32" s="556">
        <f t="shared" si="14"/>
        <v>0</v>
      </c>
      <c r="K32" s="556">
        <f t="shared" si="15"/>
        <v>0</v>
      </c>
      <c r="M32" s="556">
        <f t="shared" si="16"/>
        <v>0</v>
      </c>
      <c r="O32" s="556">
        <f t="shared" si="17"/>
        <v>0</v>
      </c>
      <c r="Q32" s="556">
        <f t="shared" si="18"/>
        <v>0</v>
      </c>
      <c r="S32" s="556">
        <f t="shared" si="19"/>
        <v>0</v>
      </c>
      <c r="U32" s="556">
        <f t="shared" si="20"/>
        <v>0</v>
      </c>
      <c r="V32" s="555"/>
      <c r="W32" s="556">
        <f t="shared" si="21"/>
        <v>114300</v>
      </c>
      <c r="X32" s="555"/>
      <c r="Y32" s="556">
        <f t="shared" si="22"/>
        <v>0</v>
      </c>
      <c r="AA32" s="547">
        <f t="shared" si="23"/>
        <v>10907527</v>
      </c>
      <c r="AC32" s="556">
        <v>0</v>
      </c>
      <c r="AE32" s="556">
        <v>0</v>
      </c>
      <c r="AG32" s="549">
        <f t="shared" si="24"/>
        <v>10907527</v>
      </c>
    </row>
    <row r="33" spans="1:34">
      <c r="A33" s="545" t="s">
        <v>17</v>
      </c>
      <c r="C33" s="556">
        <f t="shared" si="11"/>
        <v>0</v>
      </c>
      <c r="E33" s="556">
        <f t="shared" si="12"/>
        <v>0</v>
      </c>
      <c r="G33" s="556">
        <f t="shared" si="13"/>
        <v>0</v>
      </c>
      <c r="I33" s="556">
        <f t="shared" si="14"/>
        <v>0</v>
      </c>
      <c r="K33" s="556">
        <f t="shared" si="15"/>
        <v>0</v>
      </c>
      <c r="M33" s="556">
        <f t="shared" si="16"/>
        <v>0</v>
      </c>
      <c r="O33" s="556">
        <f t="shared" si="17"/>
        <v>0</v>
      </c>
      <c r="Q33" s="556">
        <f t="shared" si="18"/>
        <v>0</v>
      </c>
      <c r="S33" s="556">
        <f t="shared" si="19"/>
        <v>1.6999999999995907E-2</v>
      </c>
      <c r="U33" s="556">
        <f t="shared" si="20"/>
        <v>0</v>
      </c>
      <c r="V33" s="555"/>
      <c r="W33" s="556">
        <f t="shared" si="21"/>
        <v>0</v>
      </c>
      <c r="X33" s="555"/>
      <c r="Y33" s="556">
        <f t="shared" si="22"/>
        <v>0</v>
      </c>
      <c r="AA33" s="547">
        <f t="shared" si="23"/>
        <v>1.6999999999995907E-2</v>
      </c>
      <c r="AC33" s="556">
        <v>0</v>
      </c>
      <c r="AE33" s="556">
        <v>0</v>
      </c>
      <c r="AG33" s="549">
        <f t="shared" si="24"/>
        <v>1.6999999999995907E-2</v>
      </c>
    </row>
    <row r="34" spans="1:34">
      <c r="A34" s="545" t="s">
        <v>433</v>
      </c>
      <c r="C34" s="556">
        <f t="shared" si="11"/>
        <v>0</v>
      </c>
      <c r="E34" s="556">
        <f t="shared" si="12"/>
        <v>0</v>
      </c>
      <c r="G34" s="556">
        <f t="shared" si="13"/>
        <v>0</v>
      </c>
      <c r="I34" s="556">
        <f t="shared" si="14"/>
        <v>0</v>
      </c>
      <c r="K34" s="556">
        <f t="shared" si="15"/>
        <v>0</v>
      </c>
      <c r="M34" s="556">
        <f t="shared" si="16"/>
        <v>0</v>
      </c>
      <c r="O34" s="556">
        <f t="shared" si="17"/>
        <v>0</v>
      </c>
      <c r="Q34" s="556">
        <f t="shared" si="18"/>
        <v>0</v>
      </c>
      <c r="S34" s="556">
        <f t="shared" si="19"/>
        <v>0</v>
      </c>
      <c r="U34" s="556">
        <f t="shared" si="20"/>
        <v>0</v>
      </c>
      <c r="V34" s="555"/>
      <c r="W34" s="556">
        <f t="shared" si="21"/>
        <v>0</v>
      </c>
      <c r="X34" s="555"/>
      <c r="Y34" s="556">
        <f t="shared" si="22"/>
        <v>0</v>
      </c>
      <c r="AA34" s="547">
        <f t="shared" si="23"/>
        <v>0</v>
      </c>
      <c r="AC34" s="556">
        <v>0</v>
      </c>
      <c r="AE34" s="556">
        <v>0</v>
      </c>
      <c r="AG34" s="549">
        <f t="shared" si="24"/>
        <v>0</v>
      </c>
    </row>
    <row r="35" spans="1:34">
      <c r="A35" s="545" t="s">
        <v>434</v>
      </c>
      <c r="C35" s="556">
        <f t="shared" si="11"/>
        <v>0</v>
      </c>
      <c r="E35" s="556">
        <f t="shared" si="12"/>
        <v>0</v>
      </c>
      <c r="G35" s="556">
        <f t="shared" si="13"/>
        <v>0</v>
      </c>
      <c r="I35" s="556">
        <f t="shared" si="14"/>
        <v>0</v>
      </c>
      <c r="K35" s="556">
        <f t="shared" si="15"/>
        <v>0</v>
      </c>
      <c r="M35" s="556">
        <f t="shared" si="16"/>
        <v>0</v>
      </c>
      <c r="O35" s="556">
        <f t="shared" si="17"/>
        <v>0</v>
      </c>
      <c r="Q35" s="556">
        <f t="shared" si="18"/>
        <v>0</v>
      </c>
      <c r="S35" s="556">
        <f t="shared" si="19"/>
        <v>0</v>
      </c>
      <c r="U35" s="556">
        <f t="shared" si="20"/>
        <v>0</v>
      </c>
      <c r="V35" s="555"/>
      <c r="W35" s="556">
        <f t="shared" si="21"/>
        <v>0</v>
      </c>
      <c r="X35" s="555"/>
      <c r="Y35" s="556">
        <f t="shared" si="22"/>
        <v>0</v>
      </c>
      <c r="AA35" s="547">
        <f t="shared" si="23"/>
        <v>0</v>
      </c>
      <c r="AC35" s="556">
        <v>0</v>
      </c>
      <c r="AE35" s="556">
        <v>0</v>
      </c>
      <c r="AG35" s="549">
        <f t="shared" si="24"/>
        <v>0</v>
      </c>
    </row>
    <row r="36" spans="1:34">
      <c r="A36" s="545" t="s">
        <v>429</v>
      </c>
      <c r="C36" s="556">
        <f t="shared" si="11"/>
        <v>0</v>
      </c>
      <c r="E36" s="556">
        <f t="shared" si="12"/>
        <v>0</v>
      </c>
      <c r="G36" s="556">
        <f t="shared" si="13"/>
        <v>0</v>
      </c>
      <c r="I36" s="556">
        <f t="shared" si="14"/>
        <v>0</v>
      </c>
      <c r="K36" s="556">
        <f t="shared" si="15"/>
        <v>0</v>
      </c>
      <c r="M36" s="556">
        <f t="shared" si="16"/>
        <v>0</v>
      </c>
      <c r="O36" s="556">
        <f t="shared" si="17"/>
        <v>0</v>
      </c>
      <c r="Q36" s="556">
        <f t="shared" si="18"/>
        <v>0</v>
      </c>
      <c r="S36" s="556">
        <f t="shared" si="19"/>
        <v>0</v>
      </c>
      <c r="U36" s="556">
        <f t="shared" si="20"/>
        <v>0</v>
      </c>
      <c r="V36" s="555"/>
      <c r="W36" s="556">
        <f t="shared" si="21"/>
        <v>0</v>
      </c>
      <c r="X36" s="555"/>
      <c r="Y36" s="556">
        <f t="shared" si="22"/>
        <v>0</v>
      </c>
      <c r="AA36" s="547">
        <f t="shared" si="23"/>
        <v>0</v>
      </c>
      <c r="AC36" s="556">
        <v>0</v>
      </c>
      <c r="AE36" s="556">
        <v>0</v>
      </c>
      <c r="AG36" s="549">
        <f t="shared" si="24"/>
        <v>0</v>
      </c>
    </row>
    <row r="37" spans="1:34">
      <c r="A37" s="545" t="s">
        <v>439</v>
      </c>
      <c r="C37" s="556">
        <f t="shared" si="11"/>
        <v>0</v>
      </c>
      <c r="E37" s="556">
        <f t="shared" si="12"/>
        <v>0</v>
      </c>
      <c r="G37" s="556">
        <f t="shared" si="13"/>
        <v>0</v>
      </c>
      <c r="I37" s="556">
        <f t="shared" si="14"/>
        <v>0</v>
      </c>
      <c r="K37" s="556">
        <f t="shared" si="15"/>
        <v>0</v>
      </c>
      <c r="M37" s="556">
        <f t="shared" si="16"/>
        <v>0</v>
      </c>
      <c r="O37" s="556">
        <f t="shared" si="17"/>
        <v>0</v>
      </c>
      <c r="Q37" s="556">
        <f t="shared" si="18"/>
        <v>0</v>
      </c>
      <c r="S37" s="556">
        <f t="shared" si="19"/>
        <v>0</v>
      </c>
      <c r="U37" s="556">
        <f t="shared" si="20"/>
        <v>0</v>
      </c>
      <c r="V37" s="555"/>
      <c r="W37" s="556">
        <f t="shared" si="21"/>
        <v>0</v>
      </c>
      <c r="X37" s="555"/>
      <c r="Y37" s="556">
        <f t="shared" si="22"/>
        <v>0</v>
      </c>
      <c r="AA37" s="547">
        <f t="shared" si="23"/>
        <v>0</v>
      </c>
      <c r="AC37" s="556">
        <v>0</v>
      </c>
      <c r="AE37" s="556">
        <v>0</v>
      </c>
      <c r="AG37" s="549">
        <f t="shared" si="24"/>
        <v>0</v>
      </c>
    </row>
    <row r="38" spans="1:34">
      <c r="A38" s="545" t="s">
        <v>446</v>
      </c>
      <c r="B38" s="552"/>
      <c r="C38" s="547">
        <v>0</v>
      </c>
      <c r="D38" s="547"/>
      <c r="E38" s="547">
        <v>0</v>
      </c>
      <c r="F38" s="547"/>
      <c r="G38" s="547">
        <v>0</v>
      </c>
      <c r="H38" s="547"/>
      <c r="I38" s="547">
        <v>0</v>
      </c>
      <c r="J38" s="547"/>
      <c r="K38" s="547">
        <v>0</v>
      </c>
      <c r="L38" s="547"/>
      <c r="M38" s="547">
        <v>0</v>
      </c>
      <c r="N38" s="547"/>
      <c r="O38" s="547">
        <v>0</v>
      </c>
      <c r="P38" s="547"/>
      <c r="Q38" s="547">
        <v>0</v>
      </c>
      <c r="R38" s="547"/>
      <c r="S38" s="547">
        <v>0</v>
      </c>
      <c r="T38" s="547"/>
      <c r="U38" s="547">
        <v>0</v>
      </c>
      <c r="V38" s="548"/>
      <c r="W38" s="547">
        <v>0</v>
      </c>
      <c r="X38" s="548"/>
      <c r="Y38" s="547">
        <v>0</v>
      </c>
      <c r="Z38" s="547"/>
      <c r="AA38" s="547">
        <f t="shared" ref="AA38" si="25">+SUM(C38:Y38)</f>
        <v>0</v>
      </c>
      <c r="AB38" s="547"/>
      <c r="AC38" s="547">
        <v>0</v>
      </c>
      <c r="AD38" s="547"/>
      <c r="AE38" s="547">
        <v>0</v>
      </c>
      <c r="AF38" s="547"/>
      <c r="AG38" s="549">
        <f t="shared" si="24"/>
        <v>0</v>
      </c>
    </row>
    <row r="39" spans="1:34">
      <c r="A39" s="545" t="s">
        <v>157</v>
      </c>
      <c r="C39" s="567">
        <f>+C11-C27</f>
        <v>0</v>
      </c>
      <c r="E39" s="567">
        <f>+E11-E27</f>
        <v>294041.82819999999</v>
      </c>
      <c r="G39" s="567">
        <f>+G11-G27</f>
        <v>0.1085972850678445</v>
      </c>
      <c r="I39" s="567">
        <f>+I11-I27</f>
        <v>286635.83999999997</v>
      </c>
      <c r="K39" s="567">
        <f>+K11-K27</f>
        <v>-490824.5</v>
      </c>
      <c r="M39" s="567">
        <f>+M11-M27</f>
        <v>-16842.5</v>
      </c>
      <c r="O39" s="567">
        <f>+O11-O27</f>
        <v>126.93599999999992</v>
      </c>
      <c r="Q39" s="567">
        <f>+Q11-Q27</f>
        <v>0</v>
      </c>
      <c r="S39" s="567">
        <f>+S11-S27</f>
        <v>0</v>
      </c>
      <c r="U39" s="567">
        <f>+U11-U27</f>
        <v>-26967.375</v>
      </c>
      <c r="V39" s="555"/>
      <c r="W39" s="567">
        <f>+W11-W27</f>
        <v>-43889.270000000484</v>
      </c>
      <c r="X39" s="555"/>
      <c r="Y39" s="567">
        <f>+Y11-Y27</f>
        <v>0</v>
      </c>
      <c r="AA39" s="565">
        <f t="shared" si="23"/>
        <v>2281.0677972845879</v>
      </c>
      <c r="AC39" s="556">
        <v>-560219</v>
      </c>
      <c r="AE39" s="556">
        <v>205175</v>
      </c>
      <c r="AG39" s="566">
        <f t="shared" si="24"/>
        <v>-352762.93220271543</v>
      </c>
    </row>
    <row r="40" spans="1:34">
      <c r="C40" s="556">
        <f>+SUM(C31:C39)</f>
        <v>0</v>
      </c>
      <c r="E40" s="556">
        <f>+SUM(E31:E39)</f>
        <v>11088517.828199999</v>
      </c>
      <c r="G40" s="556">
        <f>+SUM(G31:G39)</f>
        <v>50.108597285067844</v>
      </c>
      <c r="I40" s="556">
        <f>+SUM(I31:I39)</f>
        <v>289835.83999999997</v>
      </c>
      <c r="K40" s="556">
        <f>+SUM(K31:K39)</f>
        <v>-490324.5</v>
      </c>
      <c r="M40" s="556">
        <f>+SUM(M31:M39)</f>
        <v>-16592.5</v>
      </c>
      <c r="O40" s="556">
        <f>+SUM(O31:O39)</f>
        <v>486.93599999999992</v>
      </c>
      <c r="Q40" s="556">
        <f>+SUM(Q31:Q39)</f>
        <v>4000</v>
      </c>
      <c r="S40" s="556">
        <f>+SUM(S31:S39)</f>
        <v>5.6999999999959527E-2</v>
      </c>
      <c r="U40" s="556">
        <f>+SUM(U31:U39)</f>
        <v>-26907.375</v>
      </c>
      <c r="V40" s="555"/>
      <c r="W40" s="556">
        <f>+SUM(W31:W39)</f>
        <v>107024.72999999952</v>
      </c>
      <c r="X40" s="555"/>
      <c r="Y40" s="556">
        <f>+SUM(Y31:Y39)</f>
        <v>0</v>
      </c>
      <c r="AA40" s="556">
        <f>+SUM(AA31:AA39)</f>
        <v>10956091.124797285</v>
      </c>
      <c r="AG40" s="562">
        <f>+SUM(AG31:AG39)</f>
        <v>10601047.124797285</v>
      </c>
      <c r="AH40" s="556"/>
    </row>
    <row r="41" spans="1:34" ht="5.0999999999999996" customHeight="1">
      <c r="V41" s="555"/>
      <c r="X41" s="555"/>
    </row>
    <row r="42" spans="1:34">
      <c r="A42" s="550" t="s">
        <v>15</v>
      </c>
      <c r="C42" s="556">
        <f>+C40+C28</f>
        <v>70841302</v>
      </c>
      <c r="E42" s="556">
        <f>+E40+E28</f>
        <v>43522161</v>
      </c>
      <c r="G42" s="556">
        <f>+G40+G28</f>
        <v>1984713</v>
      </c>
      <c r="I42" s="556">
        <f>+I40+I28</f>
        <v>980163</v>
      </c>
      <c r="K42" s="556">
        <f>+K40+K28</f>
        <v>-931134</v>
      </c>
      <c r="M42" s="556">
        <f>+M40+M28</f>
        <v>373713</v>
      </c>
      <c r="O42" s="556">
        <f>+O40+O28</f>
        <v>7989</v>
      </c>
      <c r="Q42" s="556">
        <f>+Q40+Q28</f>
        <v>10000</v>
      </c>
      <c r="S42" s="556">
        <f>+S40+S28</f>
        <v>1140</v>
      </c>
      <c r="U42" s="556">
        <f>+U40+U28</f>
        <v>1474652</v>
      </c>
      <c r="V42" s="555"/>
      <c r="W42" s="556">
        <f>+W40+W28</f>
        <v>-102969</v>
      </c>
      <c r="X42" s="555"/>
      <c r="Y42" s="556">
        <f>+Y40+Y28</f>
        <v>-534450</v>
      </c>
    </row>
    <row r="43" spans="1:34" ht="5.0999999999999996" customHeight="1">
      <c r="V43" s="555"/>
      <c r="X43" s="555"/>
    </row>
    <row r="44" spans="1:34" s="568" customFormat="1">
      <c r="A44" s="568" t="s">
        <v>441</v>
      </c>
      <c r="C44" s="569">
        <f>+SUM(C3:C11)-C42</f>
        <v>0</v>
      </c>
      <c r="E44" s="569">
        <f>+SUM(E3:E11)-E42</f>
        <v>0</v>
      </c>
      <c r="G44" s="569">
        <f>+SUM(G3:G11)-G42</f>
        <v>0</v>
      </c>
      <c r="I44" s="569">
        <f>+SUM(I3:I11)-I42</f>
        <v>0</v>
      </c>
      <c r="K44" s="569">
        <f>+SUM(K3:K11)-K42</f>
        <v>0</v>
      </c>
      <c r="M44" s="569">
        <f>+SUM(M3:M11)-M42</f>
        <v>0</v>
      </c>
      <c r="O44" s="569">
        <f>+SUM(O3:O11)-O42</f>
        <v>0</v>
      </c>
      <c r="Q44" s="569">
        <f>+SUM(Q3:Q11)-Q42</f>
        <v>0</v>
      </c>
      <c r="S44" s="569">
        <f>+SUM(S3:S11)-S42</f>
        <v>0</v>
      </c>
      <c r="U44" s="569">
        <f>+SUM(U3:U11)-U42</f>
        <v>0</v>
      </c>
      <c r="V44" s="570"/>
      <c r="W44" s="569">
        <f>+SUM(W3:W11)-W42</f>
        <v>0</v>
      </c>
      <c r="X44" s="570"/>
      <c r="Y44" s="569">
        <f>+SUM(Y3:Y11)-Y42</f>
        <v>0</v>
      </c>
      <c r="AG44" s="571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Q95"/>
  <sheetViews>
    <sheetView showGridLines="0" workbookViewId="0">
      <selection activeCell="G23" sqref="G23"/>
    </sheetView>
  </sheetViews>
  <sheetFormatPr baseColWidth="10" defaultColWidth="11.44140625" defaultRowHeight="7.8"/>
  <cols>
    <col min="1" max="1" width="27.44140625" style="506" customWidth="1"/>
    <col min="2" max="2" width="12.6640625" style="506" bestFit="1" customWidth="1"/>
    <col min="3" max="3" width="7.88671875" style="507" bestFit="1" customWidth="1"/>
    <col min="4" max="4" width="10.33203125" style="506" bestFit="1" customWidth="1"/>
    <col min="5" max="5" width="1.6640625" style="506" customWidth="1"/>
    <col min="6" max="6" width="28.6640625" style="506" customWidth="1"/>
    <col min="7" max="7" width="8.5546875" style="506" bestFit="1" customWidth="1"/>
    <col min="8" max="8" width="7.6640625" style="507" bestFit="1" customWidth="1"/>
    <col min="9" max="9" width="10.33203125" style="506" bestFit="1" customWidth="1"/>
    <col min="10" max="10" width="1.6640625" style="506" customWidth="1"/>
    <col min="11" max="11" width="11.44140625" style="506"/>
    <col min="12" max="12" width="13.33203125" style="506" bestFit="1" customWidth="1"/>
    <col min="13" max="16384" width="11.44140625" style="506"/>
  </cols>
  <sheetData>
    <row r="1" spans="1:13" ht="15.6">
      <c r="A1" s="490"/>
      <c r="B1" s="489"/>
      <c r="C1" s="487"/>
      <c r="D1" s="488" t="s">
        <v>483</v>
      </c>
      <c r="E1" s="489"/>
      <c r="F1" s="490"/>
      <c r="G1" s="491"/>
      <c r="H1" s="487"/>
      <c r="I1" s="488" t="s">
        <v>483</v>
      </c>
      <c r="J1" s="489"/>
    </row>
    <row r="2" spans="1:13">
      <c r="A2" s="489" t="s">
        <v>484</v>
      </c>
      <c r="B2" s="493">
        <v>2017</v>
      </c>
      <c r="C2" s="492"/>
      <c r="D2" s="493">
        <v>2016</v>
      </c>
      <c r="E2" s="493"/>
      <c r="F2" s="489" t="s">
        <v>485</v>
      </c>
      <c r="G2" s="493">
        <v>2017</v>
      </c>
      <c r="H2" s="492"/>
      <c r="I2" s="493">
        <v>2016</v>
      </c>
      <c r="J2" s="493"/>
      <c r="K2" s="522"/>
      <c r="L2" s="523"/>
      <c r="M2" s="523"/>
    </row>
    <row r="3" spans="1:13">
      <c r="A3" s="490"/>
      <c r="B3" s="489"/>
      <c r="C3" s="487"/>
      <c r="D3" s="489"/>
      <c r="E3" s="489"/>
      <c r="F3" s="490"/>
      <c r="G3" s="490"/>
      <c r="H3" s="487"/>
      <c r="I3" s="490"/>
      <c r="J3" s="489"/>
    </row>
    <row r="4" spans="1:13">
      <c r="A4" s="524" t="s">
        <v>486</v>
      </c>
      <c r="B4" s="489"/>
      <c r="C4" s="487"/>
      <c r="D4" s="489"/>
      <c r="E4" s="489"/>
      <c r="F4" s="494" t="s">
        <v>487</v>
      </c>
      <c r="G4" s="495"/>
      <c r="H4" s="496"/>
      <c r="I4" s="495"/>
      <c r="J4" s="489"/>
    </row>
    <row r="5" spans="1:13">
      <c r="A5" s="499" t="s">
        <v>488</v>
      </c>
      <c r="B5" s="498">
        <v>1742562</v>
      </c>
      <c r="C5" s="497">
        <f>+D5-B5</f>
        <v>9053595</v>
      </c>
      <c r="D5" s="498">
        <v>10796157</v>
      </c>
      <c r="E5" s="489"/>
      <c r="F5" s="499" t="s">
        <v>489</v>
      </c>
      <c r="G5" s="498">
        <v>260402</v>
      </c>
      <c r="H5" s="497">
        <f>+G5-I5</f>
        <v>61512</v>
      </c>
      <c r="I5" s="498">
        <v>198890</v>
      </c>
      <c r="J5" s="500"/>
      <c r="L5" s="525"/>
      <c r="M5" s="525"/>
    </row>
    <row r="6" spans="1:13">
      <c r="A6" s="499" t="s">
        <v>490</v>
      </c>
      <c r="B6" s="498">
        <v>102620</v>
      </c>
      <c r="C6" s="497">
        <f t="shared" ref="C6:C13" si="0">+D6-B6</f>
        <v>5828169</v>
      </c>
      <c r="D6" s="498">
        <v>5930789</v>
      </c>
      <c r="E6" s="500"/>
      <c r="F6" s="499" t="s">
        <v>395</v>
      </c>
      <c r="G6" s="495">
        <v>13413675</v>
      </c>
      <c r="H6" s="497">
        <f t="shared" ref="H6:H14" si="1">+G6-I6</f>
        <v>-4986126</v>
      </c>
      <c r="I6" s="495">
        <f>31524342-198890-12925651</f>
        <v>18399801</v>
      </c>
      <c r="J6" s="489"/>
      <c r="L6" s="525"/>
      <c r="M6" s="525"/>
    </row>
    <row r="7" spans="1:13">
      <c r="A7" s="499" t="s">
        <v>65</v>
      </c>
      <c r="B7" s="498">
        <v>2644455</v>
      </c>
      <c r="C7" s="497">
        <f t="shared" si="0"/>
        <v>-593863</v>
      </c>
      <c r="D7" s="498">
        <v>2050592</v>
      </c>
      <c r="E7" s="489"/>
      <c r="F7" s="499" t="s">
        <v>491</v>
      </c>
      <c r="G7" s="495">
        <v>11459310</v>
      </c>
      <c r="H7" s="497">
        <f t="shared" si="1"/>
        <v>-1466341</v>
      </c>
      <c r="I7" s="495">
        <v>12925651</v>
      </c>
      <c r="J7" s="489"/>
      <c r="L7" s="525"/>
      <c r="M7" s="525"/>
    </row>
    <row r="8" spans="1:13">
      <c r="A8" s="499" t="s">
        <v>492</v>
      </c>
      <c r="B8" s="498">
        <v>15563404</v>
      </c>
      <c r="C8" s="497">
        <f t="shared" si="0"/>
        <v>-1100909</v>
      </c>
      <c r="D8" s="498">
        <v>14462495</v>
      </c>
      <c r="E8" s="489"/>
      <c r="F8" s="499" t="s">
        <v>493</v>
      </c>
      <c r="G8" s="501">
        <v>20436045</v>
      </c>
      <c r="H8" s="497">
        <f t="shared" si="1"/>
        <v>1910661</v>
      </c>
      <c r="I8" s="495">
        <v>18525384</v>
      </c>
      <c r="J8" s="500"/>
      <c r="L8" s="525"/>
      <c r="M8" s="525"/>
    </row>
    <row r="9" spans="1:13">
      <c r="A9" s="499" t="s">
        <v>494</v>
      </c>
      <c r="B9" s="498">
        <v>25074997</v>
      </c>
      <c r="C9" s="497">
        <f t="shared" si="0"/>
        <v>-11254398</v>
      </c>
      <c r="D9" s="498">
        <v>13820599</v>
      </c>
      <c r="E9" s="489"/>
      <c r="F9" s="499" t="s">
        <v>495</v>
      </c>
      <c r="G9" s="495">
        <v>1913629</v>
      </c>
      <c r="H9" s="497">
        <f t="shared" si="1"/>
        <v>1651239</v>
      </c>
      <c r="I9" s="495">
        <v>262390</v>
      </c>
      <c r="J9" s="500"/>
      <c r="L9" s="525"/>
      <c r="M9" s="525"/>
    </row>
    <row r="10" spans="1:13">
      <c r="A10" s="499" t="s">
        <v>69</v>
      </c>
      <c r="B10" s="498">
        <v>1124779</v>
      </c>
      <c r="C10" s="497">
        <f t="shared" si="0"/>
        <v>685042</v>
      </c>
      <c r="D10" s="498">
        <v>1809821</v>
      </c>
      <c r="E10" s="489"/>
      <c r="F10" s="499" t="s">
        <v>357</v>
      </c>
      <c r="G10" s="495">
        <v>4274907</v>
      </c>
      <c r="H10" s="497">
        <f t="shared" si="1"/>
        <v>130512</v>
      </c>
      <c r="I10" s="495">
        <v>4144395</v>
      </c>
      <c r="J10" s="500"/>
      <c r="L10" s="525"/>
      <c r="M10" s="525"/>
    </row>
    <row r="11" spans="1:13">
      <c r="A11" s="499" t="s">
        <v>68</v>
      </c>
      <c r="B11" s="498">
        <v>5538448</v>
      </c>
      <c r="C11" s="497">
        <f t="shared" si="0"/>
        <v>-2963608</v>
      </c>
      <c r="D11" s="498">
        <v>2574840</v>
      </c>
      <c r="E11" s="489"/>
      <c r="F11" s="499" t="s">
        <v>80</v>
      </c>
      <c r="G11" s="495">
        <f>5068728-1380360</f>
        <v>3688368</v>
      </c>
      <c r="H11" s="497">
        <f t="shared" si="1"/>
        <v>-31613</v>
      </c>
      <c r="I11" s="495">
        <f>783153+2936828</f>
        <v>3719981</v>
      </c>
      <c r="J11" s="500"/>
      <c r="L11" s="525"/>
      <c r="M11" s="525"/>
    </row>
    <row r="12" spans="1:13">
      <c r="A12" s="499" t="s">
        <v>70</v>
      </c>
      <c r="B12" s="498">
        <v>642184</v>
      </c>
      <c r="C12" s="497">
        <f t="shared" si="0"/>
        <v>1728719</v>
      </c>
      <c r="D12" s="498">
        <v>2370903</v>
      </c>
      <c r="E12" s="500"/>
      <c r="F12" s="499" t="s">
        <v>81</v>
      </c>
      <c r="G12" s="495">
        <v>1953502</v>
      </c>
      <c r="H12" s="497">
        <f t="shared" si="1"/>
        <v>-2404770</v>
      </c>
      <c r="I12" s="495">
        <v>4358272</v>
      </c>
      <c r="J12" s="489"/>
      <c r="L12" s="525"/>
      <c r="M12" s="525"/>
    </row>
    <row r="13" spans="1:13">
      <c r="A13" s="499" t="s">
        <v>6</v>
      </c>
      <c r="B13" s="498">
        <v>14885027</v>
      </c>
      <c r="C13" s="497">
        <f t="shared" si="0"/>
        <v>4055589</v>
      </c>
      <c r="D13" s="498">
        <v>18940616</v>
      </c>
      <c r="E13" s="489"/>
      <c r="F13" s="499" t="s">
        <v>496</v>
      </c>
      <c r="G13" s="495">
        <v>4559467</v>
      </c>
      <c r="H13" s="497">
        <f t="shared" si="1"/>
        <v>184123</v>
      </c>
      <c r="I13" s="495">
        <v>4375344</v>
      </c>
      <c r="J13" s="489"/>
      <c r="L13" s="525"/>
      <c r="M13" s="525"/>
    </row>
    <row r="14" spans="1:13">
      <c r="A14" s="524" t="s">
        <v>497</v>
      </c>
      <c r="B14" s="502">
        <f>SUM(B5:B13)</f>
        <v>67318476</v>
      </c>
      <c r="C14" s="487"/>
      <c r="D14" s="502">
        <f>SUM(D5:D13)</f>
        <v>72756812</v>
      </c>
      <c r="E14" s="500"/>
      <c r="F14" s="499" t="s">
        <v>83</v>
      </c>
      <c r="G14" s="503">
        <v>4183053</v>
      </c>
      <c r="H14" s="497">
        <f t="shared" si="1"/>
        <v>-42107</v>
      </c>
      <c r="I14" s="503">
        <v>4225160</v>
      </c>
      <c r="J14" s="489"/>
      <c r="L14" s="525"/>
      <c r="M14" s="525"/>
    </row>
    <row r="15" spans="1:13">
      <c r="A15" s="499"/>
      <c r="B15" s="498"/>
      <c r="C15" s="487"/>
      <c r="D15" s="498"/>
      <c r="E15" s="500"/>
      <c r="F15" s="504" t="s">
        <v>498</v>
      </c>
      <c r="G15" s="505">
        <f>SUM(G5:G14)</f>
        <v>66142358</v>
      </c>
      <c r="H15" s="496"/>
      <c r="I15" s="505">
        <f>SUM(I5:I14)</f>
        <v>71135268</v>
      </c>
      <c r="J15" s="500"/>
      <c r="L15" s="525"/>
      <c r="M15" s="525"/>
    </row>
    <row r="16" spans="1:13">
      <c r="A16" s="524" t="s">
        <v>499</v>
      </c>
      <c r="B16" s="498"/>
      <c r="C16" s="487"/>
      <c r="D16" s="498"/>
      <c r="E16" s="489"/>
      <c r="F16" s="499"/>
      <c r="G16" s="495"/>
      <c r="H16" s="487"/>
      <c r="I16" s="495"/>
      <c r="J16" s="489"/>
      <c r="L16" s="525"/>
      <c r="M16" s="525"/>
    </row>
    <row r="17" spans="1:17">
      <c r="A17" s="499" t="s">
        <v>68</v>
      </c>
      <c r="B17" s="498">
        <v>3212434</v>
      </c>
      <c r="C17" s="497">
        <f t="shared" ref="C17:C23" si="2">+D17-B17</f>
        <v>-206140</v>
      </c>
      <c r="D17" s="498">
        <v>3006294</v>
      </c>
      <c r="E17" s="500"/>
      <c r="F17" s="494" t="s">
        <v>500</v>
      </c>
      <c r="J17" s="500"/>
      <c r="L17" s="525"/>
      <c r="M17" s="525"/>
    </row>
    <row r="18" spans="1:17">
      <c r="A18" s="499" t="s">
        <v>501</v>
      </c>
      <c r="B18" s="498">
        <v>112886401</v>
      </c>
      <c r="C18" s="497">
        <f t="shared" si="2"/>
        <v>2499431</v>
      </c>
      <c r="D18" s="498">
        <v>115385832</v>
      </c>
      <c r="E18" s="489"/>
      <c r="F18" s="508" t="s">
        <v>502</v>
      </c>
      <c r="G18" s="495">
        <v>9674932</v>
      </c>
      <c r="H18" s="497">
        <f t="shared" ref="H18:H25" si="3">+G18-I18</f>
        <v>251068</v>
      </c>
      <c r="I18" s="495">
        <f>23039030-13615166</f>
        <v>9423864</v>
      </c>
      <c r="J18" s="500"/>
      <c r="L18" s="525"/>
      <c r="M18" s="525"/>
    </row>
    <row r="19" spans="1:17">
      <c r="A19" s="499" t="s">
        <v>503</v>
      </c>
      <c r="B19" s="498">
        <v>661755</v>
      </c>
      <c r="C19" s="497">
        <f t="shared" si="2"/>
        <v>39210</v>
      </c>
      <c r="D19" s="498">
        <v>700965</v>
      </c>
      <c r="E19" s="489"/>
      <c r="F19" s="508" t="s">
        <v>398</v>
      </c>
      <c r="G19" s="495">
        <v>6710516</v>
      </c>
      <c r="H19" s="497">
        <f t="shared" si="3"/>
        <v>-6904650</v>
      </c>
      <c r="I19" s="495">
        <v>13615166</v>
      </c>
      <c r="J19" s="500"/>
      <c r="L19" s="525"/>
      <c r="M19" s="525"/>
    </row>
    <row r="20" spans="1:17">
      <c r="A20" s="499" t="s">
        <v>504</v>
      </c>
      <c r="B20" s="498">
        <v>11276112</v>
      </c>
      <c r="C20" s="497">
        <f t="shared" si="2"/>
        <v>841341</v>
      </c>
      <c r="D20" s="498">
        <v>12117453</v>
      </c>
      <c r="E20" s="489"/>
      <c r="F20" s="499" t="s">
        <v>493</v>
      </c>
      <c r="G20" s="495">
        <v>2203673</v>
      </c>
      <c r="H20" s="497">
        <f t="shared" si="3"/>
        <v>-3509537</v>
      </c>
      <c r="I20" s="495">
        <v>5713210</v>
      </c>
      <c r="J20" s="489"/>
      <c r="K20" s="501"/>
      <c r="L20" s="525"/>
      <c r="M20" s="525"/>
      <c r="O20" s="526"/>
      <c r="Q20" s="526"/>
    </row>
    <row r="21" spans="1:17">
      <c r="A21" s="499" t="s">
        <v>212</v>
      </c>
      <c r="B21" s="498">
        <v>1422229</v>
      </c>
      <c r="C21" s="497">
        <f t="shared" si="2"/>
        <v>0</v>
      </c>
      <c r="D21" s="498">
        <v>1422229</v>
      </c>
      <c r="E21" s="489"/>
      <c r="F21" s="499" t="s">
        <v>495</v>
      </c>
      <c r="G21" s="495">
        <v>10628880</v>
      </c>
      <c r="H21" s="497">
        <f t="shared" si="3"/>
        <v>2</v>
      </c>
      <c r="I21" s="495">
        <v>10628878</v>
      </c>
      <c r="J21" s="489"/>
      <c r="L21" s="525"/>
      <c r="M21" s="525"/>
      <c r="N21" s="489"/>
      <c r="O21" s="526"/>
      <c r="P21" s="489"/>
      <c r="Q21" s="526"/>
    </row>
    <row r="22" spans="1:17">
      <c r="A22" s="499" t="s">
        <v>76</v>
      </c>
      <c r="B22" s="498">
        <v>6468792</v>
      </c>
      <c r="C22" s="497">
        <f t="shared" si="2"/>
        <v>76767</v>
      </c>
      <c r="D22" s="498">
        <v>6545559</v>
      </c>
      <c r="E22" s="489"/>
      <c r="F22" s="499" t="s">
        <v>80</v>
      </c>
      <c r="G22" s="495">
        <f>3198504-882525</f>
        <v>2315979</v>
      </c>
      <c r="H22" s="497">
        <f t="shared" si="3"/>
        <v>-477887</v>
      </c>
      <c r="I22" s="495">
        <f>2766149+27717</f>
        <v>2793866</v>
      </c>
      <c r="J22" s="489"/>
      <c r="L22" s="525"/>
      <c r="M22" s="525"/>
    </row>
    <row r="23" spans="1:17">
      <c r="A23" s="499" t="s">
        <v>77</v>
      </c>
      <c r="B23" s="509">
        <v>4326687</v>
      </c>
      <c r="C23" s="497">
        <f t="shared" si="2"/>
        <v>-1190535</v>
      </c>
      <c r="D23" s="509">
        <f>106009+3030143</f>
        <v>3136152</v>
      </c>
      <c r="E23" s="489"/>
      <c r="F23" s="499" t="s">
        <v>505</v>
      </c>
      <c r="G23" s="495">
        <v>5185547</v>
      </c>
      <c r="H23" s="497">
        <f t="shared" si="3"/>
        <v>-610580</v>
      </c>
      <c r="I23" s="495">
        <v>5796127</v>
      </c>
      <c r="J23" s="500"/>
      <c r="L23" s="525"/>
      <c r="M23" s="525"/>
    </row>
    <row r="24" spans="1:17">
      <c r="A24" s="524" t="s">
        <v>506</v>
      </c>
      <c r="B24" s="510">
        <f>SUM(B17:B23)</f>
        <v>140254410</v>
      </c>
      <c r="D24" s="510">
        <f>SUM(D17:D23)</f>
        <v>142314484</v>
      </c>
      <c r="E24" s="489"/>
      <c r="F24" s="499" t="s">
        <v>83</v>
      </c>
      <c r="G24" s="495">
        <v>20813206</v>
      </c>
      <c r="H24" s="497">
        <f t="shared" si="3"/>
        <v>3116879</v>
      </c>
      <c r="I24" s="495">
        <v>17696327</v>
      </c>
      <c r="J24" s="500"/>
      <c r="L24" s="525"/>
      <c r="M24" s="525"/>
    </row>
    <row r="25" spans="1:17" ht="8.25" customHeight="1">
      <c r="B25" s="359"/>
      <c r="D25" s="495"/>
      <c r="F25" s="499" t="s">
        <v>87</v>
      </c>
      <c r="G25" s="503">
        <v>3572443</v>
      </c>
      <c r="H25" s="497">
        <f t="shared" si="3"/>
        <v>0</v>
      </c>
      <c r="I25" s="503">
        <v>3572443</v>
      </c>
      <c r="J25" s="489"/>
      <c r="L25" s="525"/>
      <c r="M25" s="525"/>
    </row>
    <row r="26" spans="1:17">
      <c r="A26" s="524"/>
      <c r="B26" s="495"/>
      <c r="D26" s="495"/>
      <c r="E26" s="489"/>
      <c r="F26" s="504" t="s">
        <v>362</v>
      </c>
      <c r="G26" s="509">
        <f>SUM(G18:G25)</f>
        <v>61105176</v>
      </c>
      <c r="H26" s="511"/>
      <c r="I26" s="509">
        <f>SUM(I18:I25)</f>
        <v>69239881</v>
      </c>
      <c r="L26" s="525"/>
      <c r="M26" s="525"/>
    </row>
    <row r="27" spans="1:17">
      <c r="F27" s="504" t="s">
        <v>40</v>
      </c>
      <c r="G27" s="512">
        <f>+G15+G26</f>
        <v>127247534</v>
      </c>
      <c r="I27" s="512">
        <f>+I15+I26</f>
        <v>140375149</v>
      </c>
      <c r="L27" s="525"/>
      <c r="M27" s="525"/>
    </row>
    <row r="28" spans="1:17" ht="5.0999999999999996" customHeight="1">
      <c r="E28" s="491"/>
      <c r="F28" s="504"/>
      <c r="G28" s="513"/>
      <c r="I28" s="513"/>
      <c r="L28" s="525"/>
      <c r="M28" s="525"/>
    </row>
    <row r="29" spans="1:17">
      <c r="F29" s="504" t="s">
        <v>507</v>
      </c>
      <c r="G29" s="514">
        <v>80325352</v>
      </c>
      <c r="H29" s="511"/>
      <c r="I29" s="514">
        <f>77632975-2936828</f>
        <v>74696147</v>
      </c>
      <c r="K29" s="527"/>
      <c r="L29" s="525"/>
      <c r="M29" s="525"/>
    </row>
    <row r="30" spans="1:17" ht="5.0999999999999996" customHeight="1">
      <c r="E30" s="515"/>
      <c r="L30" s="525"/>
      <c r="M30" s="525"/>
    </row>
    <row r="31" spans="1:17" ht="8.4" thickBot="1">
      <c r="A31" s="490" t="s">
        <v>508</v>
      </c>
      <c r="B31" s="516">
        <f>+B24+B14</f>
        <v>207572886</v>
      </c>
      <c r="C31" s="487"/>
      <c r="D31" s="516">
        <f>+D24+D14</f>
        <v>215071296</v>
      </c>
      <c r="E31" s="491"/>
      <c r="F31" s="517" t="s">
        <v>509</v>
      </c>
      <c r="G31" s="518">
        <f>+G27+G29</f>
        <v>207572886</v>
      </c>
      <c r="H31" s="496"/>
      <c r="I31" s="518">
        <f>+I27+I29</f>
        <v>215071296</v>
      </c>
      <c r="L31" s="525"/>
      <c r="M31" s="525"/>
    </row>
    <row r="32" spans="1:17" ht="2.25" customHeight="1" thickTop="1">
      <c r="B32" s="519"/>
      <c r="C32" s="496"/>
      <c r="D32" s="519"/>
      <c r="E32" s="491"/>
      <c r="F32" s="513"/>
      <c r="G32" s="513"/>
      <c r="I32" s="513"/>
      <c r="L32" s="525"/>
      <c r="M32" s="525"/>
    </row>
    <row r="33" spans="1:12" ht="3" customHeight="1">
      <c r="B33" s="519"/>
      <c r="C33" s="496"/>
      <c r="D33" s="519"/>
      <c r="E33" s="491"/>
      <c r="F33" s="513"/>
      <c r="G33" s="513"/>
      <c r="I33" s="513"/>
      <c r="L33" s="513"/>
    </row>
    <row r="34" spans="1:12">
      <c r="B34" s="519"/>
      <c r="C34" s="496"/>
      <c r="D34" s="519"/>
      <c r="E34" s="491"/>
      <c r="F34" s="513"/>
      <c r="G34" s="513"/>
      <c r="I34" s="513"/>
      <c r="L34" s="513"/>
    </row>
    <row r="35" spans="1:12">
      <c r="B35" s="519"/>
      <c r="C35" s="496"/>
      <c r="D35" s="519"/>
      <c r="E35" s="491"/>
      <c r="F35" s="513"/>
      <c r="L35" s="513"/>
    </row>
    <row r="36" spans="1:12">
      <c r="B36" s="519"/>
      <c r="C36" s="496"/>
      <c r="D36" s="519"/>
      <c r="E36" s="491"/>
      <c r="F36" s="513"/>
      <c r="L36" s="513"/>
    </row>
    <row r="37" spans="1:12">
      <c r="B37" s="519"/>
      <c r="C37" s="496"/>
      <c r="D37" s="519"/>
      <c r="F37" s="513"/>
      <c r="G37" s="513"/>
      <c r="I37" s="513"/>
      <c r="L37" s="513"/>
    </row>
    <row r="38" spans="1:12">
      <c r="A38" s="513"/>
      <c r="B38" s="519"/>
      <c r="C38" s="496"/>
      <c r="D38" s="519"/>
      <c r="F38" s="513"/>
      <c r="G38" s="513"/>
      <c r="I38" s="513"/>
      <c r="L38" s="513"/>
    </row>
    <row r="39" spans="1:12">
      <c r="A39" s="519"/>
      <c r="B39" s="519"/>
      <c r="D39" s="519"/>
      <c r="E39" s="491"/>
      <c r="F39" s="513"/>
      <c r="G39" s="513"/>
      <c r="I39" s="513"/>
      <c r="L39" s="513"/>
    </row>
    <row r="40" spans="1:12">
      <c r="B40" s="519"/>
      <c r="D40" s="519"/>
      <c r="E40" s="491"/>
      <c r="F40" s="513"/>
      <c r="G40" s="513"/>
      <c r="I40" s="513"/>
      <c r="L40" s="513"/>
    </row>
    <row r="41" spans="1:12">
      <c r="B41" s="519"/>
      <c r="C41" s="496"/>
      <c r="D41" s="519"/>
      <c r="E41" s="491"/>
      <c r="F41" s="513"/>
      <c r="L41" s="513"/>
    </row>
    <row r="42" spans="1:12">
      <c r="B42" s="519"/>
      <c r="C42" s="496"/>
      <c r="D42" s="519"/>
      <c r="E42" s="491"/>
      <c r="F42" s="513"/>
      <c r="L42" s="513"/>
    </row>
    <row r="43" spans="1:12">
      <c r="B43" s="519"/>
      <c r="C43" s="496"/>
      <c r="D43" s="519"/>
      <c r="E43" s="491"/>
      <c r="F43" s="513"/>
      <c r="G43" s="513"/>
      <c r="I43" s="513"/>
      <c r="L43" s="513"/>
    </row>
    <row r="44" spans="1:12">
      <c r="B44" s="519"/>
      <c r="C44" s="496"/>
      <c r="D44" s="519"/>
      <c r="F44" s="513"/>
      <c r="L44" s="513"/>
    </row>
    <row r="45" spans="1:12">
      <c r="B45" s="519"/>
      <c r="C45" s="496"/>
      <c r="D45" s="519"/>
      <c r="F45" s="513"/>
      <c r="L45" s="513"/>
    </row>
    <row r="46" spans="1:12">
      <c r="B46" s="519"/>
      <c r="D46" s="519"/>
      <c r="F46" s="513"/>
      <c r="G46" s="513"/>
      <c r="I46" s="513"/>
      <c r="L46" s="513"/>
    </row>
    <row r="47" spans="1:12">
      <c r="B47" s="519"/>
      <c r="D47" s="519"/>
      <c r="F47" s="513"/>
      <c r="G47" s="513"/>
      <c r="I47" s="513"/>
      <c r="L47" s="513"/>
    </row>
    <row r="48" spans="1:12">
      <c r="B48" s="519"/>
      <c r="D48" s="519"/>
      <c r="F48" s="513"/>
      <c r="G48" s="513"/>
      <c r="I48" s="513"/>
      <c r="L48" s="513"/>
    </row>
    <row r="49" spans="1:12">
      <c r="B49" s="519"/>
      <c r="D49" s="519"/>
      <c r="E49" s="491"/>
      <c r="F49" s="513"/>
      <c r="L49" s="513"/>
    </row>
    <row r="50" spans="1:12">
      <c r="B50" s="519"/>
      <c r="D50" s="519"/>
      <c r="E50" s="491"/>
      <c r="F50" s="513"/>
      <c r="L50" s="513"/>
    </row>
    <row r="51" spans="1:12">
      <c r="B51" s="519"/>
      <c r="C51" s="496"/>
      <c r="D51" s="519"/>
      <c r="E51" s="491"/>
      <c r="F51" s="513"/>
      <c r="L51" s="513"/>
    </row>
    <row r="52" spans="1:12">
      <c r="B52" s="519"/>
      <c r="C52" s="496"/>
      <c r="D52" s="519"/>
      <c r="E52" s="491"/>
      <c r="F52" s="513"/>
      <c r="L52" s="513"/>
    </row>
    <row r="53" spans="1:12">
      <c r="A53" s="513"/>
      <c r="B53" s="519"/>
      <c r="C53" s="496"/>
      <c r="D53" s="519"/>
      <c r="E53" s="515"/>
      <c r="F53" s="513"/>
      <c r="G53" s="513"/>
      <c r="I53" s="513"/>
      <c r="L53" s="513"/>
    </row>
    <row r="54" spans="1:12">
      <c r="B54" s="519"/>
      <c r="C54" s="496"/>
      <c r="D54" s="519"/>
      <c r="F54" s="513"/>
      <c r="L54" s="513"/>
    </row>
    <row r="55" spans="1:12">
      <c r="B55" s="519"/>
      <c r="C55" s="520"/>
      <c r="D55" s="519"/>
      <c r="F55" s="513"/>
      <c r="L55" s="513"/>
    </row>
    <row r="56" spans="1:12">
      <c r="E56" s="491"/>
      <c r="F56" s="513"/>
      <c r="L56" s="513"/>
    </row>
    <row r="57" spans="1:12">
      <c r="B57" s="513"/>
      <c r="D57" s="513"/>
      <c r="E57" s="491"/>
      <c r="F57" s="513"/>
      <c r="G57" s="513"/>
      <c r="I57" s="513"/>
      <c r="L57" s="513"/>
    </row>
    <row r="58" spans="1:12">
      <c r="B58" s="513"/>
      <c r="C58" s="496"/>
      <c r="D58" s="513"/>
      <c r="E58" s="491"/>
      <c r="F58" s="513"/>
      <c r="L58" s="513"/>
    </row>
    <row r="59" spans="1:12">
      <c r="A59" s="513"/>
      <c r="B59" s="513"/>
      <c r="C59" s="496"/>
      <c r="D59" s="513"/>
      <c r="E59" s="491"/>
      <c r="F59" s="513"/>
      <c r="L59" s="513"/>
    </row>
    <row r="60" spans="1:12">
      <c r="B60" s="513"/>
      <c r="C60" s="496"/>
      <c r="D60" s="513"/>
      <c r="F60" s="521"/>
      <c r="L60" s="513"/>
    </row>
    <row r="61" spans="1:12">
      <c r="B61" s="513"/>
      <c r="C61" s="496"/>
      <c r="D61" s="513"/>
      <c r="E61" s="491"/>
      <c r="F61" s="521"/>
      <c r="L61" s="513"/>
    </row>
    <row r="62" spans="1:12">
      <c r="B62" s="519"/>
      <c r="D62" s="519"/>
      <c r="F62" s="521"/>
      <c r="L62" s="513"/>
    </row>
    <row r="63" spans="1:12">
      <c r="B63" s="513"/>
      <c r="C63" s="496"/>
      <c r="D63" s="513"/>
      <c r="E63" s="491"/>
      <c r="F63" s="521"/>
      <c r="L63" s="513"/>
    </row>
    <row r="64" spans="1:12">
      <c r="E64" s="491"/>
      <c r="F64" s="521"/>
      <c r="L64" s="513"/>
    </row>
    <row r="65" spans="2:12">
      <c r="B65" s="513"/>
      <c r="C65" s="496"/>
      <c r="D65" s="513"/>
      <c r="E65" s="491"/>
      <c r="F65" s="521"/>
      <c r="L65" s="513"/>
    </row>
    <row r="66" spans="2:12">
      <c r="B66" s="513"/>
      <c r="C66" s="496"/>
      <c r="D66" s="513"/>
      <c r="E66" s="491"/>
      <c r="F66" s="521"/>
      <c r="L66" s="513"/>
    </row>
    <row r="67" spans="2:12">
      <c r="B67" s="513"/>
      <c r="C67" s="496"/>
      <c r="D67" s="513"/>
      <c r="E67" s="491"/>
      <c r="F67" s="521"/>
      <c r="L67" s="513"/>
    </row>
    <row r="68" spans="2:12">
      <c r="B68" s="513"/>
      <c r="C68" s="496"/>
      <c r="D68" s="513"/>
      <c r="E68" s="491"/>
      <c r="F68" s="521"/>
      <c r="L68" s="513"/>
    </row>
    <row r="69" spans="2:12">
      <c r="B69" s="513"/>
      <c r="C69" s="496"/>
      <c r="D69" s="513"/>
      <c r="F69" s="521"/>
      <c r="L69" s="513"/>
    </row>
    <row r="70" spans="2:12">
      <c r="B70" s="513"/>
      <c r="C70" s="496"/>
      <c r="D70" s="513"/>
      <c r="F70" s="521"/>
      <c r="L70" s="513"/>
    </row>
    <row r="71" spans="2:12">
      <c r="B71" s="521"/>
      <c r="D71" s="521"/>
      <c r="F71" s="521"/>
      <c r="L71" s="513"/>
    </row>
    <row r="72" spans="2:12">
      <c r="B72" s="521"/>
      <c r="D72" s="521"/>
      <c r="F72" s="521"/>
      <c r="L72" s="513"/>
    </row>
    <row r="73" spans="2:12">
      <c r="F73" s="521"/>
      <c r="L73" s="513"/>
    </row>
    <row r="74" spans="2:12">
      <c r="F74" s="521"/>
      <c r="L74" s="513"/>
    </row>
    <row r="75" spans="2:12">
      <c r="L75" s="513"/>
    </row>
    <row r="76" spans="2:12">
      <c r="L76" s="513"/>
    </row>
    <row r="77" spans="2:12">
      <c r="L77" s="513"/>
    </row>
    <row r="78" spans="2:12">
      <c r="L78" s="513"/>
    </row>
    <row r="79" spans="2:12">
      <c r="L79" s="513"/>
    </row>
    <row r="80" spans="2:12">
      <c r="L80" s="513"/>
    </row>
    <row r="81" spans="12:12">
      <c r="L81" s="513"/>
    </row>
    <row r="82" spans="12:12">
      <c r="L82" s="513"/>
    </row>
    <row r="83" spans="12:12">
      <c r="L83" s="513"/>
    </row>
    <row r="84" spans="12:12">
      <c r="L84" s="513"/>
    </row>
    <row r="85" spans="12:12">
      <c r="L85" s="513"/>
    </row>
    <row r="86" spans="12:12">
      <c r="L86" s="513"/>
    </row>
    <row r="87" spans="12:12">
      <c r="L87" s="513"/>
    </row>
    <row r="88" spans="12:12">
      <c r="L88" s="513"/>
    </row>
    <row r="89" spans="12:12">
      <c r="L89" s="513"/>
    </row>
    <row r="90" spans="12:12">
      <c r="L90" s="513"/>
    </row>
    <row r="91" spans="12:12">
      <c r="L91" s="513"/>
    </row>
    <row r="92" spans="12:12">
      <c r="L92" s="513"/>
    </row>
    <row r="93" spans="12:12">
      <c r="L93" s="513"/>
    </row>
    <row r="94" spans="12:12">
      <c r="L94" s="513"/>
    </row>
    <row r="95" spans="12:12">
      <c r="L95" s="51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J39"/>
  <sheetViews>
    <sheetView showGridLines="0" workbookViewId="0">
      <selection activeCell="E16" sqref="E16"/>
    </sheetView>
  </sheetViews>
  <sheetFormatPr baseColWidth="10" defaultColWidth="11.44140625" defaultRowHeight="11.4"/>
  <cols>
    <col min="1" max="1" width="40.33203125" style="425" customWidth="1"/>
    <col min="2" max="2" width="3.5546875" style="425" customWidth="1"/>
    <col min="3" max="3" width="13.33203125" style="425" bestFit="1" customWidth="1"/>
    <col min="4" max="4" width="1.33203125" style="425" customWidth="1"/>
    <col min="5" max="5" width="12" style="425" bestFit="1" customWidth="1"/>
    <col min="6" max="6" width="1.6640625" style="426" customWidth="1"/>
    <col min="7" max="7" width="13.33203125" style="425" bestFit="1" customWidth="1"/>
    <col min="8" max="8" width="15.33203125" style="425" bestFit="1" customWidth="1"/>
    <col min="9" max="9" width="12.88671875" style="425" bestFit="1" customWidth="1"/>
    <col min="10" max="16384" width="11.44140625" style="425"/>
  </cols>
  <sheetData>
    <row r="1" spans="1:8" s="422" customFormat="1" ht="13.2">
      <c r="A1" s="419"/>
      <c r="B1" s="420"/>
      <c r="C1" s="421">
        <v>2017</v>
      </c>
      <c r="D1" s="421"/>
      <c r="E1" s="421">
        <v>2016</v>
      </c>
      <c r="F1" s="423"/>
    </row>
    <row r="2" spans="1:8" ht="5.0999999999999996" customHeight="1">
      <c r="A2" s="424"/>
      <c r="B2" s="420"/>
      <c r="C2" s="421"/>
      <c r="D2" s="421"/>
      <c r="E2" s="421"/>
    </row>
    <row r="3" spans="1:8" ht="14.4">
      <c r="A3" s="427" t="s">
        <v>510</v>
      </c>
      <c r="B3" s="427"/>
      <c r="C3" s="428">
        <v>155656071</v>
      </c>
      <c r="D3" s="429"/>
      <c r="E3" s="428">
        <v>146349769</v>
      </c>
      <c r="H3" s="430"/>
    </row>
    <row r="4" spans="1:8">
      <c r="A4" s="427" t="s">
        <v>511</v>
      </c>
      <c r="B4" s="427"/>
      <c r="C4" s="432">
        <v>-103315253</v>
      </c>
      <c r="D4" s="429"/>
      <c r="E4" s="432">
        <v>-96949966</v>
      </c>
    </row>
    <row r="5" spans="1:8" ht="5.0999999999999996" customHeight="1"/>
    <row r="6" spans="1:8">
      <c r="A6" s="427" t="s">
        <v>512</v>
      </c>
      <c r="B6" s="427"/>
      <c r="C6" s="429">
        <f>+C3+C4</f>
        <v>52340818</v>
      </c>
      <c r="D6" s="429"/>
      <c r="E6" s="429">
        <f>+E3+E4</f>
        <v>49399803</v>
      </c>
    </row>
    <row r="7" spans="1:8" ht="5.0999999999999996" customHeight="1">
      <c r="A7" s="431"/>
      <c r="B7" s="431"/>
      <c r="C7" s="429"/>
      <c r="D7" s="429"/>
      <c r="E7" s="429"/>
    </row>
    <row r="8" spans="1:8">
      <c r="A8" s="433" t="s">
        <v>513</v>
      </c>
      <c r="B8" s="431"/>
      <c r="C8" s="429"/>
      <c r="D8" s="429"/>
      <c r="E8" s="429"/>
    </row>
    <row r="9" spans="1:8">
      <c r="A9" s="431" t="s">
        <v>514</v>
      </c>
      <c r="B9" s="431"/>
      <c r="C9" s="434">
        <f>-35767910+54059</f>
        <v>-35713851</v>
      </c>
      <c r="D9" s="429"/>
      <c r="E9" s="434">
        <f>-32975950+1759101</f>
        <v>-31216849</v>
      </c>
    </row>
    <row r="10" spans="1:8" ht="5.0999999999999996" customHeight="1">
      <c r="A10" s="431"/>
      <c r="B10" s="431"/>
      <c r="C10" s="429"/>
      <c r="D10" s="429"/>
      <c r="E10" s="429"/>
    </row>
    <row r="11" spans="1:8">
      <c r="A11" s="427" t="s">
        <v>515</v>
      </c>
      <c r="B11" s="431"/>
      <c r="C11" s="429">
        <f>+C6+C9</f>
        <v>16626967</v>
      </c>
      <c r="D11" s="429"/>
      <c r="E11" s="429">
        <f>+E6+E9</f>
        <v>18182954</v>
      </c>
    </row>
    <row r="12" spans="1:8" ht="5.0999999999999996" customHeight="1">
      <c r="A12" s="427"/>
      <c r="B12" s="431"/>
      <c r="C12" s="429"/>
      <c r="D12" s="429"/>
      <c r="E12" s="429"/>
    </row>
    <row r="13" spans="1:8">
      <c r="A13" s="427" t="s">
        <v>516</v>
      </c>
      <c r="B13" s="431"/>
      <c r="C13" s="429">
        <v>-5201733</v>
      </c>
      <c r="D13" s="429"/>
      <c r="E13" s="429">
        <v>-4584126</v>
      </c>
    </row>
    <row r="14" spans="1:8" ht="14.4">
      <c r="A14" s="427" t="s">
        <v>517</v>
      </c>
      <c r="B14" s="431"/>
      <c r="C14" s="429">
        <v>-2320430</v>
      </c>
      <c r="D14" s="429"/>
      <c r="E14" s="429">
        <v>-507141</v>
      </c>
      <c r="G14" s="430"/>
      <c r="H14" s="430"/>
    </row>
    <row r="15" spans="1:8" ht="5.4" customHeight="1">
      <c r="A15" s="427"/>
      <c r="B15" s="431"/>
      <c r="C15" s="434"/>
      <c r="D15" s="429"/>
      <c r="E15" s="434"/>
    </row>
    <row r="16" spans="1:8" ht="22.8">
      <c r="A16" s="435" t="s">
        <v>518</v>
      </c>
      <c r="B16" s="431"/>
      <c r="C16" s="429">
        <f>+C11+C13+C14</f>
        <v>9104804</v>
      </c>
      <c r="D16" s="429"/>
      <c r="E16" s="429">
        <f>+E11+E13+E14</f>
        <v>13091687</v>
      </c>
    </row>
    <row r="17" spans="1:10" ht="5.0999999999999996" customHeight="1">
      <c r="A17" s="427"/>
      <c r="B17" s="431"/>
      <c r="C17" s="429"/>
      <c r="D17" s="429"/>
      <c r="E17" s="429"/>
    </row>
    <row r="18" spans="1:10">
      <c r="A18" s="431" t="s">
        <v>112</v>
      </c>
      <c r="B18" s="431"/>
      <c r="C18" s="436">
        <v>-1591304</v>
      </c>
      <c r="D18" s="427"/>
      <c r="E18" s="436">
        <v>-1759101</v>
      </c>
    </row>
    <row r="19" spans="1:10" ht="5.4" customHeight="1">
      <c r="A19" s="431"/>
      <c r="B19" s="431"/>
      <c r="C19" s="429"/>
      <c r="D19" s="429"/>
      <c r="E19" s="429"/>
    </row>
    <row r="20" spans="1:10">
      <c r="A20" s="431" t="s">
        <v>375</v>
      </c>
      <c r="C20" s="429">
        <f>-3421847-54059</f>
        <v>-3475906</v>
      </c>
      <c r="E20" s="429">
        <v>-3198548</v>
      </c>
    </row>
    <row r="21" spans="1:10" ht="5.0999999999999996" customHeight="1">
      <c r="A21" s="437"/>
      <c r="C21" s="426"/>
      <c r="E21" s="426"/>
    </row>
    <row r="22" spans="1:10" ht="13.2">
      <c r="A22" s="427" t="s">
        <v>519</v>
      </c>
      <c r="C22" s="438">
        <f>+C16+C18+C20</f>
        <v>4037594</v>
      </c>
      <c r="D22" s="429"/>
      <c r="E22" s="438">
        <f>+E16+E18+E20</f>
        <v>8134038</v>
      </c>
      <c r="F22" s="429"/>
      <c r="G22" s="439"/>
      <c r="H22" s="440"/>
      <c r="I22" s="441"/>
      <c r="J22" s="442"/>
    </row>
    <row r="24" spans="1:10">
      <c r="A24" s="433" t="s">
        <v>520</v>
      </c>
    </row>
    <row r="25" spans="1:10" ht="5.0999999999999996" customHeight="1">
      <c r="A25" s="437"/>
      <c r="C25" s="426"/>
      <c r="E25" s="426"/>
    </row>
    <row r="26" spans="1:10" ht="22.8">
      <c r="A26" s="486" t="s">
        <v>521</v>
      </c>
      <c r="C26" s="432">
        <v>1849659</v>
      </c>
      <c r="E26" s="432">
        <v>-495802</v>
      </c>
    </row>
    <row r="27" spans="1:10" ht="5.0999999999999996" customHeight="1">
      <c r="A27" s="437"/>
      <c r="C27" s="426"/>
      <c r="E27" s="426"/>
    </row>
    <row r="28" spans="1:10" ht="12" thickBot="1">
      <c r="A28" s="431" t="s">
        <v>293</v>
      </c>
      <c r="C28" s="443">
        <f>+C22+C26</f>
        <v>5887253</v>
      </c>
      <c r="E28" s="443">
        <f>+E22+E26</f>
        <v>7638236</v>
      </c>
    </row>
    <row r="29" spans="1:10" ht="5.0999999999999996" customHeight="1" thickTop="1">
      <c r="A29" s="431"/>
    </row>
    <row r="30" spans="1:10">
      <c r="A30" s="402" t="s">
        <v>522</v>
      </c>
      <c r="C30" s="434">
        <v>6447472</v>
      </c>
      <c r="D30" s="429"/>
      <c r="E30" s="434">
        <v>7246588</v>
      </c>
      <c r="F30" s="425"/>
    </row>
    <row r="31" spans="1:10" ht="5.0999999999999996" customHeight="1">
      <c r="A31" s="402"/>
      <c r="C31" s="444"/>
      <c r="D31" s="445"/>
      <c r="E31" s="444"/>
      <c r="F31" s="425"/>
    </row>
    <row r="32" spans="1:10">
      <c r="A32" s="402" t="s">
        <v>523</v>
      </c>
      <c r="C32" s="432">
        <v>-560219</v>
      </c>
      <c r="E32" s="446">
        <v>391648</v>
      </c>
      <c r="F32" s="425"/>
    </row>
    <row r="33" spans="6:6" ht="5.0999999999999996" customHeight="1">
      <c r="F33" s="425"/>
    </row>
    <row r="37" spans="6:6">
      <c r="F37" s="425"/>
    </row>
    <row r="38" spans="6:6">
      <c r="F38" s="425"/>
    </row>
    <row r="39" spans="6:6">
      <c r="F39" s="4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W47"/>
  <sheetViews>
    <sheetView showGridLines="0" workbookViewId="0">
      <selection activeCell="R41" sqref="R41"/>
    </sheetView>
  </sheetViews>
  <sheetFormatPr baseColWidth="10" defaultColWidth="11.44140625" defaultRowHeight="8.4"/>
  <cols>
    <col min="1" max="1" width="36.6640625" style="580" customWidth="1"/>
    <col min="2" max="2" width="4.44140625" style="580" customWidth="1"/>
    <col min="3" max="3" width="10.5546875" style="580" customWidth="1"/>
    <col min="4" max="4" width="2.33203125" style="580" customWidth="1"/>
    <col min="5" max="5" width="12.88671875" style="580" customWidth="1"/>
    <col min="6" max="6" width="1.33203125" style="580" customWidth="1"/>
    <col min="7" max="7" width="9.33203125" style="580" customWidth="1"/>
    <col min="8" max="8" width="1.33203125" style="580" customWidth="1"/>
    <col min="9" max="9" width="10.44140625" style="580" customWidth="1"/>
    <col min="10" max="10" width="1.33203125" style="580" customWidth="1"/>
    <col min="11" max="11" width="9.6640625" style="580" customWidth="1"/>
    <col min="12" max="12" width="1.33203125" style="580" customWidth="1"/>
    <col min="13" max="13" width="8.5546875" style="580" bestFit="1" customWidth="1"/>
    <col min="14" max="14" width="1.33203125" style="580" customWidth="1"/>
    <col min="15" max="15" width="10.5546875" style="580" bestFit="1" customWidth="1"/>
    <col min="16" max="16" width="1.33203125" style="580" customWidth="1"/>
    <col min="17" max="17" width="10" style="580" customWidth="1"/>
    <col min="18" max="18" width="1.33203125" style="580" customWidth="1"/>
    <col min="19" max="19" width="11.44140625" style="580" bestFit="1" customWidth="1"/>
    <col min="20" max="20" width="2.33203125" style="580" customWidth="1"/>
    <col min="21" max="21" width="10" style="580" customWidth="1"/>
    <col min="22" max="22" width="2.33203125" style="580" customWidth="1"/>
    <col min="23" max="16384" width="11.44140625" style="580"/>
  </cols>
  <sheetData>
    <row r="1" spans="1:22" s="576" customFormat="1">
      <c r="E1" s="572"/>
      <c r="F1" s="572"/>
      <c r="G1" s="572"/>
      <c r="H1" s="572"/>
      <c r="I1" s="572"/>
      <c r="J1" s="572"/>
      <c r="K1" s="572"/>
      <c r="L1" s="572"/>
      <c r="M1" s="627" t="s">
        <v>157</v>
      </c>
      <c r="N1" s="627"/>
      <c r="O1" s="627"/>
      <c r="P1" s="627"/>
      <c r="Q1" s="627"/>
    </row>
    <row r="2" spans="1:22" s="576" customFormat="1" ht="14.25" customHeight="1">
      <c r="C2" s="628" t="s">
        <v>537</v>
      </c>
      <c r="D2" s="577"/>
      <c r="E2" s="572" t="s">
        <v>538</v>
      </c>
      <c r="F2" s="577"/>
      <c r="H2" s="577"/>
      <c r="J2" s="577"/>
      <c r="K2" s="572" t="s">
        <v>539</v>
      </c>
      <c r="L2" s="577"/>
      <c r="M2" s="572" t="s">
        <v>540</v>
      </c>
      <c r="N2" s="577"/>
      <c r="O2" s="578"/>
      <c r="P2" s="577"/>
      <c r="R2" s="577"/>
      <c r="S2" s="577"/>
      <c r="T2" s="577"/>
      <c r="U2" s="577"/>
      <c r="V2" s="577"/>
    </row>
    <row r="3" spans="1:22" s="576" customFormat="1" ht="14.25" customHeight="1">
      <c r="C3" s="628"/>
      <c r="D3" s="577"/>
      <c r="E3" s="572" t="s">
        <v>541</v>
      </c>
      <c r="F3" s="577"/>
      <c r="G3" s="572" t="s">
        <v>542</v>
      </c>
      <c r="H3" s="577"/>
      <c r="I3" s="572" t="s">
        <v>542</v>
      </c>
      <c r="J3" s="577"/>
      <c r="K3" s="572" t="s">
        <v>543</v>
      </c>
      <c r="L3" s="577"/>
      <c r="M3" s="572" t="s">
        <v>544</v>
      </c>
      <c r="N3" s="577"/>
      <c r="O3" s="572" t="s">
        <v>545</v>
      </c>
      <c r="P3" s="577"/>
      <c r="Q3" s="577" t="s">
        <v>546</v>
      </c>
      <c r="R3" s="577"/>
      <c r="S3" s="577" t="s">
        <v>311</v>
      </c>
      <c r="T3" s="577"/>
      <c r="U3" s="577"/>
      <c r="V3" s="577"/>
    </row>
    <row r="4" spans="1:22" s="576" customFormat="1" ht="10.199999999999999">
      <c r="C4" s="627"/>
      <c r="D4" s="579"/>
      <c r="E4" s="573" t="s">
        <v>547</v>
      </c>
      <c r="F4" s="579"/>
      <c r="G4" s="573" t="s">
        <v>313</v>
      </c>
      <c r="H4" s="579"/>
      <c r="I4" s="573" t="s">
        <v>314</v>
      </c>
      <c r="J4" s="579"/>
      <c r="K4" s="573" t="s">
        <v>548</v>
      </c>
      <c r="L4" s="579"/>
      <c r="M4" s="573" t="s">
        <v>364</v>
      </c>
      <c r="N4" s="577"/>
      <c r="O4" s="573" t="s">
        <v>549</v>
      </c>
      <c r="P4" s="577"/>
      <c r="Q4" s="573" t="s">
        <v>317</v>
      </c>
      <c r="R4" s="577"/>
      <c r="S4" s="573" t="s">
        <v>550</v>
      </c>
      <c r="T4" s="577"/>
      <c r="U4" s="573" t="s">
        <v>15</v>
      </c>
      <c r="V4" s="577"/>
    </row>
    <row r="5" spans="1:22"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1"/>
      <c r="Q5" s="581"/>
      <c r="R5" s="581"/>
      <c r="S5" s="581"/>
      <c r="T5" s="581"/>
      <c r="U5" s="581"/>
      <c r="V5" s="581"/>
    </row>
    <row r="6" spans="1:22" hidden="1">
      <c r="A6" s="574" t="s">
        <v>551</v>
      </c>
      <c r="C6" s="581">
        <v>9830611</v>
      </c>
      <c r="D6" s="581"/>
      <c r="E6" s="582">
        <v>900000</v>
      </c>
      <c r="F6" s="581"/>
      <c r="G6" s="582">
        <v>2751278</v>
      </c>
      <c r="H6" s="581"/>
      <c r="I6" s="582">
        <v>36350</v>
      </c>
      <c r="J6" s="581"/>
      <c r="K6" s="582">
        <v>36350</v>
      </c>
      <c r="L6" s="581"/>
      <c r="M6" s="582">
        <v>706749</v>
      </c>
      <c r="N6" s="581"/>
      <c r="O6" s="582">
        <v>960263</v>
      </c>
      <c r="P6" s="581"/>
      <c r="Q6" s="582">
        <v>16280475</v>
      </c>
      <c r="R6" s="581"/>
      <c r="S6" s="581">
        <v>31465726</v>
      </c>
      <c r="T6" s="581"/>
      <c r="U6" s="581">
        <v>31465726</v>
      </c>
      <c r="V6" s="581"/>
    </row>
    <row r="7" spans="1:22" hidden="1">
      <c r="C7" s="581"/>
      <c r="D7" s="581"/>
      <c r="E7" s="583"/>
      <c r="F7" s="581"/>
      <c r="G7" s="583"/>
      <c r="H7" s="581"/>
      <c r="I7" s="583"/>
      <c r="J7" s="581"/>
      <c r="K7" s="583"/>
      <c r="L7" s="581"/>
      <c r="M7" s="581"/>
      <c r="N7" s="581"/>
      <c r="O7" s="581"/>
      <c r="P7" s="581"/>
      <c r="Q7" s="581"/>
      <c r="R7" s="581"/>
      <c r="S7" s="583"/>
      <c r="T7" s="581"/>
      <c r="U7" s="583"/>
      <c r="V7" s="581"/>
    </row>
    <row r="8" spans="1:22" hidden="1">
      <c r="A8" s="574" t="s">
        <v>293</v>
      </c>
      <c r="C8" s="583">
        <v>0</v>
      </c>
      <c r="D8" s="581"/>
      <c r="E8" s="583">
        <v>0</v>
      </c>
      <c r="F8" s="581"/>
      <c r="G8" s="583">
        <v>0</v>
      </c>
      <c r="H8" s="581"/>
      <c r="I8" s="583">
        <v>0</v>
      </c>
      <c r="J8" s="581"/>
      <c r="K8" s="583">
        <v>0</v>
      </c>
      <c r="L8" s="581"/>
      <c r="M8" s="583">
        <v>0</v>
      </c>
      <c r="N8" s="581"/>
      <c r="O8" s="583">
        <v>0</v>
      </c>
      <c r="P8" s="581"/>
      <c r="Q8" s="582">
        <v>3055040</v>
      </c>
      <c r="R8" s="581"/>
      <c r="S8" s="582">
        <v>3055040</v>
      </c>
      <c r="T8" s="581"/>
      <c r="U8" s="582">
        <v>3055040</v>
      </c>
      <c r="V8" s="581"/>
    </row>
    <row r="9" spans="1:22" hidden="1">
      <c r="C9" s="581"/>
      <c r="D9" s="581"/>
      <c r="E9" s="583"/>
      <c r="F9" s="581"/>
      <c r="G9" s="583"/>
      <c r="H9" s="581"/>
      <c r="I9" s="583"/>
      <c r="J9" s="581"/>
      <c r="K9" s="583"/>
      <c r="L9" s="581"/>
      <c r="M9" s="581"/>
      <c r="N9" s="581"/>
      <c r="O9" s="581"/>
      <c r="P9" s="581"/>
      <c r="Q9" s="581"/>
      <c r="R9" s="581"/>
      <c r="S9" s="583"/>
      <c r="T9" s="581"/>
      <c r="U9" s="583"/>
      <c r="V9" s="581"/>
    </row>
    <row r="10" spans="1:22" hidden="1">
      <c r="A10" s="584" t="s">
        <v>552</v>
      </c>
      <c r="C10" s="585">
        <v>0</v>
      </c>
      <c r="E10" s="585">
        <v>0</v>
      </c>
      <c r="G10" s="585">
        <v>305504</v>
      </c>
      <c r="I10" s="585">
        <v>0</v>
      </c>
      <c r="K10" s="585">
        <v>0</v>
      </c>
      <c r="M10" s="585">
        <v>0</v>
      </c>
      <c r="O10" s="585">
        <v>0</v>
      </c>
      <c r="Q10" s="582">
        <v>-305504</v>
      </c>
      <c r="S10" s="582">
        <v>0</v>
      </c>
      <c r="U10" s="582">
        <v>0</v>
      </c>
    </row>
    <row r="11" spans="1:22" hidden="1">
      <c r="C11" s="586"/>
      <c r="E11" s="587"/>
      <c r="G11" s="587"/>
      <c r="I11" s="587"/>
      <c r="K11" s="587"/>
      <c r="M11" s="586"/>
      <c r="O11" s="586"/>
      <c r="Q11" s="586"/>
      <c r="S11" s="586"/>
      <c r="U11" s="586"/>
    </row>
    <row r="12" spans="1:22">
      <c r="A12" s="574" t="s">
        <v>553</v>
      </c>
      <c r="C12" s="582">
        <v>23879352</v>
      </c>
      <c r="D12" s="582"/>
      <c r="E12" s="582">
        <v>705936</v>
      </c>
      <c r="F12" s="582"/>
      <c r="G12" s="582">
        <v>2640253</v>
      </c>
      <c r="H12" s="582"/>
      <c r="I12" s="582">
        <v>34797</v>
      </c>
      <c r="J12" s="582"/>
      <c r="K12" s="582">
        <v>0</v>
      </c>
      <c r="L12" s="582"/>
      <c r="M12" s="582">
        <v>227072</v>
      </c>
      <c r="N12" s="582"/>
      <c r="O12" s="582">
        <v>-3202431</v>
      </c>
      <c r="P12" s="582"/>
      <c r="Q12" s="582">
        <v>34940142</v>
      </c>
      <c r="R12" s="582"/>
      <c r="S12" s="582">
        <v>9357519</v>
      </c>
      <c r="T12" s="582"/>
      <c r="U12" s="582">
        <f>SUM(C12:S12)</f>
        <v>68582640</v>
      </c>
      <c r="V12" s="582"/>
    </row>
    <row r="13" spans="1:22" ht="4.3499999999999996" customHeight="1"/>
    <row r="14" spans="1:22">
      <c r="A14" s="574" t="s">
        <v>554</v>
      </c>
      <c r="C14" s="582"/>
      <c r="D14" s="582"/>
      <c r="E14" s="582"/>
      <c r="F14" s="582"/>
      <c r="G14" s="582"/>
      <c r="H14" s="582"/>
      <c r="I14" s="582"/>
      <c r="J14" s="582"/>
      <c r="K14" s="582"/>
      <c r="L14" s="582"/>
      <c r="M14" s="582"/>
      <c r="N14" s="582"/>
      <c r="O14" s="582"/>
      <c r="P14" s="582"/>
      <c r="Q14" s="582">
        <v>-2936828</v>
      </c>
      <c r="R14" s="582"/>
      <c r="S14" s="582">
        <f>SUM(A14:O14)</f>
        <v>0</v>
      </c>
      <c r="T14" s="582"/>
      <c r="U14" s="582">
        <f>SUM(C14:S14)</f>
        <v>-2936828</v>
      </c>
      <c r="V14" s="582"/>
    </row>
    <row r="15" spans="1:22" ht="4.3499999999999996" customHeight="1">
      <c r="C15" s="588"/>
      <c r="E15" s="588"/>
      <c r="G15" s="588"/>
      <c r="I15" s="588"/>
      <c r="K15" s="588"/>
      <c r="M15" s="588"/>
      <c r="O15" s="588"/>
      <c r="Q15" s="588"/>
      <c r="S15" s="588"/>
      <c r="U15" s="588"/>
    </row>
    <row r="16" spans="1:22" ht="4.3499999999999996" customHeight="1">
      <c r="C16" s="589"/>
      <c r="E16" s="589"/>
      <c r="G16" s="589"/>
      <c r="I16" s="589"/>
      <c r="K16" s="589"/>
      <c r="M16" s="589"/>
      <c r="O16" s="589"/>
      <c r="Q16" s="589"/>
      <c r="S16" s="589"/>
      <c r="U16" s="589"/>
    </row>
    <row r="17" spans="1:23">
      <c r="A17" s="574" t="s">
        <v>555</v>
      </c>
      <c r="C17" s="582">
        <f>+C12+C14</f>
        <v>23879352</v>
      </c>
      <c r="D17" s="582"/>
      <c r="E17" s="582">
        <f>+E12+E14</f>
        <v>705936</v>
      </c>
      <c r="F17" s="582"/>
      <c r="G17" s="582">
        <f>+G12+G14</f>
        <v>2640253</v>
      </c>
      <c r="H17" s="582"/>
      <c r="I17" s="582">
        <f>+I12+I14</f>
        <v>34797</v>
      </c>
      <c r="J17" s="582"/>
      <c r="K17" s="582">
        <f>+K12+K14</f>
        <v>0</v>
      </c>
      <c r="L17" s="582"/>
      <c r="M17" s="582">
        <f>+M12+M14</f>
        <v>227072</v>
      </c>
      <c r="N17" s="582"/>
      <c r="O17" s="582">
        <f>+O12+O14</f>
        <v>-3202431</v>
      </c>
      <c r="P17" s="582"/>
      <c r="Q17" s="582">
        <f>+Q12+Q14</f>
        <v>32003314</v>
      </c>
      <c r="R17" s="582"/>
      <c r="S17" s="582">
        <f>+S12+S14</f>
        <v>9357519</v>
      </c>
      <c r="T17" s="582"/>
      <c r="U17" s="582">
        <f>+U12+U14</f>
        <v>65645812</v>
      </c>
      <c r="V17" s="582"/>
    </row>
    <row r="18" spans="1:23" ht="4.3499999999999996" customHeight="1">
      <c r="C18" s="589"/>
      <c r="E18" s="589"/>
      <c r="G18" s="589"/>
      <c r="I18" s="589"/>
      <c r="K18" s="589"/>
      <c r="M18" s="589"/>
      <c r="O18" s="589"/>
      <c r="Q18" s="589"/>
      <c r="S18" s="589"/>
      <c r="U18" s="589"/>
    </row>
    <row r="19" spans="1:23">
      <c r="A19" s="574" t="s">
        <v>556</v>
      </c>
      <c r="C19" s="589"/>
      <c r="E19" s="589"/>
      <c r="G19" s="589"/>
      <c r="I19" s="589"/>
      <c r="K19" s="589"/>
      <c r="M19" s="589"/>
      <c r="O19" s="589"/>
      <c r="Q19" s="589"/>
      <c r="S19" s="582">
        <v>1412099</v>
      </c>
      <c r="U19" s="582">
        <f>SUM(C19:S19)</f>
        <v>1412099</v>
      </c>
    </row>
    <row r="20" spans="1:23" ht="4.3499999999999996" customHeight="1">
      <c r="C20" s="589"/>
      <c r="E20" s="589"/>
      <c r="G20" s="589"/>
      <c r="I20" s="589"/>
      <c r="K20" s="589"/>
      <c r="M20" s="589"/>
      <c r="O20" s="589"/>
      <c r="Q20" s="589"/>
      <c r="S20" s="589"/>
      <c r="U20" s="589"/>
    </row>
    <row r="21" spans="1:23" ht="16.8">
      <c r="A21" s="574" t="s">
        <v>557</v>
      </c>
      <c r="C21" s="582"/>
      <c r="D21" s="582"/>
      <c r="E21" s="582"/>
      <c r="F21" s="582"/>
      <c r="G21" s="582">
        <v>1341885</v>
      </c>
      <c r="H21" s="582"/>
      <c r="I21" s="582"/>
      <c r="J21" s="582"/>
      <c r="K21" s="582"/>
      <c r="L21" s="582"/>
      <c r="M21" s="582"/>
      <c r="N21" s="582"/>
      <c r="O21" s="582"/>
      <c r="P21" s="582"/>
      <c r="Q21" s="582">
        <v>-1341885</v>
      </c>
      <c r="R21" s="582"/>
      <c r="S21" s="582"/>
      <c r="T21" s="582"/>
      <c r="U21" s="582">
        <f>SUM(C21:S21)</f>
        <v>0</v>
      </c>
      <c r="V21" s="582"/>
    </row>
    <row r="22" spans="1:23" ht="4.3499999999999996" customHeight="1"/>
    <row r="23" spans="1:23">
      <c r="A23" s="574" t="s">
        <v>558</v>
      </c>
      <c r="C23" s="583"/>
      <c r="D23" s="581"/>
      <c r="E23" s="582"/>
      <c r="F23" s="581"/>
      <c r="G23" s="582"/>
      <c r="H23" s="581"/>
      <c r="I23" s="582"/>
      <c r="J23" s="581"/>
      <c r="K23" s="582">
        <v>-495802</v>
      </c>
      <c r="L23" s="581"/>
      <c r="M23" s="582"/>
      <c r="N23" s="581"/>
      <c r="O23" s="582"/>
      <c r="P23" s="581"/>
      <c r="Q23" s="582">
        <v>7742390</v>
      </c>
      <c r="R23" s="581"/>
      <c r="S23" s="582">
        <v>391648</v>
      </c>
      <c r="T23" s="582"/>
      <c r="U23" s="582">
        <f>SUM(C23:S23)</f>
        <v>7638236</v>
      </c>
      <c r="V23" s="582"/>
    </row>
    <row r="24" spans="1:23" ht="4.3499999999999996" customHeight="1">
      <c r="K24" s="588"/>
    </row>
    <row r="25" spans="1:23">
      <c r="A25" s="574" t="s">
        <v>337</v>
      </c>
      <c r="C25" s="590">
        <f>SUM(C17:C23)</f>
        <v>23879352</v>
      </c>
      <c r="E25" s="590">
        <f>SUM(E17:E23)</f>
        <v>705936</v>
      </c>
      <c r="G25" s="590">
        <f>SUM(G17:G23)</f>
        <v>3982138</v>
      </c>
      <c r="I25" s="590">
        <f>SUM(I17:I23)</f>
        <v>34797</v>
      </c>
      <c r="K25" s="582">
        <f>SUM(K17:K23)</f>
        <v>-495802</v>
      </c>
      <c r="M25" s="590">
        <f>SUM(M17:M23)</f>
        <v>227072</v>
      </c>
      <c r="O25" s="591">
        <f>SUM(O17:O23)</f>
        <v>-3202431</v>
      </c>
      <c r="Q25" s="590">
        <f>SUM(Q17:Q23)</f>
        <v>38403819</v>
      </c>
      <c r="S25" s="590">
        <f>SUM(S17:S23)</f>
        <v>11161266</v>
      </c>
      <c r="T25" s="574"/>
      <c r="U25" s="590">
        <f>SUM(U17:U23)</f>
        <v>74696147</v>
      </c>
      <c r="V25" s="574"/>
      <c r="W25" s="592"/>
    </row>
    <row r="26" spans="1:23" ht="4.3499999999999996" customHeight="1">
      <c r="A26" s="585"/>
      <c r="B26" s="585"/>
      <c r="C26" s="585"/>
      <c r="D26" s="585"/>
      <c r="E26" s="585"/>
      <c r="F26" s="585"/>
      <c r="G26" s="585"/>
      <c r="H26" s="585"/>
      <c r="I26" s="585"/>
      <c r="J26" s="585"/>
      <c r="K26" s="585"/>
      <c r="L26" s="585"/>
      <c r="M26" s="585"/>
      <c r="N26" s="585"/>
      <c r="O26" s="585"/>
      <c r="P26" s="585"/>
      <c r="Q26" s="585"/>
      <c r="R26" s="585"/>
      <c r="S26" s="585"/>
      <c r="T26" s="585"/>
      <c r="U26" s="585"/>
      <c r="V26" s="585"/>
    </row>
    <row r="27" spans="1:23" ht="16.8">
      <c r="A27" s="575" t="s">
        <v>559</v>
      </c>
      <c r="B27" s="593"/>
      <c r="C27" s="582">
        <v>6127345</v>
      </c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>
        <v>-6127345</v>
      </c>
      <c r="R27" s="594"/>
      <c r="S27" s="595">
        <v>0</v>
      </c>
      <c r="T27" s="585"/>
      <c r="U27" s="595">
        <f>SUM(C27:S28)</f>
        <v>0</v>
      </c>
      <c r="V27" s="585"/>
    </row>
    <row r="28" spans="1:23" ht="5.0999999999999996" customHeight="1">
      <c r="A28" s="585"/>
      <c r="B28" s="585"/>
      <c r="C28" s="585"/>
      <c r="D28" s="585"/>
      <c r="E28" s="585"/>
      <c r="F28" s="585"/>
      <c r="G28" s="585"/>
      <c r="H28" s="585"/>
      <c r="I28" s="585"/>
      <c r="J28" s="585"/>
      <c r="K28" s="585"/>
      <c r="L28" s="585"/>
      <c r="M28" s="585"/>
      <c r="N28" s="585"/>
      <c r="O28" s="585"/>
      <c r="P28" s="585"/>
      <c r="Q28" s="585"/>
      <c r="R28" s="585"/>
      <c r="S28" s="585"/>
      <c r="T28" s="585"/>
      <c r="U28" s="585"/>
      <c r="V28" s="585"/>
    </row>
    <row r="29" spans="1:23">
      <c r="A29" s="574" t="s">
        <v>552</v>
      </c>
      <c r="C29" s="583"/>
      <c r="D29" s="581"/>
      <c r="E29" s="582"/>
      <c r="F29" s="581"/>
      <c r="G29" s="582">
        <v>680816</v>
      </c>
      <c r="H29" s="581"/>
      <c r="I29" s="582"/>
      <c r="J29" s="581"/>
      <c r="K29" s="582"/>
      <c r="L29" s="581"/>
      <c r="M29" s="582"/>
      <c r="N29" s="581"/>
      <c r="O29" s="582"/>
      <c r="P29" s="581"/>
      <c r="Q29" s="582">
        <v>-680816</v>
      </c>
      <c r="R29" s="581"/>
      <c r="S29" s="582">
        <v>0</v>
      </c>
      <c r="T29" s="581"/>
      <c r="U29" s="595">
        <f>SUM(C29:S30)</f>
        <v>0</v>
      </c>
      <c r="V29" s="581"/>
    </row>
    <row r="30" spans="1:23" ht="4.3499999999999996" customHeight="1">
      <c r="C30" s="582"/>
      <c r="D30" s="581"/>
      <c r="E30" s="582"/>
      <c r="F30" s="581"/>
      <c r="G30" s="583"/>
      <c r="H30" s="581"/>
      <c r="I30" s="583"/>
      <c r="J30" s="581"/>
      <c r="K30" s="583"/>
      <c r="L30" s="581"/>
      <c r="M30" s="583"/>
      <c r="N30" s="581"/>
      <c r="O30" s="583"/>
      <c r="P30" s="581"/>
      <c r="Q30" s="583"/>
      <c r="R30" s="581"/>
      <c r="S30" s="581"/>
      <c r="T30" s="581"/>
      <c r="U30" s="581"/>
      <c r="V30" s="581"/>
    </row>
    <row r="31" spans="1:23">
      <c r="A31" s="574" t="s">
        <v>560</v>
      </c>
      <c r="C31" s="583"/>
      <c r="D31" s="581"/>
      <c r="E31" s="582"/>
      <c r="F31" s="581"/>
      <c r="G31" s="582"/>
      <c r="H31" s="581"/>
      <c r="I31" s="582"/>
      <c r="J31" s="581"/>
      <c r="K31" s="582"/>
      <c r="L31" s="581"/>
      <c r="M31" s="582"/>
      <c r="N31" s="581"/>
      <c r="O31" s="582"/>
      <c r="P31" s="581"/>
      <c r="Q31" s="582">
        <f>476468-29500</f>
        <v>446968</v>
      </c>
      <c r="R31" s="581"/>
      <c r="S31" s="582">
        <f>SUM(A31:O31)</f>
        <v>0</v>
      </c>
      <c r="T31" s="581"/>
      <c r="U31" s="595">
        <f>SUM(C31:S32)</f>
        <v>446968</v>
      </c>
      <c r="V31" s="581"/>
    </row>
    <row r="32" spans="1:23" ht="4.3499999999999996" customHeight="1">
      <c r="C32" s="582"/>
      <c r="D32" s="581"/>
      <c r="E32" s="582"/>
      <c r="F32" s="581"/>
      <c r="G32" s="583"/>
      <c r="H32" s="581"/>
      <c r="I32" s="583"/>
      <c r="J32" s="581"/>
      <c r="K32" s="583"/>
      <c r="L32" s="581"/>
      <c r="M32" s="583"/>
      <c r="N32" s="581"/>
      <c r="O32" s="583"/>
      <c r="P32" s="581"/>
      <c r="Q32" s="583"/>
      <c r="R32" s="581"/>
      <c r="S32" s="581"/>
      <c r="T32" s="581"/>
      <c r="U32" s="581"/>
      <c r="V32" s="581"/>
    </row>
    <row r="33" spans="1:22" ht="25.2">
      <c r="A33" s="575" t="s">
        <v>561</v>
      </c>
      <c r="C33" s="583"/>
      <c r="D33" s="581"/>
      <c r="E33" s="582">
        <v>-705016</v>
      </c>
      <c r="F33" s="581"/>
      <c r="G33" s="582"/>
      <c r="H33" s="581"/>
      <c r="I33" s="582"/>
      <c r="J33" s="581"/>
      <c r="K33" s="582"/>
      <c r="L33" s="581"/>
      <c r="M33" s="582"/>
      <c r="N33" s="581"/>
      <c r="O33" s="582"/>
      <c r="P33" s="581"/>
      <c r="Q33" s="582"/>
      <c r="R33" s="581"/>
      <c r="S33" s="582">
        <v>0</v>
      </c>
      <c r="T33" s="581"/>
      <c r="U33" s="595">
        <f>SUM(C33:S34)</f>
        <v>-705016</v>
      </c>
      <c r="V33" s="581"/>
    </row>
    <row r="34" spans="1:22" ht="4.3499999999999996" customHeight="1">
      <c r="C34" s="582"/>
      <c r="D34" s="581"/>
      <c r="E34" s="582"/>
      <c r="F34" s="581"/>
      <c r="G34" s="583"/>
      <c r="H34" s="581"/>
      <c r="I34" s="583"/>
      <c r="J34" s="581"/>
      <c r="K34" s="583"/>
      <c r="L34" s="581"/>
      <c r="M34" s="583"/>
      <c r="N34" s="581"/>
      <c r="O34" s="583"/>
      <c r="P34" s="581"/>
      <c r="Q34" s="583"/>
      <c r="R34" s="581"/>
      <c r="S34" s="581"/>
      <c r="T34" s="581"/>
      <c r="U34" s="581"/>
      <c r="V34" s="581"/>
    </row>
    <row r="35" spans="1:22">
      <c r="A35" s="574" t="s">
        <v>558</v>
      </c>
      <c r="C35" s="582"/>
      <c r="D35" s="581"/>
      <c r="E35" s="582"/>
      <c r="F35" s="581"/>
      <c r="G35" s="582"/>
      <c r="H35" s="581"/>
      <c r="I35" s="582"/>
      <c r="J35" s="581"/>
      <c r="K35" s="582">
        <v>1849659</v>
      </c>
      <c r="L35" s="581"/>
      <c r="M35" s="582"/>
      <c r="N35" s="581"/>
      <c r="O35" s="582"/>
      <c r="P35" s="581"/>
      <c r="Q35" s="582">
        <f>+'Planilla Final'!R76-'Planilla Final'!R70</f>
        <v>4597812.9952226235</v>
      </c>
      <c r="R35" s="581"/>
      <c r="S35" s="582">
        <f>+'Planilla Final'!R77</f>
        <v>-560218.94522262446</v>
      </c>
      <c r="T35" s="581"/>
      <c r="U35" s="595">
        <f>SUM(C35:S36)</f>
        <v>5887253.0499999989</v>
      </c>
      <c r="V35" s="581"/>
    </row>
    <row r="36" spans="1:22" ht="4.3499999999999996" customHeight="1"/>
    <row r="37" spans="1:22" ht="9" thickBot="1">
      <c r="A37" s="574" t="s">
        <v>562</v>
      </c>
      <c r="C37" s="596">
        <f>SUM(C25:C35)</f>
        <v>30006697</v>
      </c>
      <c r="E37" s="596">
        <f>SUM(E25:E35)</f>
        <v>920</v>
      </c>
      <c r="G37" s="596">
        <f>SUM(G25:G35)</f>
        <v>4662954</v>
      </c>
      <c r="I37" s="596">
        <f>SUM(I25:I35)</f>
        <v>34797</v>
      </c>
      <c r="K37" s="596">
        <f>SUM(K25:K35)</f>
        <v>1353857</v>
      </c>
      <c r="M37" s="596">
        <f>SUM(M25:M35)</f>
        <v>227072</v>
      </c>
      <c r="O37" s="596">
        <f>SUM(O25:O35)</f>
        <v>-3202431</v>
      </c>
      <c r="Q37" s="597">
        <f>SUM(Q25:Q35)</f>
        <v>36640438.995222621</v>
      </c>
      <c r="S37" s="597">
        <f>SUM(S25:S35)</f>
        <v>10601047.054777376</v>
      </c>
      <c r="T37" s="574"/>
      <c r="U37" s="597">
        <f>SUM(U25:U35)</f>
        <v>80325352.049999997</v>
      </c>
      <c r="V37" s="574"/>
    </row>
    <row r="38" spans="1:22" ht="4.95" customHeight="1" thickTop="1"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</row>
    <row r="39" spans="1:22"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</row>
    <row r="40" spans="1:22"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</row>
    <row r="41" spans="1:22">
      <c r="C41" s="574"/>
      <c r="D41" s="574"/>
      <c r="E41" s="574"/>
      <c r="F41" s="574"/>
      <c r="G41" s="574"/>
      <c r="H41" s="574"/>
      <c r="I41" s="574"/>
      <c r="J41" s="574"/>
      <c r="K41" s="574"/>
      <c r="L41" s="574"/>
      <c r="M41" s="574"/>
      <c r="N41" s="574"/>
      <c r="O41" s="574"/>
      <c r="P41" s="574"/>
      <c r="Q41" s="598"/>
      <c r="R41" s="574"/>
      <c r="S41" s="574"/>
      <c r="T41" s="574"/>
      <c r="U41" s="574"/>
      <c r="V41" s="574"/>
    </row>
    <row r="42" spans="1:22">
      <c r="C42" s="574"/>
      <c r="D42" s="574"/>
      <c r="E42" s="574"/>
      <c r="F42" s="574"/>
      <c r="G42" s="574"/>
      <c r="H42" s="574"/>
      <c r="I42" s="574"/>
      <c r="J42" s="574"/>
      <c r="K42" s="574"/>
      <c r="L42" s="574"/>
      <c r="M42" s="574"/>
      <c r="N42" s="574"/>
      <c r="O42" s="574"/>
      <c r="P42" s="574"/>
      <c r="Q42" s="574"/>
      <c r="R42" s="574"/>
      <c r="S42" s="574"/>
      <c r="T42" s="574"/>
      <c r="U42" s="574"/>
      <c r="V42" s="574"/>
    </row>
    <row r="43" spans="1:22">
      <c r="C43" s="574"/>
      <c r="D43" s="574"/>
      <c r="E43" s="574"/>
      <c r="F43" s="574"/>
      <c r="G43" s="574"/>
      <c r="H43" s="574"/>
      <c r="I43" s="574"/>
      <c r="J43" s="574"/>
      <c r="K43" s="574"/>
      <c r="L43" s="574"/>
      <c r="M43" s="574"/>
      <c r="N43" s="574"/>
      <c r="O43" s="574"/>
      <c r="P43" s="574"/>
      <c r="Q43" s="574"/>
      <c r="R43" s="574"/>
      <c r="S43" s="574"/>
      <c r="T43" s="574"/>
      <c r="U43" s="574"/>
      <c r="V43" s="574"/>
    </row>
    <row r="44" spans="1:22"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74"/>
      <c r="P44" s="574"/>
      <c r="Q44" s="574"/>
      <c r="R44" s="574"/>
      <c r="S44" s="574"/>
      <c r="T44" s="574"/>
      <c r="U44" s="574"/>
      <c r="V44" s="574"/>
    </row>
    <row r="45" spans="1:22"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74"/>
      <c r="P45" s="574"/>
      <c r="Q45" s="574"/>
      <c r="R45" s="574"/>
      <c r="S45" s="574"/>
      <c r="T45" s="574"/>
      <c r="U45" s="574"/>
      <c r="V45" s="574"/>
    </row>
    <row r="46" spans="1:22"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</row>
    <row r="47" spans="1:22">
      <c r="C47" s="574"/>
      <c r="D47" s="574"/>
      <c r="E47" s="574"/>
      <c r="F47" s="574"/>
      <c r="G47" s="574"/>
      <c r="H47" s="574"/>
      <c r="I47" s="574"/>
      <c r="J47" s="574"/>
      <c r="K47" s="574"/>
      <c r="L47" s="574"/>
      <c r="M47" s="574"/>
      <c r="N47" s="574"/>
      <c r="O47" s="574"/>
      <c r="P47" s="574"/>
      <c r="Q47" s="574"/>
      <c r="R47" s="574"/>
      <c r="S47" s="574"/>
      <c r="T47" s="574"/>
      <c r="U47" s="574"/>
      <c r="V47" s="574"/>
    </row>
  </sheetData>
  <mergeCells count="2">
    <mergeCell ref="M1:Q1"/>
    <mergeCell ref="C2:C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H63"/>
  <sheetViews>
    <sheetView showGridLines="0" workbookViewId="0">
      <selection activeCell="I30" sqref="I30"/>
    </sheetView>
  </sheetViews>
  <sheetFormatPr baseColWidth="10" defaultColWidth="11.44140625" defaultRowHeight="8.4"/>
  <cols>
    <col min="1" max="1" width="48.88671875" style="404" bestFit="1" customWidth="1"/>
    <col min="2" max="2" width="1.6640625" style="404" customWidth="1"/>
    <col min="3" max="3" width="9.88671875" style="404" customWidth="1"/>
    <col min="4" max="4" width="1.6640625" style="404" customWidth="1"/>
    <col min="5" max="5" width="9.33203125" style="404" bestFit="1" customWidth="1"/>
    <col min="6" max="6" width="1.6640625" style="404" customWidth="1"/>
    <col min="7" max="7" width="11.5546875" style="404" bestFit="1" customWidth="1"/>
    <col min="8" max="16384" width="11.44140625" style="404"/>
  </cols>
  <sheetData>
    <row r="1" spans="1:5">
      <c r="A1" s="403"/>
      <c r="B1" s="403"/>
      <c r="C1" s="403"/>
      <c r="D1" s="403"/>
      <c r="E1" s="403"/>
    </row>
    <row r="2" spans="1:5">
      <c r="A2" s="403"/>
      <c r="B2" s="403"/>
      <c r="C2" s="405">
        <v>2017</v>
      </c>
      <c r="D2" s="403"/>
      <c r="E2" s="405">
        <v>2016</v>
      </c>
    </row>
    <row r="3" spans="1:5">
      <c r="A3" s="406" t="s">
        <v>447</v>
      </c>
      <c r="B3" s="406"/>
      <c r="C3" s="403"/>
      <c r="D3" s="403"/>
      <c r="E3" s="403"/>
    </row>
    <row r="4" spans="1:5">
      <c r="A4" s="406" t="s">
        <v>448</v>
      </c>
      <c r="B4" s="406"/>
      <c r="C4" s="407">
        <f>+'ERI2017'!C16+'ERI2017'!C18</f>
        <v>7513500</v>
      </c>
      <c r="D4" s="403"/>
      <c r="E4" s="407">
        <f>+'ERI2017'!E16+'ERI2017'!E18</f>
        <v>11332586</v>
      </c>
    </row>
    <row r="5" spans="1:5">
      <c r="A5" s="408" t="s">
        <v>449</v>
      </c>
      <c r="B5" s="409"/>
      <c r="C5" s="407"/>
      <c r="D5" s="410"/>
      <c r="E5" s="407"/>
    </row>
    <row r="6" spans="1:5">
      <c r="A6" s="409" t="s">
        <v>450</v>
      </c>
      <c r="B6" s="409"/>
      <c r="C6" s="407">
        <v>200000</v>
      </c>
      <c r="D6" s="410"/>
      <c r="E6" s="407">
        <v>1319177</v>
      </c>
    </row>
    <row r="7" spans="1:5">
      <c r="A7" s="409" t="s">
        <v>451</v>
      </c>
      <c r="B7" s="409"/>
      <c r="C7" s="407">
        <v>2268000</v>
      </c>
      <c r="D7" s="410"/>
      <c r="E7" s="407">
        <v>812940</v>
      </c>
    </row>
    <row r="8" spans="1:5">
      <c r="A8" s="409" t="s">
        <v>452</v>
      </c>
      <c r="B8" s="409"/>
      <c r="C8" s="407">
        <v>17782846</v>
      </c>
      <c r="D8" s="410"/>
      <c r="E8" s="407">
        <v>17607176</v>
      </c>
    </row>
    <row r="9" spans="1:5">
      <c r="A9" s="409" t="s">
        <v>453</v>
      </c>
      <c r="B9" s="409"/>
      <c r="C9" s="407">
        <v>39210</v>
      </c>
      <c r="D9" s="410"/>
      <c r="E9" s="407">
        <v>39210</v>
      </c>
    </row>
    <row r="10" spans="1:5">
      <c r="A10" s="409" t="s">
        <v>454</v>
      </c>
      <c r="B10" s="409"/>
      <c r="C10" s="407">
        <v>0</v>
      </c>
      <c r="D10" s="410"/>
      <c r="E10" s="407">
        <v>169491</v>
      </c>
    </row>
    <row r="11" spans="1:5">
      <c r="A11" s="409" t="s">
        <v>455</v>
      </c>
      <c r="B11" s="409"/>
      <c r="C11" s="407">
        <v>2038777</v>
      </c>
      <c r="D11" s="410"/>
      <c r="E11" s="407">
        <v>2759959</v>
      </c>
    </row>
    <row r="12" spans="1:5">
      <c r="A12" s="409" t="s">
        <v>524</v>
      </c>
      <c r="B12" s="409"/>
      <c r="C12" s="407">
        <v>-42502</v>
      </c>
      <c r="D12" s="410"/>
      <c r="E12" s="407">
        <v>266232</v>
      </c>
    </row>
    <row r="13" spans="1:5">
      <c r="A13" s="409" t="s">
        <v>456</v>
      </c>
      <c r="B13" s="409"/>
      <c r="C13" s="407">
        <f>-'ERI2017'!C18</f>
        <v>1591304</v>
      </c>
      <c r="D13" s="410"/>
      <c r="E13" s="407">
        <v>1759101</v>
      </c>
    </row>
    <row r="14" spans="1:5">
      <c r="A14" s="409" t="s">
        <v>457</v>
      </c>
      <c r="B14" s="409"/>
      <c r="C14" s="407">
        <v>1546045</v>
      </c>
      <c r="D14" s="410"/>
      <c r="E14" s="407">
        <v>1249002</v>
      </c>
    </row>
    <row r="15" spans="1:5">
      <c r="A15" s="409" t="s">
        <v>458</v>
      </c>
      <c r="B15" s="409"/>
      <c r="C15" s="407">
        <f>+'ESF2017'!H14+'ESF2017'!H24</f>
        <v>3074772</v>
      </c>
      <c r="D15" s="410"/>
      <c r="E15" s="407">
        <v>5177025</v>
      </c>
    </row>
    <row r="16" spans="1:5">
      <c r="A16" s="409" t="s">
        <v>459</v>
      </c>
      <c r="B16" s="409"/>
      <c r="C16" s="411">
        <v>446968</v>
      </c>
      <c r="D16" s="410"/>
      <c r="E16" s="411">
        <v>0</v>
      </c>
    </row>
    <row r="17" spans="1:6">
      <c r="A17" s="409"/>
      <c r="B17" s="409"/>
      <c r="C17" s="407">
        <f>+SUM(C4:C16)</f>
        <v>36458920</v>
      </c>
      <c r="D17" s="410"/>
      <c r="E17" s="407">
        <f>+SUM(E4:E16)</f>
        <v>42491899</v>
      </c>
    </row>
    <row r="18" spans="1:6">
      <c r="A18" s="408" t="s">
        <v>460</v>
      </c>
      <c r="B18" s="409"/>
      <c r="C18" s="407"/>
      <c r="D18" s="410"/>
      <c r="E18" s="407"/>
    </row>
    <row r="19" spans="1:6">
      <c r="A19" s="409" t="s">
        <v>67</v>
      </c>
      <c r="B19" s="409"/>
      <c r="C19" s="407">
        <f>+'ESF2017'!C8-'EFE2017'!C6</f>
        <v>-1300909</v>
      </c>
      <c r="D19" s="410"/>
      <c r="E19" s="407">
        <v>2909073</v>
      </c>
    </row>
    <row r="20" spans="1:6">
      <c r="A20" s="409" t="s">
        <v>345</v>
      </c>
      <c r="B20" s="409"/>
      <c r="C20" s="407">
        <f>+'ESF2017'!C9</f>
        <v>-11254398</v>
      </c>
      <c r="D20" s="410"/>
      <c r="E20" s="407">
        <v>-10190618</v>
      </c>
    </row>
    <row r="21" spans="1:6">
      <c r="A21" s="409" t="s">
        <v>68</v>
      </c>
      <c r="B21" s="409"/>
      <c r="C21" s="407">
        <f>+'ESF2017'!C17+'ESF2017'!C11-'EFE2017'!C7</f>
        <v>-5437748</v>
      </c>
      <c r="D21" s="410"/>
      <c r="E21" s="407">
        <v>3571662</v>
      </c>
    </row>
    <row r="22" spans="1:6">
      <c r="A22" s="409" t="s">
        <v>69</v>
      </c>
      <c r="B22" s="409"/>
      <c r="C22" s="407">
        <f>+'ESF2017'!C10</f>
        <v>685042</v>
      </c>
      <c r="D22" s="410"/>
      <c r="E22" s="407">
        <v>53985</v>
      </c>
    </row>
    <row r="23" spans="1:6">
      <c r="A23" s="409" t="s">
        <v>70</v>
      </c>
      <c r="B23" s="409"/>
      <c r="C23" s="407">
        <f>+'ESF2017'!C12</f>
        <v>1728719</v>
      </c>
      <c r="D23" s="410"/>
      <c r="E23" s="407">
        <v>-230586</v>
      </c>
    </row>
    <row r="24" spans="1:6">
      <c r="A24" s="409" t="s">
        <v>6</v>
      </c>
      <c r="B24" s="409"/>
      <c r="C24" s="407">
        <f>+'ESF2017'!C13</f>
        <v>4055589</v>
      </c>
      <c r="D24" s="410"/>
      <c r="E24" s="407">
        <v>653652</v>
      </c>
    </row>
    <row r="25" spans="1:6">
      <c r="A25" s="409" t="s">
        <v>71</v>
      </c>
      <c r="B25" s="409"/>
      <c r="C25" s="407">
        <v>0</v>
      </c>
      <c r="D25" s="410"/>
      <c r="E25" s="407">
        <v>-4040714</v>
      </c>
    </row>
    <row r="26" spans="1:6">
      <c r="A26" s="409" t="s">
        <v>77</v>
      </c>
      <c r="B26" s="409"/>
      <c r="C26" s="407">
        <f>+'ESF2017'!C23</f>
        <v>-1190535</v>
      </c>
      <c r="D26" s="410"/>
      <c r="E26" s="407">
        <v>-114</v>
      </c>
    </row>
    <row r="27" spans="1:6">
      <c r="A27" s="409" t="s">
        <v>79</v>
      </c>
      <c r="B27" s="409"/>
      <c r="C27" s="407">
        <f>+'ESF2017'!H8+'ESF2017'!H20</f>
        <v>-1598876</v>
      </c>
      <c r="D27" s="410"/>
      <c r="E27" s="407">
        <v>-436112</v>
      </c>
    </row>
    <row r="28" spans="1:6">
      <c r="A28" s="409" t="s">
        <v>356</v>
      </c>
      <c r="B28" s="409"/>
      <c r="C28" s="407">
        <f>+'ESF2017'!H9+'ESF2017'!H21-705016</f>
        <v>946225</v>
      </c>
      <c r="D28" s="410"/>
      <c r="E28" s="407">
        <v>-4197057</v>
      </c>
    </row>
    <row r="29" spans="1:6">
      <c r="A29" s="409" t="s">
        <v>461</v>
      </c>
      <c r="B29" s="409"/>
      <c r="C29" s="407">
        <f>+'ESF2017'!H10</f>
        <v>130512</v>
      </c>
      <c r="D29" s="410"/>
      <c r="E29" s="407">
        <f>1627958+392</f>
        <v>1628350</v>
      </c>
    </row>
    <row r="30" spans="1:6">
      <c r="A30" s="409" t="s">
        <v>80</v>
      </c>
      <c r="B30" s="409"/>
      <c r="C30" s="407">
        <f>+'ESF2017'!H11+'ESF2017'!H22</f>
        <v>-509500</v>
      </c>
      <c r="D30" s="410"/>
      <c r="E30" s="407">
        <v>2623083</v>
      </c>
      <c r="F30" s="403"/>
    </row>
    <row r="31" spans="1:6">
      <c r="A31" s="409" t="s">
        <v>81</v>
      </c>
      <c r="B31" s="409"/>
      <c r="C31" s="407">
        <f>+'ESF2017'!H12</f>
        <v>-2404770</v>
      </c>
      <c r="D31" s="410"/>
      <c r="E31" s="407">
        <v>-5964702</v>
      </c>
      <c r="F31" s="403"/>
    </row>
    <row r="32" spans="1:6">
      <c r="A32" s="409" t="s">
        <v>82</v>
      </c>
      <c r="B32" s="409"/>
      <c r="C32" s="407">
        <f>+'ESF2017'!H13-199556+167797</f>
        <v>152364</v>
      </c>
      <c r="D32" s="410"/>
      <c r="E32" s="407">
        <v>707123</v>
      </c>
      <c r="F32" s="403"/>
    </row>
    <row r="33" spans="1:8">
      <c r="A33" s="409" t="s">
        <v>87</v>
      </c>
      <c r="B33" s="409"/>
      <c r="C33" s="411">
        <f>+'ESF2017'!H25</f>
        <v>0</v>
      </c>
      <c r="D33" s="410"/>
      <c r="E33" s="411">
        <v>-2365666</v>
      </c>
      <c r="F33" s="403"/>
    </row>
    <row r="34" spans="1:8">
      <c r="A34" s="408" t="s">
        <v>462</v>
      </c>
      <c r="B34" s="409"/>
      <c r="C34" s="407">
        <f>+SUM(C17:C33)</f>
        <v>20460635</v>
      </c>
      <c r="D34" s="410"/>
      <c r="E34" s="407">
        <f>+SUM(E17:E33)</f>
        <v>27213258</v>
      </c>
      <c r="F34" s="403"/>
    </row>
    <row r="35" spans="1:8">
      <c r="A35" s="409" t="s">
        <v>463</v>
      </c>
      <c r="B35" s="409"/>
      <c r="C35" s="407">
        <f>+'ERI2017'!C20</f>
        <v>-3475906</v>
      </c>
      <c r="D35" s="410"/>
      <c r="E35" s="407">
        <v>-3198548</v>
      </c>
      <c r="F35" s="403"/>
    </row>
    <row r="36" spans="1:8">
      <c r="A36" s="409" t="s">
        <v>464</v>
      </c>
      <c r="B36" s="409"/>
      <c r="C36" s="407">
        <v>-1759101</v>
      </c>
      <c r="D36" s="410"/>
      <c r="E36" s="407">
        <v>-2644886</v>
      </c>
      <c r="F36" s="403"/>
    </row>
    <row r="37" spans="1:8">
      <c r="A37" s="409" t="s">
        <v>465</v>
      </c>
      <c r="B37" s="409"/>
      <c r="C37" s="411">
        <v>-107410</v>
      </c>
      <c r="D37" s="410"/>
      <c r="E37" s="411">
        <v>-470931</v>
      </c>
      <c r="F37" s="403"/>
    </row>
    <row r="38" spans="1:8">
      <c r="A38" s="412" t="s">
        <v>466</v>
      </c>
      <c r="B38" s="412"/>
      <c r="C38" s="413">
        <f>+C34+C35+C36+C37</f>
        <v>15118218</v>
      </c>
      <c r="D38" s="410"/>
      <c r="E38" s="413">
        <f>+E34+E35+E36+E37</f>
        <v>20898893</v>
      </c>
      <c r="F38" s="403"/>
      <c r="H38" s="418"/>
    </row>
    <row r="39" spans="1:8" ht="5.0999999999999996" customHeight="1">
      <c r="A39" s="403"/>
      <c r="B39" s="403"/>
      <c r="C39" s="403"/>
      <c r="D39" s="403"/>
      <c r="E39" s="403"/>
      <c r="F39" s="414"/>
    </row>
    <row r="40" spans="1:8">
      <c r="A40" s="406" t="s">
        <v>467</v>
      </c>
      <c r="B40" s="406"/>
      <c r="C40" s="403"/>
      <c r="D40" s="403"/>
      <c r="E40" s="403"/>
      <c r="F40" s="403"/>
    </row>
    <row r="41" spans="1:8">
      <c r="A41" s="409" t="s">
        <v>468</v>
      </c>
      <c r="B41" s="409"/>
      <c r="C41" s="410">
        <f>+'ESF2017'!C7</f>
        <v>-593863</v>
      </c>
      <c r="D41" s="410"/>
      <c r="E41" s="410">
        <v>-175815</v>
      </c>
      <c r="F41" s="403"/>
    </row>
    <row r="42" spans="1:8">
      <c r="A42" s="409" t="s">
        <v>469</v>
      </c>
      <c r="B42" s="409"/>
      <c r="C42" s="410">
        <f>+'ESF2017'!C6</f>
        <v>5828169</v>
      </c>
      <c r="D42" s="410"/>
      <c r="E42" s="410">
        <v>-1655856</v>
      </c>
      <c r="F42" s="403"/>
    </row>
    <row r="43" spans="1:8">
      <c r="A43" s="409" t="s">
        <v>470</v>
      </c>
      <c r="B43" s="409"/>
      <c r="C43" s="415">
        <v>0</v>
      </c>
      <c r="D43" s="410"/>
      <c r="E43" s="410">
        <v>-125000</v>
      </c>
      <c r="F43" s="403"/>
    </row>
    <row r="44" spans="1:8">
      <c r="A44" s="409" t="s">
        <v>471</v>
      </c>
      <c r="B44" s="409"/>
      <c r="C44" s="410">
        <v>119269</v>
      </c>
      <c r="D44" s="410"/>
      <c r="E44" s="410">
        <v>-1494761</v>
      </c>
      <c r="F44" s="403"/>
    </row>
    <row r="45" spans="1:8">
      <c r="A45" s="409" t="s">
        <v>472</v>
      </c>
      <c r="B45" s="409"/>
      <c r="C45" s="410">
        <v>-15283415</v>
      </c>
      <c r="D45" s="410"/>
      <c r="E45" s="410">
        <f>-19113929+437588</f>
        <v>-18676341</v>
      </c>
      <c r="F45" s="403"/>
    </row>
    <row r="46" spans="1:8">
      <c r="A46" s="409" t="s">
        <v>473</v>
      </c>
      <c r="B46" s="409"/>
      <c r="C46" s="415">
        <v>0</v>
      </c>
      <c r="D46" s="410"/>
      <c r="E46" s="410">
        <v>-49200</v>
      </c>
    </row>
    <row r="47" spans="1:8">
      <c r="A47" s="409" t="s">
        <v>474</v>
      </c>
      <c r="B47" s="409"/>
      <c r="C47" s="410">
        <f>-(1121449+75987)</f>
        <v>-1197436</v>
      </c>
      <c r="D47" s="410"/>
      <c r="E47" s="410">
        <v>-2492677</v>
      </c>
    </row>
    <row r="48" spans="1:8">
      <c r="A48" s="412" t="s">
        <v>475</v>
      </c>
      <c r="B48" s="412"/>
      <c r="C48" s="413">
        <f>+SUM(C41:C47)</f>
        <v>-11127276</v>
      </c>
      <c r="D48" s="410"/>
      <c r="E48" s="413">
        <f>+SUM(E41:E47)</f>
        <v>-24669650</v>
      </c>
    </row>
    <row r="49" spans="1:5" ht="5.0999999999999996" customHeight="1"/>
    <row r="50" spans="1:5">
      <c r="A50" s="406" t="s">
        <v>476</v>
      </c>
      <c r="B50" s="406"/>
      <c r="C50" s="403"/>
      <c r="D50" s="403"/>
      <c r="E50" s="403"/>
    </row>
    <row r="51" spans="1:5">
      <c r="A51" s="409" t="s">
        <v>327</v>
      </c>
      <c r="B51" s="409"/>
      <c r="C51" s="410">
        <v>0</v>
      </c>
      <c r="D51" s="410"/>
      <c r="E51" s="410">
        <v>1412099</v>
      </c>
    </row>
    <row r="52" spans="1:5">
      <c r="A52" s="409" t="s">
        <v>477</v>
      </c>
      <c r="B52" s="409"/>
      <c r="C52" s="410">
        <f>+'ESF2017'!H6+'ESF2017'!H18</f>
        <v>-4735058</v>
      </c>
      <c r="D52" s="410"/>
      <c r="E52" s="410">
        <f>15141796-13490379-198890+4596345</f>
        <v>6048872</v>
      </c>
    </row>
    <row r="53" spans="1:5">
      <c r="A53" s="409" t="s">
        <v>478</v>
      </c>
      <c r="B53" s="409"/>
      <c r="C53" s="410">
        <f>+'ESF2017'!H7+'ESF2017'!H19</f>
        <v>-8370991</v>
      </c>
      <c r="D53" s="410"/>
      <c r="E53" s="410">
        <f>13238971-9192632</f>
        <v>4046339</v>
      </c>
    </row>
    <row r="54" spans="1:5">
      <c r="A54" s="412" t="s">
        <v>479</v>
      </c>
      <c r="B54" s="412"/>
      <c r="C54" s="413">
        <f>+C52+C53</f>
        <v>-13106049</v>
      </c>
      <c r="D54" s="410"/>
      <c r="E54" s="413">
        <f>+E52+E53+E51</f>
        <v>11507310</v>
      </c>
    </row>
    <row r="55" spans="1:5" ht="5.0999999999999996" customHeight="1">
      <c r="A55" s="416"/>
      <c r="B55" s="412"/>
      <c r="C55" s="403"/>
      <c r="D55" s="403"/>
      <c r="E55" s="403"/>
    </row>
    <row r="56" spans="1:5">
      <c r="A56" s="412" t="s">
        <v>480</v>
      </c>
      <c r="B56" s="412"/>
      <c r="C56" s="410">
        <f>+C54+C48+C38</f>
        <v>-9115107</v>
      </c>
      <c r="D56" s="410"/>
      <c r="E56" s="410">
        <f>+E54+E48+E38</f>
        <v>7736553</v>
      </c>
    </row>
    <row r="57" spans="1:5">
      <c r="A57" s="412" t="s">
        <v>481</v>
      </c>
      <c r="B57" s="412"/>
      <c r="C57" s="410">
        <f>+E58</f>
        <v>10597267</v>
      </c>
      <c r="D57" s="410"/>
      <c r="E57" s="410">
        <v>2860714</v>
      </c>
    </row>
    <row r="58" spans="1:5" ht="9" thickBot="1">
      <c r="A58" s="412" t="s">
        <v>482</v>
      </c>
      <c r="B58" s="412"/>
      <c r="C58" s="417">
        <f>+C56+C57</f>
        <v>1482160</v>
      </c>
      <c r="D58" s="410"/>
      <c r="E58" s="417">
        <f>+E56+E57</f>
        <v>10597267</v>
      </c>
    </row>
    <row r="59" spans="1:5" ht="5.0999999999999996" customHeight="1" thickTop="1"/>
    <row r="60" spans="1:5">
      <c r="C60" s="404">
        <v>1482160</v>
      </c>
    </row>
    <row r="62" spans="1:5">
      <c r="C62" s="418">
        <f>+C58-C60</f>
        <v>0</v>
      </c>
    </row>
    <row r="63" spans="1:5">
      <c r="C63" s="4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D11" sqref="D11"/>
    </sheetView>
  </sheetViews>
  <sheetFormatPr baseColWidth="10" defaultColWidth="11.44140625" defaultRowHeight="10.199999999999999"/>
  <cols>
    <col min="1" max="1" width="68.88671875" style="201" bestFit="1" customWidth="1"/>
    <col min="2" max="2" width="7.33203125" style="201" customWidth="1"/>
    <col min="3" max="3" width="1" style="230" customWidth="1"/>
    <col min="4" max="4" width="15.109375" style="201" customWidth="1"/>
    <col min="5" max="5" width="1.6640625" style="230" customWidth="1"/>
    <col min="6" max="6" width="16.109375" style="201" customWidth="1"/>
    <col min="7" max="8" width="1.44140625" style="230" customWidth="1"/>
    <col min="9" max="9" width="15.44140625" style="201" hidden="1" customWidth="1"/>
    <col min="10" max="10" width="11.44140625" style="201"/>
    <col min="11" max="11" width="14.44140625" style="201" bestFit="1" customWidth="1"/>
    <col min="12" max="16384" width="11.44140625" style="201"/>
  </cols>
  <sheetData>
    <row r="1" spans="1:9">
      <c r="B1" s="231"/>
      <c r="C1" s="231"/>
      <c r="D1" s="208"/>
      <c r="E1" s="232"/>
      <c r="F1" s="233" t="s">
        <v>338</v>
      </c>
      <c r="G1" s="233"/>
    </row>
    <row r="2" spans="1:9" ht="20.399999999999999">
      <c r="A2" s="234" t="s">
        <v>339</v>
      </c>
      <c r="B2" s="235" t="s">
        <v>340</v>
      </c>
      <c r="C2" s="231"/>
      <c r="D2" s="236" t="s">
        <v>341</v>
      </c>
      <c r="E2" s="232"/>
      <c r="F2" s="236" t="s">
        <v>342</v>
      </c>
      <c r="G2" s="232"/>
      <c r="H2" s="237"/>
    </row>
    <row r="3" spans="1:9" ht="6" customHeight="1">
      <c r="A3" s="237"/>
      <c r="B3" s="238"/>
      <c r="C3" s="239"/>
      <c r="E3" s="239"/>
      <c r="G3" s="239"/>
      <c r="H3" s="239"/>
    </row>
    <row r="4" spans="1:9">
      <c r="A4" s="240" t="s">
        <v>343</v>
      </c>
      <c r="B4" s="238"/>
      <c r="C4" s="239"/>
      <c r="E4" s="239"/>
      <c r="G4" s="239"/>
      <c r="H4" s="239"/>
    </row>
    <row r="5" spans="1:9" s="230" customFormat="1">
      <c r="A5" s="241" t="s">
        <v>22</v>
      </c>
      <c r="B5" s="291">
        <v>6</v>
      </c>
      <c r="C5" s="239"/>
      <c r="D5" s="292">
        <v>10796157</v>
      </c>
      <c r="E5" s="239"/>
      <c r="F5" s="292">
        <v>2860714</v>
      </c>
      <c r="G5" s="239"/>
      <c r="H5" s="239"/>
    </row>
    <row r="6" spans="1:9" s="230" customFormat="1">
      <c r="A6" s="241" t="s">
        <v>344</v>
      </c>
      <c r="B6" s="291">
        <v>7</v>
      </c>
      <c r="C6" s="239"/>
      <c r="D6" s="292">
        <v>5930789</v>
      </c>
      <c r="E6" s="239"/>
      <c r="F6" s="292">
        <f>6451966-2177033</f>
        <v>4274933</v>
      </c>
      <c r="G6" s="239"/>
      <c r="H6" s="239"/>
    </row>
    <row r="7" spans="1:9" s="230" customFormat="1">
      <c r="A7" s="241" t="s">
        <v>65</v>
      </c>
      <c r="B7" s="291">
        <v>8</v>
      </c>
      <c r="C7" s="239"/>
      <c r="D7" s="292">
        <v>2050592</v>
      </c>
      <c r="E7" s="239"/>
      <c r="F7" s="292">
        <f>8326743-6451966</f>
        <v>1874777</v>
      </c>
      <c r="G7" s="239"/>
      <c r="H7" s="239"/>
    </row>
    <row r="8" spans="1:9" s="230" customFormat="1">
      <c r="A8" s="241" t="s">
        <v>67</v>
      </c>
      <c r="B8" s="291">
        <v>9</v>
      </c>
      <c r="C8" s="239"/>
      <c r="D8" s="292">
        <f>15475559-75667-741007+24485</f>
        <v>14683370</v>
      </c>
      <c r="E8" s="239"/>
      <c r="F8" s="292">
        <v>18690745</v>
      </c>
      <c r="G8" s="239"/>
      <c r="H8" s="239"/>
      <c r="I8" s="230" t="s">
        <v>383</v>
      </c>
    </row>
    <row r="9" spans="1:9" s="230" customFormat="1">
      <c r="A9" s="241" t="s">
        <v>345</v>
      </c>
      <c r="B9" s="291">
        <v>21</v>
      </c>
      <c r="C9" s="239"/>
      <c r="D9" s="292">
        <f>13533602-176970</f>
        <v>13356632</v>
      </c>
      <c r="E9" s="239"/>
      <c r="F9" s="292">
        <v>3629981</v>
      </c>
      <c r="G9" s="239"/>
      <c r="H9" s="239"/>
    </row>
    <row r="10" spans="1:9" s="230" customFormat="1">
      <c r="A10" s="241" t="s">
        <v>68</v>
      </c>
      <c r="B10" s="291">
        <v>10</v>
      </c>
      <c r="C10" s="239"/>
      <c r="D10" s="292">
        <f>1782651+75667+741007-24485</f>
        <v>2574840</v>
      </c>
      <c r="E10" s="239"/>
      <c r="F10" s="292">
        <v>7066072</v>
      </c>
      <c r="G10" s="239"/>
      <c r="H10" s="239"/>
    </row>
    <row r="11" spans="1:9" s="230" customFormat="1">
      <c r="A11" s="241" t="s">
        <v>69</v>
      </c>
      <c r="B11" s="291">
        <v>23</v>
      </c>
      <c r="C11" s="239"/>
      <c r="D11" s="292">
        <v>1809821</v>
      </c>
      <c r="E11" s="292"/>
      <c r="F11" s="292">
        <v>1863806</v>
      </c>
      <c r="G11" s="239"/>
      <c r="H11" s="239"/>
    </row>
    <row r="12" spans="1:9" s="230" customFormat="1">
      <c r="A12" s="293" t="s">
        <v>70</v>
      </c>
      <c r="B12" s="292"/>
      <c r="D12" s="292">
        <v>2370903</v>
      </c>
      <c r="E12" s="292"/>
      <c r="F12" s="292">
        <v>2140317</v>
      </c>
      <c r="G12" s="239"/>
      <c r="H12" s="239"/>
    </row>
    <row r="13" spans="1:9" s="230" customFormat="1">
      <c r="A13" s="241" t="s">
        <v>6</v>
      </c>
      <c r="B13" s="291">
        <v>11</v>
      </c>
      <c r="D13" s="292">
        <v>18940616</v>
      </c>
      <c r="E13" s="292"/>
      <c r="F13" s="292">
        <v>19594268</v>
      </c>
      <c r="G13" s="239"/>
      <c r="H13" s="239"/>
    </row>
    <row r="14" spans="1:9" s="230" customFormat="1">
      <c r="A14" s="241" t="s">
        <v>71</v>
      </c>
      <c r="B14" s="291">
        <v>15</v>
      </c>
      <c r="C14" s="239"/>
      <c r="D14" s="294">
        <v>0</v>
      </c>
      <c r="E14" s="292"/>
      <c r="F14" s="292">
        <v>11189237</v>
      </c>
      <c r="G14" s="239"/>
      <c r="H14" s="239"/>
    </row>
    <row r="15" spans="1:9" s="230" customFormat="1">
      <c r="A15" s="240" t="s">
        <v>346</v>
      </c>
      <c r="B15" s="292"/>
      <c r="C15" s="239"/>
      <c r="D15" s="295">
        <f>SUM(D5:D14)</f>
        <v>72513720</v>
      </c>
      <c r="E15" s="296" t="s">
        <v>347</v>
      </c>
      <c r="F15" s="297">
        <f>SUM(F5:F14)</f>
        <v>73184850</v>
      </c>
      <c r="G15" s="296" t="s">
        <v>347</v>
      </c>
      <c r="H15" s="296" t="s">
        <v>347</v>
      </c>
    </row>
    <row r="16" spans="1:9" s="230" customFormat="1" ht="7.5" customHeight="1">
      <c r="A16" s="240"/>
      <c r="B16" s="292"/>
      <c r="C16" s="239"/>
      <c r="D16" s="298"/>
      <c r="E16" s="296"/>
      <c r="F16" s="296"/>
      <c r="G16" s="296"/>
      <c r="H16" s="296"/>
    </row>
    <row r="17" spans="1:9" s="230" customFormat="1">
      <c r="A17" s="240" t="s">
        <v>348</v>
      </c>
      <c r="B17" s="292"/>
      <c r="C17" s="239"/>
      <c r="D17" s="299">
        <v>0</v>
      </c>
      <c r="E17" s="296"/>
      <c r="F17" s="299">
        <v>0</v>
      </c>
      <c r="G17" s="296"/>
      <c r="H17" s="296"/>
    </row>
    <row r="18" spans="1:9" s="230" customFormat="1">
      <c r="A18" s="237"/>
      <c r="B18" s="292"/>
      <c r="C18" s="239"/>
      <c r="D18" s="292"/>
      <c r="E18" s="292"/>
      <c r="F18" s="292"/>
      <c r="G18" s="239"/>
      <c r="H18" s="239"/>
    </row>
    <row r="19" spans="1:9" s="230" customFormat="1">
      <c r="A19" s="243" t="s">
        <v>349</v>
      </c>
      <c r="B19" s="292"/>
      <c r="C19" s="244"/>
      <c r="D19" s="292"/>
      <c r="E19" s="292"/>
      <c r="F19" s="292"/>
      <c r="G19" s="244"/>
      <c r="H19" s="244"/>
    </row>
    <row r="20" spans="1:9" s="230" customFormat="1">
      <c r="A20" s="241" t="s">
        <v>345</v>
      </c>
      <c r="B20" s="291">
        <v>21</v>
      </c>
      <c r="C20" s="244"/>
      <c r="D20" s="300">
        <v>0</v>
      </c>
      <c r="E20" s="292"/>
      <c r="F20" s="294">
        <v>0</v>
      </c>
      <c r="G20" s="244"/>
      <c r="H20" s="244"/>
    </row>
    <row r="21" spans="1:9" s="230" customFormat="1">
      <c r="A21" s="241" t="s">
        <v>68</v>
      </c>
      <c r="B21" s="291">
        <v>10</v>
      </c>
      <c r="C21" s="239"/>
      <c r="D21" s="292">
        <f>2830934-1610+176970</f>
        <v>3006294</v>
      </c>
      <c r="E21" s="239"/>
      <c r="F21" s="294">
        <v>2899664</v>
      </c>
      <c r="G21" s="246"/>
      <c r="H21" s="239"/>
    </row>
    <row r="22" spans="1:9" s="230" customFormat="1">
      <c r="A22" s="241" t="s">
        <v>73</v>
      </c>
      <c r="B22" s="291">
        <v>12</v>
      </c>
      <c r="C22" s="239"/>
      <c r="D22" s="292">
        <v>115482884</v>
      </c>
      <c r="E22" s="239"/>
      <c r="F22" s="294">
        <v>61835159</v>
      </c>
      <c r="G22" s="246"/>
      <c r="H22" s="239"/>
      <c r="I22" s="230" t="s">
        <v>389</v>
      </c>
    </row>
    <row r="23" spans="1:9" s="230" customFormat="1">
      <c r="A23" s="241" t="s">
        <v>350</v>
      </c>
      <c r="B23" s="291">
        <v>13</v>
      </c>
      <c r="C23" s="239"/>
      <c r="D23" s="292">
        <v>700965</v>
      </c>
      <c r="E23" s="239"/>
      <c r="F23" s="294">
        <v>860466</v>
      </c>
      <c r="G23" s="246"/>
      <c r="H23" s="239"/>
    </row>
    <row r="24" spans="1:9" s="230" customFormat="1">
      <c r="A24" s="241" t="s">
        <v>74</v>
      </c>
      <c r="B24" s="291">
        <v>14</v>
      </c>
      <c r="C24" s="239"/>
      <c r="D24" s="292">
        <v>12117453</v>
      </c>
      <c r="E24" s="239"/>
      <c r="F24" s="294">
        <v>12384735</v>
      </c>
      <c r="G24" s="246"/>
      <c r="H24" s="239"/>
    </row>
    <row r="25" spans="1:9" s="230" customFormat="1">
      <c r="A25" s="241" t="s">
        <v>71</v>
      </c>
      <c r="B25" s="291">
        <v>15</v>
      </c>
      <c r="C25" s="239"/>
      <c r="D25" s="294">
        <v>3030143</v>
      </c>
      <c r="E25" s="239"/>
      <c r="F25" s="294">
        <v>40281700</v>
      </c>
      <c r="G25" s="246"/>
      <c r="H25" s="239"/>
      <c r="I25" s="230" t="s">
        <v>382</v>
      </c>
    </row>
    <row r="26" spans="1:9" s="230" customFormat="1">
      <c r="A26" s="241" t="s">
        <v>212</v>
      </c>
      <c r="B26" s="291">
        <v>16</v>
      </c>
      <c r="C26" s="239"/>
      <c r="D26" s="292">
        <v>1422229</v>
      </c>
      <c r="E26" s="239"/>
      <c r="F26" s="294">
        <v>1297229</v>
      </c>
      <c r="G26" s="246"/>
      <c r="H26" s="239"/>
    </row>
    <row r="27" spans="1:9" s="230" customFormat="1">
      <c r="A27" s="241" t="s">
        <v>76</v>
      </c>
      <c r="B27" s="291">
        <v>17</v>
      </c>
      <c r="C27" s="239"/>
      <c r="D27" s="292">
        <f>5314208+1231351</f>
        <v>6545559</v>
      </c>
      <c r="E27" s="239"/>
      <c r="F27" s="294">
        <v>5317430</v>
      </c>
      <c r="G27" s="246"/>
      <c r="H27" s="239"/>
    </row>
    <row r="28" spans="1:9" s="230" customFormat="1">
      <c r="A28" s="241" t="s">
        <v>77</v>
      </c>
      <c r="B28" s="291"/>
      <c r="C28" s="239"/>
      <c r="D28" s="282">
        <f>104399+1610</f>
        <v>106009</v>
      </c>
      <c r="E28" s="239"/>
      <c r="F28" s="294">
        <f>104394+1501</f>
        <v>105895</v>
      </c>
      <c r="G28" s="246"/>
      <c r="H28" s="239"/>
    </row>
    <row r="29" spans="1:9" s="230" customFormat="1">
      <c r="A29" s="240" t="s">
        <v>351</v>
      </c>
      <c r="B29" s="292"/>
      <c r="C29" s="239"/>
      <c r="D29" s="301">
        <f>SUM(D20:D28)</f>
        <v>142411536</v>
      </c>
      <c r="E29" s="292"/>
      <c r="F29" s="302">
        <f>SUM(F20:F28)</f>
        <v>124982278</v>
      </c>
      <c r="G29" s="244"/>
      <c r="H29" s="244"/>
    </row>
    <row r="30" spans="1:9" s="230" customFormat="1" ht="10.8" thickBot="1">
      <c r="A30" s="240" t="s">
        <v>39</v>
      </c>
      <c r="B30" s="292"/>
      <c r="C30" s="239"/>
      <c r="D30" s="303">
        <f>+D15+D29+D17</f>
        <v>214925256</v>
      </c>
      <c r="E30" s="292"/>
      <c r="F30" s="303">
        <f>+F15+F29+F17</f>
        <v>198167128</v>
      </c>
      <c r="G30" s="244"/>
      <c r="H30" s="244"/>
    </row>
    <row r="31" spans="1:9" s="230" customFormat="1" ht="8.25" customHeight="1" thickTop="1">
      <c r="A31" s="240"/>
      <c r="B31" s="292"/>
      <c r="C31" s="239"/>
      <c r="D31" s="296"/>
      <c r="E31" s="292"/>
      <c r="F31" s="296"/>
      <c r="G31" s="244"/>
      <c r="H31" s="244"/>
    </row>
    <row r="32" spans="1:9" s="230" customFormat="1">
      <c r="A32" s="240"/>
      <c r="B32" s="292"/>
      <c r="C32" s="239"/>
      <c r="D32" s="296"/>
      <c r="E32" s="292"/>
      <c r="F32" s="296"/>
      <c r="G32" s="244"/>
      <c r="H32" s="244"/>
    </row>
    <row r="33" spans="1:9" s="230" customFormat="1">
      <c r="B33" s="304"/>
      <c r="C33" s="304"/>
      <c r="D33" s="304"/>
      <c r="E33" s="221"/>
      <c r="F33" s="305" t="s">
        <v>338</v>
      </c>
    </row>
    <row r="34" spans="1:9" s="230" customFormat="1" ht="20.399999999999999">
      <c r="A34" s="306" t="s">
        <v>352</v>
      </c>
      <c r="B34" s="307" t="s">
        <v>340</v>
      </c>
      <c r="C34" s="304"/>
      <c r="D34" s="308" t="s">
        <v>341</v>
      </c>
      <c r="E34" s="309"/>
      <c r="F34" s="308" t="s">
        <v>342</v>
      </c>
    </row>
    <row r="35" spans="1:9" s="230" customFormat="1" ht="3.75" customHeight="1">
      <c r="A35" s="310"/>
      <c r="B35" s="292"/>
      <c r="C35" s="239"/>
      <c r="D35" s="292"/>
      <c r="E35" s="292"/>
      <c r="F35" s="292"/>
    </row>
    <row r="36" spans="1:9" s="230" customFormat="1">
      <c r="A36" s="306" t="s">
        <v>353</v>
      </c>
      <c r="B36" s="292"/>
      <c r="C36" s="239"/>
      <c r="D36" s="292"/>
      <c r="E36" s="292"/>
      <c r="F36" s="292"/>
    </row>
    <row r="37" spans="1:9" s="230" customFormat="1">
      <c r="A37" s="306"/>
      <c r="B37" s="292"/>
      <c r="C37" s="239"/>
      <c r="D37" s="292"/>
      <c r="E37" s="292"/>
      <c r="F37" s="292"/>
    </row>
    <row r="38" spans="1:9" s="230" customFormat="1">
      <c r="A38" s="311" t="s">
        <v>354</v>
      </c>
      <c r="B38" s="292"/>
      <c r="C38" s="239"/>
      <c r="D38" s="292"/>
      <c r="E38" s="292"/>
      <c r="F38" s="292"/>
    </row>
    <row r="39" spans="1:9" s="230" customFormat="1">
      <c r="A39" s="312" t="s">
        <v>78</v>
      </c>
      <c r="B39" s="313">
        <v>18</v>
      </c>
      <c r="C39" s="239"/>
      <c r="D39" s="294">
        <v>31524342</v>
      </c>
      <c r="E39" s="294"/>
      <c r="F39" s="294">
        <v>25934358</v>
      </c>
      <c r="I39" s="300"/>
    </row>
    <row r="40" spans="1:9" s="230" customFormat="1">
      <c r="A40" s="312" t="s">
        <v>355</v>
      </c>
      <c r="B40" s="313">
        <v>19</v>
      </c>
      <c r="C40" s="239"/>
      <c r="D40" s="294">
        <v>18525384</v>
      </c>
      <c r="E40" s="294"/>
      <c r="F40" s="294">
        <v>24674706</v>
      </c>
      <c r="I40" s="300"/>
    </row>
    <row r="41" spans="1:9" s="230" customFormat="1">
      <c r="A41" s="312" t="s">
        <v>356</v>
      </c>
      <c r="B41" s="313">
        <v>21</v>
      </c>
      <c r="C41" s="239"/>
      <c r="D41" s="294">
        <f>348539-86149</f>
        <v>262390</v>
      </c>
      <c r="E41" s="294"/>
      <c r="F41" s="294">
        <v>805431</v>
      </c>
      <c r="I41" s="300"/>
    </row>
    <row r="42" spans="1:9" s="230" customFormat="1">
      <c r="A42" s="312" t="s">
        <v>213</v>
      </c>
      <c r="B42" s="313">
        <v>22</v>
      </c>
      <c r="C42" s="239"/>
      <c r="D42" s="294">
        <v>0</v>
      </c>
      <c r="E42" s="294"/>
      <c r="F42" s="294">
        <v>0</v>
      </c>
      <c r="I42" s="300"/>
    </row>
    <row r="43" spans="1:9" s="230" customFormat="1">
      <c r="A43" s="312" t="s">
        <v>357</v>
      </c>
      <c r="B43" s="313">
        <v>23</v>
      </c>
      <c r="C43" s="239"/>
      <c r="D43" s="294">
        <v>4144395</v>
      </c>
      <c r="E43" s="294"/>
      <c r="F43" s="294">
        <v>2516445</v>
      </c>
      <c r="I43" s="300"/>
    </row>
    <row r="44" spans="1:9" s="230" customFormat="1">
      <c r="A44" s="312" t="s">
        <v>80</v>
      </c>
      <c r="B44" s="292"/>
      <c r="C44" s="239"/>
      <c r="D44" s="294">
        <f>783153</f>
        <v>783153</v>
      </c>
      <c r="E44" s="246"/>
      <c r="F44" s="294">
        <v>926219</v>
      </c>
      <c r="I44" s="300"/>
    </row>
    <row r="45" spans="1:9" s="230" customFormat="1">
      <c r="A45" s="312" t="s">
        <v>81</v>
      </c>
      <c r="B45" s="313">
        <v>20</v>
      </c>
      <c r="C45" s="239"/>
      <c r="D45" s="294">
        <v>4358272</v>
      </c>
      <c r="E45" s="246"/>
      <c r="F45" s="294">
        <v>10350691</v>
      </c>
    </row>
    <row r="46" spans="1:9" s="230" customFormat="1">
      <c r="A46" s="312" t="s">
        <v>358</v>
      </c>
      <c r="B46" s="313">
        <v>24</v>
      </c>
      <c r="C46" s="239"/>
      <c r="D46" s="294">
        <v>4375344</v>
      </c>
      <c r="E46" s="294"/>
      <c r="F46" s="294">
        <v>4604646</v>
      </c>
      <c r="I46" s="300"/>
    </row>
    <row r="47" spans="1:9" s="230" customFormat="1">
      <c r="A47" s="312" t="s">
        <v>83</v>
      </c>
      <c r="B47" s="313">
        <v>26</v>
      </c>
      <c r="C47" s="239"/>
      <c r="D47" s="294">
        <v>4225160</v>
      </c>
      <c r="E47" s="294"/>
      <c r="F47" s="294">
        <v>3530956</v>
      </c>
      <c r="I47" s="300"/>
    </row>
    <row r="48" spans="1:9" s="230" customFormat="1">
      <c r="A48" s="311" t="s">
        <v>359</v>
      </c>
      <c r="B48" s="292"/>
      <c r="C48" s="239"/>
      <c r="D48" s="295">
        <f>SUM(D39:D47)</f>
        <v>68198440</v>
      </c>
      <c r="E48" s="294"/>
      <c r="F48" s="295">
        <f>SUM(F39:F47)</f>
        <v>73343452</v>
      </c>
    </row>
    <row r="49" spans="1:11" s="230" customFormat="1">
      <c r="B49" s="292"/>
      <c r="C49" s="292"/>
      <c r="D49" s="294" t="s">
        <v>347</v>
      </c>
      <c r="E49" s="294"/>
      <c r="F49" s="294" t="s">
        <v>347</v>
      </c>
    </row>
    <row r="50" spans="1:11" s="230" customFormat="1">
      <c r="A50" s="311" t="s">
        <v>360</v>
      </c>
      <c r="B50" s="292"/>
      <c r="C50" s="239"/>
      <c r="D50" s="294"/>
      <c r="E50" s="294"/>
      <c r="F50" s="294"/>
    </row>
    <row r="51" spans="1:11" s="230" customFormat="1">
      <c r="A51" s="312" t="s">
        <v>78</v>
      </c>
      <c r="B51" s="313">
        <v>18</v>
      </c>
      <c r="C51" s="239"/>
      <c r="D51" s="294">
        <v>23039030</v>
      </c>
      <c r="E51" s="294"/>
      <c r="F51" s="294">
        <v>18334913</v>
      </c>
      <c r="I51" s="300"/>
      <c r="K51" s="314"/>
    </row>
    <row r="52" spans="1:11" s="230" customFormat="1">
      <c r="A52" s="312" t="s">
        <v>355</v>
      </c>
      <c r="B52" s="313">
        <v>19</v>
      </c>
      <c r="C52" s="239"/>
      <c r="D52" s="294">
        <v>5713210</v>
      </c>
      <c r="E52" s="294"/>
      <c r="F52" s="294">
        <v>0</v>
      </c>
      <c r="I52" s="300"/>
    </row>
    <row r="53" spans="1:11" s="230" customFormat="1">
      <c r="A53" s="312" t="s">
        <v>356</v>
      </c>
      <c r="B53" s="313">
        <v>21</v>
      </c>
      <c r="C53" s="239"/>
      <c r="D53" s="294">
        <v>10628878</v>
      </c>
      <c r="E53" s="294"/>
      <c r="F53" s="294">
        <v>14282894</v>
      </c>
      <c r="I53" s="300"/>
    </row>
    <row r="54" spans="1:11" s="230" customFormat="1">
      <c r="A54" s="312" t="s">
        <v>80</v>
      </c>
      <c r="B54" s="313"/>
      <c r="C54" s="239"/>
      <c r="D54" s="294">
        <f>2680000+86149</f>
        <v>2766149</v>
      </c>
      <c r="E54" s="294"/>
      <c r="F54" s="294">
        <v>0</v>
      </c>
      <c r="I54" s="300"/>
      <c r="J54" s="315"/>
      <c r="K54" s="314"/>
    </row>
    <row r="55" spans="1:11" s="230" customFormat="1">
      <c r="A55" s="312" t="s">
        <v>358</v>
      </c>
      <c r="B55" s="313">
        <v>25</v>
      </c>
      <c r="C55" s="239"/>
      <c r="D55" s="294">
        <v>5796127</v>
      </c>
      <c r="E55" s="294"/>
      <c r="F55" s="294">
        <v>4471614</v>
      </c>
      <c r="I55" s="300"/>
    </row>
    <row r="56" spans="1:11" s="230" customFormat="1">
      <c r="A56" s="312" t="s">
        <v>81</v>
      </c>
      <c r="B56" s="313"/>
      <c r="C56" s="239"/>
      <c r="D56" s="294">
        <v>27717</v>
      </c>
      <c r="E56" s="294"/>
      <c r="F56" s="294">
        <v>0</v>
      </c>
      <c r="I56" s="294"/>
    </row>
    <row r="57" spans="1:11" s="230" customFormat="1">
      <c r="A57" s="312" t="s">
        <v>361</v>
      </c>
      <c r="B57" s="313">
        <v>26</v>
      </c>
      <c r="C57" s="239"/>
      <c r="D57" s="294">
        <v>17696327</v>
      </c>
      <c r="E57" s="294"/>
      <c r="F57" s="294">
        <v>13213506</v>
      </c>
      <c r="I57" s="300"/>
    </row>
    <row r="58" spans="1:11" s="230" customFormat="1">
      <c r="A58" s="312" t="s">
        <v>87</v>
      </c>
      <c r="B58" s="313">
        <v>27</v>
      </c>
      <c r="C58" s="239"/>
      <c r="D58" s="294">
        <v>3572443</v>
      </c>
      <c r="E58" s="294"/>
      <c r="F58" s="294">
        <v>5938109</v>
      </c>
      <c r="I58" s="300"/>
    </row>
    <row r="59" spans="1:11" s="230" customFormat="1">
      <c r="A59" s="311" t="s">
        <v>362</v>
      </c>
      <c r="B59" s="292"/>
      <c r="C59" s="239"/>
      <c r="D59" s="295">
        <f>SUM(D51:D58)</f>
        <v>69239881</v>
      </c>
      <c r="E59" s="294"/>
      <c r="F59" s="295">
        <f>SUM(F51:F58)</f>
        <v>56241036</v>
      </c>
    </row>
    <row r="60" spans="1:11" s="230" customFormat="1">
      <c r="A60" s="311" t="s">
        <v>40</v>
      </c>
      <c r="B60" s="292"/>
      <c r="C60" s="239"/>
      <c r="D60" s="295">
        <f>+D48+D59</f>
        <v>137438321</v>
      </c>
      <c r="E60" s="294"/>
      <c r="F60" s="295">
        <f>+F48+F59</f>
        <v>129584488</v>
      </c>
    </row>
    <row r="61" spans="1:11" s="230" customFormat="1">
      <c r="A61" s="311"/>
      <c r="B61" s="292"/>
      <c r="C61" s="239"/>
      <c r="D61" s="294"/>
      <c r="E61" s="294"/>
      <c r="F61" s="294"/>
    </row>
    <row r="62" spans="1:11" s="230" customFormat="1">
      <c r="A62" s="306" t="s">
        <v>363</v>
      </c>
      <c r="B62" s="292"/>
      <c r="C62" s="239"/>
      <c r="D62" s="294"/>
      <c r="E62" s="294"/>
      <c r="F62" s="294"/>
    </row>
    <row r="63" spans="1:11" s="230" customFormat="1">
      <c r="A63" s="312" t="s">
        <v>364</v>
      </c>
      <c r="B63" s="313">
        <v>28</v>
      </c>
      <c r="C63" s="239"/>
      <c r="D63" s="294">
        <v>23879352</v>
      </c>
      <c r="E63" s="294"/>
      <c r="F63" s="294">
        <v>23879352</v>
      </c>
    </row>
    <row r="64" spans="1:11" s="230" customFormat="1">
      <c r="A64" s="312" t="s">
        <v>365</v>
      </c>
      <c r="B64" s="313">
        <v>28</v>
      </c>
      <c r="C64" s="239"/>
      <c r="D64" s="294">
        <v>705936</v>
      </c>
      <c r="E64" s="294"/>
      <c r="F64" s="294">
        <v>705936</v>
      </c>
    </row>
    <row r="65" spans="1:6" s="230" customFormat="1">
      <c r="A65" s="312" t="s">
        <v>306</v>
      </c>
      <c r="B65" s="292"/>
      <c r="C65" s="239"/>
      <c r="D65" s="294">
        <v>4016935</v>
      </c>
      <c r="E65" s="294"/>
      <c r="F65" s="294">
        <v>2675050</v>
      </c>
    </row>
    <row r="66" spans="1:6" s="230" customFormat="1">
      <c r="A66" s="312" t="s">
        <v>157</v>
      </c>
      <c r="B66" s="292"/>
      <c r="C66" s="239"/>
      <c r="D66" s="282">
        <v>37723453</v>
      </c>
      <c r="E66" s="294"/>
      <c r="F66" s="282">
        <v>31964783</v>
      </c>
    </row>
    <row r="67" spans="1:6" s="230" customFormat="1">
      <c r="A67" s="312"/>
      <c r="B67" s="292"/>
      <c r="C67" s="239"/>
      <c r="D67" s="298">
        <f>SUM(D63:D66)</f>
        <v>66325676</v>
      </c>
      <c r="E67" s="298"/>
      <c r="F67" s="298">
        <f>SUM(F63:F66)</f>
        <v>59225121</v>
      </c>
    </row>
    <row r="68" spans="1:6" s="248" customFormat="1">
      <c r="A68" s="250" t="s">
        <v>366</v>
      </c>
      <c r="B68" s="242"/>
      <c r="C68" s="247"/>
      <c r="D68" s="251">
        <v>11161259</v>
      </c>
      <c r="E68" s="252"/>
      <c r="F68" s="251">
        <v>9357519</v>
      </c>
    </row>
    <row r="69" spans="1:6" s="248" customFormat="1" ht="7.5" customHeight="1">
      <c r="A69" s="250"/>
      <c r="B69" s="242"/>
      <c r="C69" s="247"/>
      <c r="D69" s="252"/>
      <c r="E69" s="252"/>
      <c r="F69" s="252"/>
    </row>
    <row r="70" spans="1:6" s="248" customFormat="1">
      <c r="A70" s="249" t="s">
        <v>41</v>
      </c>
      <c r="B70" s="242"/>
      <c r="C70" s="247"/>
      <c r="D70" s="251">
        <f>SUM(D67:D68)</f>
        <v>77486935</v>
      </c>
      <c r="E70" s="252"/>
      <c r="F70" s="251">
        <f>SUM(F67:F68)</f>
        <v>68582640</v>
      </c>
    </row>
    <row r="71" spans="1:6" s="248" customFormat="1" ht="3" customHeight="1">
      <c r="A71" s="249"/>
      <c r="B71" s="242"/>
      <c r="C71" s="247"/>
      <c r="D71" s="252"/>
      <c r="E71" s="252"/>
      <c r="F71" s="252"/>
    </row>
    <row r="72" spans="1:6" s="248" customFormat="1" ht="10.8" thickBot="1">
      <c r="A72" s="249" t="s">
        <v>367</v>
      </c>
      <c r="B72" s="242"/>
      <c r="C72" s="247"/>
      <c r="D72" s="253">
        <f>+D60+D70</f>
        <v>214925256</v>
      </c>
      <c r="E72" s="245"/>
      <c r="F72" s="253">
        <f>+F60+F70</f>
        <v>198167128</v>
      </c>
    </row>
    <row r="73" spans="1:6" ht="10.8" thickTop="1">
      <c r="D73" s="238"/>
      <c r="E73" s="238"/>
      <c r="F73" s="238"/>
    </row>
    <row r="74" spans="1:6">
      <c r="D74" s="238"/>
      <c r="E74" s="238"/>
      <c r="F74" s="238"/>
    </row>
    <row r="75" spans="1:6">
      <c r="D75" s="229">
        <f>D72-D30</f>
        <v>0</v>
      </c>
      <c r="E75" s="229"/>
      <c r="F75" s="229">
        <f>F72-F30</f>
        <v>0</v>
      </c>
    </row>
    <row r="76" spans="1:6">
      <c r="D76" s="238"/>
      <c r="E76" s="238"/>
      <c r="F76" s="238"/>
    </row>
    <row r="77" spans="1:6">
      <c r="D77" s="238"/>
      <c r="E77" s="238"/>
      <c r="F77" s="238"/>
    </row>
    <row r="78" spans="1:6">
      <c r="D78" s="238"/>
      <c r="E78" s="238"/>
      <c r="F78" s="238"/>
    </row>
    <row r="79" spans="1:6">
      <c r="D79" s="238"/>
      <c r="E79" s="238"/>
      <c r="F79" s="238"/>
    </row>
    <row r="80" spans="1:6">
      <c r="D80" s="238"/>
      <c r="E80" s="238"/>
      <c r="F80" s="238"/>
    </row>
    <row r="81" spans="4:6">
      <c r="D81" s="238"/>
      <c r="E81" s="238"/>
      <c r="F81" s="238"/>
    </row>
    <row r="82" spans="4:6">
      <c r="D82" s="238"/>
      <c r="E82" s="238"/>
      <c r="F82" s="238"/>
    </row>
    <row r="83" spans="4:6">
      <c r="D83" s="238"/>
      <c r="E83" s="238"/>
      <c r="F83" s="238"/>
    </row>
    <row r="84" spans="4:6">
      <c r="D84" s="238"/>
      <c r="E84" s="238"/>
      <c r="F84" s="238"/>
    </row>
    <row r="85" spans="4:6">
      <c r="D85" s="238"/>
      <c r="E85" s="238"/>
      <c r="F85" s="238"/>
    </row>
    <row r="86" spans="4:6">
      <c r="D86" s="238"/>
      <c r="E86" s="238"/>
      <c r="F86" s="2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5" sqref="A5:XFD5"/>
    </sheetView>
  </sheetViews>
  <sheetFormatPr baseColWidth="10" defaultColWidth="9.109375" defaultRowHeight="14.4"/>
  <cols>
    <col min="1" max="1" width="54.109375" style="248" customWidth="1"/>
    <col min="2" max="2" width="4.88671875" style="248" bestFit="1" customWidth="1"/>
    <col min="3" max="3" width="7" style="248" customWidth="1"/>
    <col min="4" max="4" width="15" style="248" customWidth="1"/>
    <col min="5" max="5" width="4.109375" style="248" customWidth="1"/>
    <col min="6" max="6" width="15" style="248" customWidth="1"/>
    <col min="7" max="7" width="2.6640625" style="248" customWidth="1"/>
    <col min="8" max="8" width="12.44140625" style="134" bestFit="1" customWidth="1"/>
    <col min="9" max="9" width="2.6640625" style="248" customWidth="1"/>
    <col min="10" max="10" width="16.6640625" style="248" bestFit="1" customWidth="1"/>
    <col min="11" max="16384" width="9.109375" style="248"/>
  </cols>
  <sheetData>
    <row r="1" spans="1:10" ht="10.199999999999999">
      <c r="B1" s="254"/>
      <c r="C1" s="254"/>
      <c r="D1" s="254"/>
      <c r="E1" s="254"/>
      <c r="F1" s="255" t="s">
        <v>368</v>
      </c>
      <c r="H1" s="248"/>
    </row>
    <row r="2" spans="1:10" ht="10.199999999999999">
      <c r="A2" s="256"/>
      <c r="B2" s="257" t="s">
        <v>340</v>
      </c>
      <c r="C2" s="258"/>
      <c r="D2" s="259">
        <v>2016</v>
      </c>
      <c r="E2" s="258"/>
      <c r="F2" s="259">
        <v>2015</v>
      </c>
      <c r="G2" s="260"/>
      <c r="H2" s="248"/>
      <c r="I2" s="260"/>
      <c r="J2" s="260"/>
    </row>
    <row r="3" spans="1:10" ht="3" customHeight="1">
      <c r="A3" s="261"/>
      <c r="B3" s="261"/>
      <c r="C3" s="261"/>
      <c r="D3" s="260"/>
      <c r="E3" s="261"/>
      <c r="F3" s="260"/>
      <c r="G3" s="260"/>
      <c r="H3" s="248"/>
      <c r="I3" s="260"/>
      <c r="J3" s="260"/>
    </row>
    <row r="4" spans="1:10" ht="15" customHeight="1">
      <c r="A4" s="262" t="s">
        <v>89</v>
      </c>
      <c r="B4" s="263">
        <v>32</v>
      </c>
      <c r="C4" s="262"/>
      <c r="D4" s="264">
        <v>146570644</v>
      </c>
      <c r="E4" s="265"/>
      <c r="F4" s="264">
        <v>124212687</v>
      </c>
      <c r="G4" s="266"/>
      <c r="H4" s="248"/>
      <c r="I4" s="266"/>
      <c r="J4" s="267"/>
    </row>
    <row r="5" spans="1:10" s="230" customFormat="1" ht="10.199999999999999">
      <c r="A5" s="320" t="s">
        <v>369</v>
      </c>
      <c r="B5" s="321">
        <v>29</v>
      </c>
      <c r="C5" s="322"/>
      <c r="D5" s="327">
        <v>-96891637</v>
      </c>
      <c r="E5" s="324"/>
      <c r="F5" s="327">
        <v>-89061601</v>
      </c>
      <c r="G5" s="325"/>
      <c r="I5" s="325"/>
      <c r="J5" s="328"/>
    </row>
    <row r="6" spans="1:10" ht="7.5" customHeight="1">
      <c r="A6" s="268"/>
      <c r="B6" s="268"/>
      <c r="C6" s="268"/>
      <c r="D6" s="266"/>
      <c r="E6" s="271"/>
      <c r="F6" s="266"/>
      <c r="G6" s="266"/>
      <c r="H6" s="248"/>
      <c r="I6" s="266"/>
      <c r="J6" s="260"/>
    </row>
    <row r="7" spans="1:10" ht="10.199999999999999">
      <c r="A7" s="262" t="s">
        <v>370</v>
      </c>
      <c r="B7" s="268"/>
      <c r="C7" s="268"/>
      <c r="D7" s="272">
        <f>+D4+D5</f>
        <v>49679007</v>
      </c>
      <c r="E7" s="271"/>
      <c r="F7" s="272">
        <f>+F4+F5</f>
        <v>35151086</v>
      </c>
      <c r="G7" s="266"/>
      <c r="H7" s="248"/>
      <c r="I7" s="266"/>
      <c r="J7" s="260"/>
    </row>
    <row r="8" spans="1:10" ht="6" customHeight="1">
      <c r="A8" s="268"/>
      <c r="B8" s="268"/>
      <c r="C8" s="268"/>
      <c r="D8" s="266"/>
      <c r="E8" s="271"/>
      <c r="F8" s="266"/>
      <c r="G8" s="266"/>
      <c r="H8" s="248"/>
      <c r="I8" s="266"/>
      <c r="J8" s="260"/>
    </row>
    <row r="9" spans="1:10" s="230" customFormat="1" ht="13.5" customHeight="1">
      <c r="A9" s="320" t="s">
        <v>371</v>
      </c>
      <c r="B9" s="321">
        <v>29</v>
      </c>
      <c r="C9" s="322"/>
      <c r="D9" s="323">
        <v>-33364185</v>
      </c>
      <c r="E9" s="324"/>
      <c r="F9" s="323">
        <v>-32040164</v>
      </c>
      <c r="G9" s="325"/>
      <c r="I9" s="325"/>
      <c r="J9" s="326"/>
    </row>
    <row r="10" spans="1:10" ht="13.5" customHeight="1">
      <c r="A10" s="262" t="s">
        <v>372</v>
      </c>
      <c r="B10" s="263">
        <v>30</v>
      </c>
      <c r="C10" s="268"/>
      <c r="D10" s="269">
        <v>-102671</v>
      </c>
      <c r="E10" s="270"/>
      <c r="F10" s="269">
        <v>14615520</v>
      </c>
      <c r="G10" s="266"/>
      <c r="H10" s="248"/>
      <c r="I10" s="266"/>
      <c r="J10" s="260"/>
    </row>
    <row r="11" spans="1:10" ht="7.5" customHeight="1">
      <c r="A11" s="268"/>
      <c r="B11" s="268"/>
      <c r="C11" s="268"/>
      <c r="D11" s="266"/>
      <c r="E11" s="271"/>
      <c r="F11" s="266"/>
      <c r="G11" s="266"/>
      <c r="H11" s="248"/>
      <c r="I11" s="266"/>
      <c r="J11" s="260"/>
    </row>
    <row r="12" spans="1:10" ht="10.199999999999999">
      <c r="A12" s="262" t="s">
        <v>373</v>
      </c>
      <c r="B12" s="268"/>
      <c r="C12" s="268"/>
      <c r="D12" s="273">
        <f>SUM(D7:D10)</f>
        <v>16212151</v>
      </c>
      <c r="E12" s="271"/>
      <c r="F12" s="273">
        <f>SUM(F7:F10)</f>
        <v>17726442</v>
      </c>
      <c r="G12" s="266"/>
      <c r="H12" s="248"/>
      <c r="I12" s="266"/>
      <c r="J12" s="260"/>
    </row>
    <row r="13" spans="1:10" ht="5.25" customHeight="1">
      <c r="A13" s="268"/>
      <c r="B13" s="268"/>
      <c r="C13" s="268"/>
      <c r="D13" s="266"/>
      <c r="E13" s="274"/>
      <c r="F13" s="266"/>
      <c r="G13" s="266"/>
      <c r="H13" s="248"/>
      <c r="I13" s="266"/>
      <c r="J13" s="260"/>
    </row>
    <row r="14" spans="1:10" ht="11.25" customHeight="1">
      <c r="A14" s="262" t="s">
        <v>95</v>
      </c>
      <c r="B14" s="263">
        <v>31</v>
      </c>
      <c r="C14" s="268"/>
      <c r="D14" s="269">
        <v>-4584126</v>
      </c>
      <c r="E14" s="270"/>
      <c r="F14" s="269">
        <v>-3999363</v>
      </c>
      <c r="G14" s="266"/>
      <c r="H14" s="248"/>
      <c r="I14" s="266"/>
      <c r="J14" s="260"/>
    </row>
    <row r="15" spans="1:10" ht="10.199999999999999">
      <c r="A15" s="262"/>
      <c r="B15" s="262"/>
      <c r="C15" s="268"/>
      <c r="D15" s="275"/>
      <c r="E15" s="265"/>
      <c r="F15" s="275"/>
      <c r="G15" s="266"/>
      <c r="H15" s="248"/>
      <c r="I15" s="266"/>
      <c r="J15" s="260"/>
    </row>
    <row r="16" spans="1:10" ht="10.199999999999999">
      <c r="A16" s="262" t="s">
        <v>374</v>
      </c>
      <c r="B16" s="262"/>
      <c r="C16" s="268"/>
      <c r="D16" s="273">
        <f>SUM(D12:D14)</f>
        <v>11628025</v>
      </c>
      <c r="E16" s="271"/>
      <c r="F16" s="273">
        <f>SUM(F12:F14)</f>
        <v>13727079</v>
      </c>
      <c r="G16" s="266"/>
      <c r="H16" s="248"/>
      <c r="I16" s="266"/>
      <c r="J16" s="276"/>
    </row>
    <row r="17" spans="1:10" ht="5.25" customHeight="1">
      <c r="A17" s="268"/>
      <c r="B17" s="262"/>
      <c r="C17" s="268"/>
      <c r="D17" s="266"/>
      <c r="E17" s="271"/>
      <c r="F17" s="266"/>
      <c r="G17" s="266"/>
      <c r="H17" s="248"/>
      <c r="I17" s="266"/>
      <c r="J17" s="277"/>
    </row>
    <row r="18" spans="1:10" ht="10.199999999999999">
      <c r="A18" s="262" t="s">
        <v>375</v>
      </c>
      <c r="B18" s="263">
        <v>22</v>
      </c>
      <c r="C18" s="268"/>
      <c r="D18" s="269">
        <v>-3198548</v>
      </c>
      <c r="E18" s="265"/>
      <c r="F18" s="269">
        <v>-1573103</v>
      </c>
      <c r="G18" s="266"/>
      <c r="H18" s="248"/>
      <c r="I18" s="266"/>
      <c r="J18" s="277"/>
    </row>
    <row r="19" spans="1:10" ht="10.199999999999999">
      <c r="A19" s="268"/>
      <c r="B19" s="268"/>
      <c r="C19" s="268"/>
      <c r="D19" s="266"/>
      <c r="E19" s="278"/>
      <c r="F19" s="266"/>
      <c r="G19" s="266"/>
      <c r="H19" s="248"/>
      <c r="I19" s="266"/>
    </row>
    <row r="20" spans="1:10" ht="10.199999999999999">
      <c r="A20" s="262" t="s">
        <v>376</v>
      </c>
      <c r="B20" s="268"/>
      <c r="C20" s="279"/>
      <c r="D20" s="273">
        <f>SUM(D16:D18)</f>
        <v>8429477</v>
      </c>
      <c r="E20" s="274"/>
      <c r="F20" s="273">
        <f>SUM(F16:F18)</f>
        <v>12153976</v>
      </c>
      <c r="G20" s="266"/>
      <c r="H20" s="248"/>
      <c r="I20" s="266"/>
      <c r="J20" s="277"/>
    </row>
    <row r="21" spans="1:10" ht="5.25" customHeight="1">
      <c r="A21" s="262"/>
      <c r="B21" s="268"/>
      <c r="C21" s="279"/>
      <c r="D21" s="273"/>
      <c r="E21" s="274"/>
      <c r="F21" s="273"/>
      <c r="G21" s="266"/>
      <c r="H21" s="248"/>
      <c r="I21" s="266"/>
      <c r="J21" s="277"/>
    </row>
    <row r="22" spans="1:10" ht="10.199999999999999">
      <c r="A22" s="262" t="s">
        <v>336</v>
      </c>
      <c r="B22" s="268"/>
      <c r="C22" s="279"/>
      <c r="D22" s="273"/>
      <c r="E22" s="274"/>
      <c r="F22" s="273"/>
      <c r="G22" s="266"/>
      <c r="H22" s="248"/>
      <c r="I22" s="266"/>
      <c r="J22" s="277"/>
    </row>
    <row r="23" spans="1:10" ht="10.199999999999999">
      <c r="A23" s="262" t="s">
        <v>377</v>
      </c>
      <c r="B23" s="268"/>
      <c r="C23" s="279"/>
      <c r="D23" s="273"/>
      <c r="E23" s="274"/>
      <c r="F23" s="273"/>
      <c r="G23" s="266"/>
      <c r="H23" s="248"/>
      <c r="I23" s="266"/>
      <c r="J23" s="277"/>
    </row>
    <row r="24" spans="1:10" ht="10.199999999999999">
      <c r="A24" s="262" t="s">
        <v>378</v>
      </c>
      <c r="B24" s="268"/>
      <c r="C24" s="279"/>
      <c r="D24" s="273"/>
      <c r="E24" s="274"/>
      <c r="F24" s="273"/>
      <c r="G24" s="266"/>
      <c r="H24" s="248"/>
      <c r="I24" s="266"/>
      <c r="J24" s="277"/>
    </row>
    <row r="25" spans="1:10" ht="9" customHeight="1">
      <c r="A25" s="262"/>
      <c r="B25" s="268"/>
      <c r="C25" s="279"/>
      <c r="D25" s="273"/>
      <c r="E25" s="274"/>
      <c r="F25" s="273"/>
      <c r="G25" s="266"/>
      <c r="H25" s="248"/>
      <c r="I25" s="266"/>
      <c r="J25" s="277"/>
    </row>
    <row r="26" spans="1:10" ht="10.199999999999999">
      <c r="A26" s="262" t="s">
        <v>379</v>
      </c>
      <c r="B26" s="268">
        <v>25</v>
      </c>
      <c r="C26" s="279"/>
      <c r="D26" s="272">
        <v>-495802</v>
      </c>
      <c r="E26" s="274"/>
      <c r="F26" s="272">
        <v>14390</v>
      </c>
      <c r="G26" s="266"/>
      <c r="H26" s="248"/>
      <c r="I26" s="266"/>
      <c r="J26" s="277"/>
    </row>
    <row r="27" spans="1:10" ht="5.25" customHeight="1">
      <c r="A27" s="262"/>
      <c r="B27" s="268"/>
      <c r="C27" s="279"/>
      <c r="D27" s="273"/>
      <c r="E27" s="274"/>
      <c r="F27" s="273"/>
      <c r="G27" s="266"/>
      <c r="H27" s="248"/>
      <c r="I27" s="266"/>
      <c r="J27" s="277"/>
    </row>
    <row r="28" spans="1:10" ht="10.8" thickBot="1">
      <c r="A28" s="262" t="s">
        <v>293</v>
      </c>
      <c r="B28" s="268"/>
      <c r="C28" s="279"/>
      <c r="D28" s="280">
        <f>+D20+D26</f>
        <v>7933675</v>
      </c>
      <c r="E28" s="274"/>
      <c r="F28" s="280">
        <f>+F20+F26</f>
        <v>12168366</v>
      </c>
      <c r="G28" s="266"/>
      <c r="H28" s="248"/>
      <c r="I28" s="266"/>
      <c r="J28" s="277"/>
    </row>
    <row r="29" spans="1:10" ht="10.8" thickTop="1">
      <c r="A29" s="268"/>
      <c r="B29" s="268"/>
      <c r="C29" s="268"/>
      <c r="D29" s="266"/>
      <c r="E29" s="281"/>
      <c r="F29" s="266"/>
      <c r="G29" s="266"/>
      <c r="H29" s="248"/>
      <c r="I29" s="266"/>
      <c r="J29" s="277"/>
    </row>
    <row r="30" spans="1:10" ht="10.199999999999999">
      <c r="A30" s="248" t="s">
        <v>380</v>
      </c>
      <c r="B30" s="268"/>
      <c r="C30" s="268"/>
      <c r="D30" s="266"/>
      <c r="E30" s="281"/>
      <c r="F30" s="266"/>
      <c r="G30" s="266"/>
      <c r="H30" s="248"/>
      <c r="I30" s="266"/>
      <c r="J30" s="277"/>
    </row>
    <row r="31" spans="1:10" ht="10.199999999999999">
      <c r="B31" s="268"/>
      <c r="C31" s="268"/>
      <c r="D31" s="266"/>
      <c r="E31" s="281"/>
      <c r="F31" s="266"/>
      <c r="G31" s="266"/>
      <c r="H31" s="248"/>
      <c r="I31" s="266"/>
      <c r="J31" s="277"/>
    </row>
    <row r="32" spans="1:10" ht="10.199999999999999">
      <c r="A32" s="248" t="s">
        <v>381</v>
      </c>
      <c r="B32" s="268"/>
      <c r="C32" s="268"/>
      <c r="D32" s="245">
        <v>7615423</v>
      </c>
      <c r="E32" s="281"/>
      <c r="F32" s="245">
        <f>F28-F33</f>
        <v>12546363</v>
      </c>
      <c r="G32" s="266"/>
      <c r="H32" s="286">
        <f>F32-F26</f>
        <v>12531973</v>
      </c>
      <c r="I32" s="266"/>
      <c r="J32" s="277"/>
    </row>
    <row r="33" spans="1:10" ht="10.199999999999999">
      <c r="A33" s="248" t="s">
        <v>366</v>
      </c>
      <c r="B33" s="268"/>
      <c r="C33" s="268"/>
      <c r="D33" s="282">
        <v>318252</v>
      </c>
      <c r="E33" s="281"/>
      <c r="F33" s="282">
        <v>-377997</v>
      </c>
      <c r="G33" s="266"/>
      <c r="H33" s="248"/>
      <c r="I33" s="266"/>
      <c r="J33" s="277"/>
    </row>
    <row r="34" spans="1:10" ht="10.8" thickBot="1">
      <c r="A34" s="268"/>
      <c r="B34" s="268"/>
      <c r="C34" s="268"/>
      <c r="D34" s="283">
        <f>SUM(D32:D33)</f>
        <v>7933675</v>
      </c>
      <c r="E34" s="281"/>
      <c r="F34" s="283">
        <f>SUM(F32:F33)</f>
        <v>12168366</v>
      </c>
      <c r="G34" s="266"/>
      <c r="H34" s="248"/>
      <c r="I34" s="266"/>
      <c r="J34" s="277"/>
    </row>
    <row r="35" spans="1:10" ht="10.8" thickTop="1">
      <c r="A35" s="268"/>
      <c r="B35" s="268"/>
      <c r="C35" s="268"/>
      <c r="D35" s="266"/>
      <c r="E35" s="281"/>
      <c r="F35" s="266"/>
      <c r="G35" s="266"/>
      <c r="H35" s="248"/>
      <c r="I35" s="266"/>
      <c r="J35" s="277"/>
    </row>
    <row r="36" spans="1:10" ht="6" customHeight="1">
      <c r="H36" s="248"/>
    </row>
    <row r="37" spans="1:10" ht="10.199999999999999">
      <c r="H37" s="248"/>
    </row>
    <row r="38" spans="1:10" ht="10.199999999999999">
      <c r="H38" s="248"/>
    </row>
    <row r="39" spans="1:10" ht="10.199999999999999">
      <c r="H39" s="248"/>
    </row>
    <row r="40" spans="1:10" ht="10.199999999999999">
      <c r="H40" s="2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2"/>
  <sheetViews>
    <sheetView topLeftCell="A13" zoomScale="90" zoomScaleNormal="90" workbookViewId="0">
      <selection activeCell="D8" sqref="D8"/>
    </sheetView>
  </sheetViews>
  <sheetFormatPr baseColWidth="10" defaultColWidth="11.44140625" defaultRowHeight="10.199999999999999"/>
  <cols>
    <col min="1" max="1" width="49.6640625" style="201" bestFit="1" customWidth="1"/>
    <col min="2" max="2" width="12.6640625" style="201" bestFit="1" customWidth="1"/>
    <col min="3" max="3" width="1.33203125" style="201" customWidth="1"/>
    <col min="4" max="4" width="15.109375" style="201" customWidth="1"/>
    <col min="5" max="5" width="1.109375" style="201" customWidth="1"/>
    <col min="6" max="6" width="11.5546875" style="201" bestFit="1" customWidth="1"/>
    <col min="7" max="7" width="1.109375" style="201" customWidth="1"/>
    <col min="8" max="8" width="10.6640625" style="201" bestFit="1" customWidth="1"/>
    <col min="9" max="9" width="1.109375" style="201" customWidth="1"/>
    <col min="10" max="10" width="9.88671875" style="201" bestFit="1" customWidth="1"/>
    <col min="11" max="11" width="1.33203125" style="201" customWidth="1"/>
    <col min="12" max="12" width="12.5546875" style="201" bestFit="1" customWidth="1"/>
    <col min="13" max="13" width="1.33203125" style="201" customWidth="1"/>
    <col min="14" max="14" width="15.5546875" style="201" bestFit="1" customWidth="1"/>
    <col min="15" max="15" width="1.33203125" style="201" customWidth="1"/>
    <col min="16" max="16" width="14.44140625" style="201" bestFit="1" customWidth="1"/>
    <col min="17" max="17" width="1.109375" style="201" customWidth="1"/>
    <col min="18" max="18" width="12.6640625" style="201" bestFit="1" customWidth="1"/>
    <col min="19" max="19" width="11.44140625" style="201"/>
    <col min="20" max="20" width="12.6640625" style="201" bestFit="1" customWidth="1"/>
    <col min="21" max="16384" width="11.44140625" style="201"/>
  </cols>
  <sheetData>
    <row r="2" spans="1:21">
      <c r="B2" s="202"/>
      <c r="D2" s="203"/>
      <c r="F2" s="603" t="s">
        <v>306</v>
      </c>
      <c r="G2" s="603"/>
      <c r="H2" s="603"/>
      <c r="J2" s="603" t="s">
        <v>157</v>
      </c>
      <c r="K2" s="603"/>
      <c r="L2" s="603"/>
      <c r="M2" s="603"/>
      <c r="N2" s="603"/>
      <c r="O2" s="204"/>
      <c r="P2" s="204"/>
      <c r="U2" s="205"/>
    </row>
    <row r="3" spans="1:21">
      <c r="B3" s="206"/>
      <c r="D3" s="207" t="s">
        <v>307</v>
      </c>
      <c r="F3" s="202"/>
      <c r="G3" s="202"/>
      <c r="H3" s="202"/>
      <c r="J3" s="202" t="s">
        <v>308</v>
      </c>
      <c r="K3" s="202"/>
      <c r="L3" s="202" t="s">
        <v>309</v>
      </c>
      <c r="N3" s="208" t="s">
        <v>310</v>
      </c>
      <c r="P3" s="208" t="s">
        <v>311</v>
      </c>
      <c r="U3" s="205"/>
    </row>
    <row r="4" spans="1:21">
      <c r="B4" s="285" t="s">
        <v>193</v>
      </c>
      <c r="D4" s="209" t="s">
        <v>312</v>
      </c>
      <c r="F4" s="285" t="s">
        <v>313</v>
      </c>
      <c r="H4" s="285" t="s">
        <v>314</v>
      </c>
      <c r="J4" s="285" t="s">
        <v>315</v>
      </c>
      <c r="L4" s="285" t="s">
        <v>316</v>
      </c>
      <c r="N4" s="285" t="s">
        <v>317</v>
      </c>
      <c r="P4" s="210" t="s">
        <v>318</v>
      </c>
      <c r="R4" s="210" t="s">
        <v>319</v>
      </c>
    </row>
    <row r="6" spans="1:21">
      <c r="A6" s="211" t="s">
        <v>320</v>
      </c>
      <c r="B6" s="212">
        <v>11061874</v>
      </c>
      <c r="C6" s="213"/>
      <c r="D6" s="212">
        <v>10877339</v>
      </c>
      <c r="E6" s="213"/>
      <c r="F6" s="212">
        <v>929450</v>
      </c>
      <c r="G6" s="213"/>
      <c r="H6" s="212">
        <v>34797</v>
      </c>
      <c r="I6" s="213"/>
      <c r="J6" s="212">
        <v>227072</v>
      </c>
      <c r="K6" s="213"/>
      <c r="L6" s="212">
        <v>-3202431</v>
      </c>
      <c r="M6" s="213"/>
      <c r="N6" s="212">
        <v>35430659</v>
      </c>
      <c r="O6" s="213"/>
      <c r="P6" s="212">
        <v>9731456</v>
      </c>
      <c r="Q6" s="213"/>
      <c r="R6" s="212">
        <f>SUM(B6:P6)</f>
        <v>65090216</v>
      </c>
    </row>
    <row r="7" spans="1:21">
      <c r="A7" s="214"/>
      <c r="B7" s="212"/>
      <c r="C7" s="213"/>
      <c r="D7" s="212"/>
      <c r="E7" s="213"/>
      <c r="F7" s="212"/>
      <c r="G7" s="213"/>
      <c r="H7" s="212"/>
      <c r="I7" s="213"/>
      <c r="J7" s="212"/>
      <c r="K7" s="213"/>
      <c r="L7" s="212"/>
      <c r="M7" s="213"/>
      <c r="N7" s="212"/>
      <c r="O7" s="213"/>
      <c r="P7" s="212"/>
      <c r="Q7" s="213"/>
      <c r="R7" s="212"/>
    </row>
    <row r="8" spans="1:21" ht="20.399999999999999">
      <c r="A8" s="215" t="s">
        <v>321</v>
      </c>
      <c r="B8" s="212">
        <v>0</v>
      </c>
      <c r="C8" s="213"/>
      <c r="D8" s="212">
        <v>-3094403</v>
      </c>
      <c r="E8" s="213"/>
      <c r="F8" s="212">
        <v>0</v>
      </c>
      <c r="G8" s="213"/>
      <c r="H8" s="212">
        <v>0</v>
      </c>
      <c r="I8" s="213"/>
      <c r="J8" s="212">
        <v>0</v>
      </c>
      <c r="K8" s="213"/>
      <c r="L8" s="216">
        <v>0</v>
      </c>
      <c r="M8" s="213"/>
      <c r="N8" s="217">
        <v>0</v>
      </c>
      <c r="O8" s="213"/>
      <c r="P8" s="217">
        <v>0</v>
      </c>
      <c r="Q8" s="213"/>
      <c r="R8" s="218">
        <f>+SUM(B8:P8)</f>
        <v>-3094403</v>
      </c>
    </row>
    <row r="9" spans="1:21">
      <c r="A9" s="219"/>
      <c r="B9" s="212"/>
      <c r="C9" s="213"/>
      <c r="D9" s="212"/>
      <c r="E9" s="213"/>
      <c r="F9" s="212"/>
      <c r="G9" s="213"/>
      <c r="H9" s="212"/>
      <c r="I9" s="213"/>
      <c r="J9" s="212"/>
      <c r="K9" s="213"/>
      <c r="L9" s="216"/>
      <c r="M9" s="213"/>
      <c r="N9" s="217"/>
      <c r="O9" s="213"/>
      <c r="P9" s="217"/>
      <c r="Q9" s="213"/>
      <c r="R9" s="218"/>
    </row>
    <row r="10" spans="1:21" ht="20.399999999999999">
      <c r="A10" s="220" t="s">
        <v>322</v>
      </c>
      <c r="B10" s="212">
        <v>7077000</v>
      </c>
      <c r="C10" s="213"/>
      <c r="D10" s="212">
        <v>-7077000</v>
      </c>
      <c r="E10" s="213"/>
      <c r="F10" s="212">
        <v>0</v>
      </c>
      <c r="G10" s="213"/>
      <c r="H10" s="212">
        <v>0</v>
      </c>
      <c r="I10" s="213"/>
      <c r="J10" s="212">
        <v>0</v>
      </c>
      <c r="K10" s="213"/>
      <c r="L10" s="216">
        <v>0</v>
      </c>
      <c r="M10" s="213"/>
      <c r="N10" s="217">
        <v>0</v>
      </c>
      <c r="O10" s="213"/>
      <c r="P10" s="217">
        <v>0</v>
      </c>
      <c r="Q10" s="213"/>
      <c r="R10" s="218">
        <f>+SUM(B10:P10)</f>
        <v>0</v>
      </c>
    </row>
    <row r="11" spans="1:21">
      <c r="A11" s="221"/>
      <c r="B11" s="212"/>
      <c r="C11" s="213"/>
      <c r="D11" s="212"/>
      <c r="E11" s="213"/>
      <c r="F11" s="212"/>
      <c r="G11" s="213"/>
      <c r="H11" s="212"/>
      <c r="I11" s="213"/>
      <c r="J11" s="212"/>
      <c r="K11" s="213"/>
      <c r="L11" s="216"/>
      <c r="M11" s="213"/>
      <c r="N11" s="217"/>
      <c r="O11" s="213"/>
      <c r="P11" s="217"/>
      <c r="Q11" s="213"/>
      <c r="R11" s="218"/>
    </row>
    <row r="12" spans="1:21" ht="20.399999999999999">
      <c r="A12" s="220" t="s">
        <v>323</v>
      </c>
      <c r="B12" s="212">
        <v>5470478</v>
      </c>
      <c r="C12" s="213"/>
      <c r="D12" s="212">
        <v>0</v>
      </c>
      <c r="E12" s="213"/>
      <c r="F12" s="212">
        <v>0</v>
      </c>
      <c r="G12" s="213"/>
      <c r="H12" s="212">
        <v>0</v>
      </c>
      <c r="I12" s="213"/>
      <c r="J12" s="212">
        <v>0</v>
      </c>
      <c r="K12" s="213"/>
      <c r="L12" s="216">
        <v>0</v>
      </c>
      <c r="M12" s="213"/>
      <c r="N12" s="217">
        <v>-5470478</v>
      </c>
      <c r="O12" s="213"/>
      <c r="P12" s="217">
        <v>0</v>
      </c>
      <c r="Q12" s="213"/>
      <c r="R12" s="218">
        <f>+SUM(B12:P12)</f>
        <v>0</v>
      </c>
    </row>
    <row r="13" spans="1:21">
      <c r="A13" s="219"/>
      <c r="B13" s="212"/>
      <c r="C13" s="213"/>
      <c r="D13" s="212"/>
      <c r="E13" s="213"/>
      <c r="F13" s="212"/>
      <c r="G13" s="213"/>
      <c r="H13" s="212"/>
      <c r="I13" s="213"/>
      <c r="J13" s="212"/>
      <c r="K13" s="213"/>
      <c r="L13" s="216"/>
      <c r="M13" s="213"/>
      <c r="N13" s="217"/>
      <c r="O13" s="213"/>
      <c r="P13" s="217"/>
      <c r="Q13" s="213"/>
      <c r="R13" s="218"/>
    </row>
    <row r="14" spans="1:21" ht="20.399999999999999">
      <c r="A14" s="220" t="s">
        <v>324</v>
      </c>
      <c r="B14" s="212">
        <v>270000</v>
      </c>
      <c r="C14" s="213"/>
      <c r="D14" s="212">
        <v>0</v>
      </c>
      <c r="E14" s="213"/>
      <c r="F14" s="212">
        <v>0</v>
      </c>
      <c r="G14" s="213"/>
      <c r="H14" s="212">
        <v>0</v>
      </c>
      <c r="I14" s="213"/>
      <c r="J14" s="212">
        <v>0</v>
      </c>
      <c r="K14" s="213"/>
      <c r="L14" s="216">
        <v>0</v>
      </c>
      <c r="M14" s="213"/>
      <c r="N14" s="217">
        <v>-270000</v>
      </c>
      <c r="O14" s="213"/>
      <c r="P14" s="217">
        <v>0</v>
      </c>
      <c r="Q14" s="213"/>
      <c r="R14" s="218">
        <f>+SUM(B14:P14)</f>
        <v>0</v>
      </c>
    </row>
    <row r="15" spans="1:21">
      <c r="B15" s="222"/>
      <c r="C15" s="213"/>
      <c r="D15" s="222"/>
      <c r="E15" s="213"/>
      <c r="F15" s="222"/>
      <c r="G15" s="213"/>
      <c r="H15" s="222"/>
      <c r="I15" s="213"/>
      <c r="J15" s="222"/>
      <c r="K15" s="213"/>
      <c r="L15" s="222"/>
      <c r="M15" s="213"/>
      <c r="N15" s="222"/>
      <c r="O15" s="213"/>
      <c r="P15" s="222"/>
      <c r="Q15" s="213"/>
      <c r="R15" s="222"/>
    </row>
    <row r="16" spans="1:21" ht="20.399999999999999">
      <c r="A16" s="220" t="s">
        <v>325</v>
      </c>
      <c r="B16" s="212">
        <v>0</v>
      </c>
      <c r="C16" s="213"/>
      <c r="D16" s="212">
        <v>0</v>
      </c>
      <c r="E16" s="213"/>
      <c r="F16" s="212">
        <v>1710803</v>
      </c>
      <c r="G16" s="213"/>
      <c r="H16" s="212">
        <v>0</v>
      </c>
      <c r="I16" s="213"/>
      <c r="J16" s="212">
        <v>0</v>
      </c>
      <c r="K16" s="213"/>
      <c r="L16" s="216">
        <v>0</v>
      </c>
      <c r="M16" s="213"/>
      <c r="N16" s="217">
        <v>-1710803</v>
      </c>
      <c r="O16" s="213"/>
      <c r="P16" s="217">
        <v>0</v>
      </c>
      <c r="Q16" s="213"/>
      <c r="R16" s="218">
        <f>+SUM(B16:P16)</f>
        <v>0</v>
      </c>
    </row>
    <row r="17" spans="1:20">
      <c r="A17" s="219"/>
      <c r="B17" s="212"/>
      <c r="C17" s="213"/>
      <c r="D17" s="212"/>
      <c r="E17" s="213"/>
      <c r="F17" s="212"/>
      <c r="G17" s="213"/>
      <c r="H17" s="212"/>
      <c r="I17" s="213"/>
      <c r="J17" s="212"/>
      <c r="K17" s="213"/>
      <c r="L17" s="216"/>
      <c r="M17" s="213"/>
      <c r="N17" s="217"/>
      <c r="O17" s="213"/>
      <c r="P17" s="217"/>
      <c r="Q17" s="213"/>
      <c r="R17" s="218"/>
    </row>
    <row r="18" spans="1:20">
      <c r="A18" s="203" t="s">
        <v>326</v>
      </c>
      <c r="B18" s="212">
        <v>0</v>
      </c>
      <c r="C18" s="213"/>
      <c r="D18" s="212">
        <v>0</v>
      </c>
      <c r="E18" s="213"/>
      <c r="F18" s="212">
        <v>0</v>
      </c>
      <c r="G18" s="213"/>
      <c r="H18" s="212">
        <v>0</v>
      </c>
      <c r="I18" s="213"/>
      <c r="J18" s="212">
        <v>0</v>
      </c>
      <c r="K18" s="213"/>
      <c r="L18" s="216">
        <v>0</v>
      </c>
      <c r="M18" s="213"/>
      <c r="N18" s="223">
        <v>12531973</v>
      </c>
      <c r="O18" s="213"/>
      <c r="P18" s="223">
        <v>-377997</v>
      </c>
      <c r="Q18" s="213"/>
      <c r="R18" s="218">
        <f>+SUM(B18:P18)</f>
        <v>12153976</v>
      </c>
    </row>
    <row r="19" spans="1:20">
      <c r="A19" s="203"/>
      <c r="B19" s="212"/>
      <c r="C19" s="213"/>
      <c r="D19" s="212"/>
      <c r="E19" s="213"/>
      <c r="F19" s="212"/>
      <c r="G19" s="213"/>
      <c r="H19" s="212"/>
      <c r="I19" s="213"/>
      <c r="J19" s="212"/>
      <c r="K19" s="213"/>
      <c r="L19" s="216"/>
      <c r="M19" s="213"/>
      <c r="N19" s="223"/>
      <c r="O19" s="213"/>
      <c r="P19" s="223"/>
      <c r="Q19" s="213"/>
      <c r="R19" s="218"/>
      <c r="T19" s="213"/>
    </row>
    <row r="20" spans="1:20">
      <c r="A20" s="203" t="s">
        <v>327</v>
      </c>
      <c r="B20" s="212">
        <v>0</v>
      </c>
      <c r="C20" s="213"/>
      <c r="D20" s="212">
        <v>0</v>
      </c>
      <c r="E20" s="213"/>
      <c r="F20" s="212">
        <v>0</v>
      </c>
      <c r="G20" s="213"/>
      <c r="H20" s="212">
        <v>0</v>
      </c>
      <c r="I20" s="213"/>
      <c r="J20" s="212">
        <v>0</v>
      </c>
      <c r="K20" s="213"/>
      <c r="L20" s="216">
        <v>0</v>
      </c>
      <c r="M20" s="213"/>
      <c r="N20" s="223">
        <v>0</v>
      </c>
      <c r="O20" s="213"/>
      <c r="P20" s="223">
        <f>+'[1]Flujo consolidado'!P55</f>
        <v>4060</v>
      </c>
      <c r="Q20" s="213"/>
      <c r="R20" s="218">
        <f>+SUM(B20:P20)</f>
        <v>4060</v>
      </c>
    </row>
    <row r="21" spans="1:20">
      <c r="A21" s="203"/>
      <c r="B21" s="212"/>
      <c r="C21" s="213"/>
      <c r="D21" s="212"/>
      <c r="E21" s="213"/>
      <c r="F21" s="212"/>
      <c r="G21" s="213"/>
      <c r="H21" s="212"/>
      <c r="I21" s="213"/>
      <c r="J21" s="212"/>
      <c r="K21" s="213"/>
      <c r="L21" s="216"/>
      <c r="M21" s="213"/>
      <c r="N21" s="223"/>
      <c r="O21" s="213"/>
      <c r="P21" s="223"/>
      <c r="Q21" s="213"/>
      <c r="R21" s="218"/>
    </row>
    <row r="22" spans="1:20">
      <c r="A22" s="224" t="s">
        <v>328</v>
      </c>
      <c r="B22" s="212"/>
      <c r="C22" s="213"/>
      <c r="D22" s="212"/>
      <c r="E22" s="213"/>
      <c r="F22" s="212"/>
      <c r="G22" s="213"/>
      <c r="H22" s="212"/>
      <c r="I22" s="213"/>
      <c r="J22" s="212"/>
      <c r="K22" s="213"/>
      <c r="L22" s="216"/>
      <c r="M22" s="213"/>
      <c r="N22" s="223">
        <v>14390</v>
      </c>
      <c r="O22" s="213"/>
      <c r="P22" s="223"/>
      <c r="Q22" s="213"/>
      <c r="R22" s="218">
        <f>+SUM(B22:P22)</f>
        <v>14390</v>
      </c>
    </row>
    <row r="23" spans="1:20">
      <c r="A23" s="224"/>
      <c r="B23" s="212"/>
      <c r="C23" s="213"/>
      <c r="D23" s="212"/>
      <c r="E23" s="213"/>
      <c r="F23" s="212"/>
      <c r="G23" s="213"/>
      <c r="H23" s="212"/>
      <c r="I23" s="213"/>
      <c r="J23" s="212"/>
      <c r="K23" s="213"/>
      <c r="L23" s="216"/>
      <c r="M23" s="213"/>
      <c r="N23" s="223"/>
      <c r="O23" s="213"/>
      <c r="P23" s="223"/>
      <c r="Q23" s="213"/>
      <c r="R23" s="218"/>
    </row>
    <row r="24" spans="1:20">
      <c r="A24" s="224" t="s">
        <v>329</v>
      </c>
      <c r="B24" s="212"/>
      <c r="C24" s="213"/>
      <c r="D24" s="212"/>
      <c r="E24" s="213"/>
      <c r="F24" s="212"/>
      <c r="G24" s="213"/>
      <c r="H24" s="212"/>
      <c r="I24" s="213"/>
      <c r="J24" s="212"/>
      <c r="K24" s="213"/>
      <c r="L24" s="216"/>
      <c r="M24" s="213"/>
      <c r="N24" s="223">
        <v>-5585599</v>
      </c>
      <c r="O24" s="213"/>
      <c r="P24" s="223"/>
      <c r="Q24" s="213"/>
      <c r="R24" s="218">
        <f>+SUM(B24:P24)</f>
        <v>-5585599</v>
      </c>
    </row>
    <row r="25" spans="1:20">
      <c r="A25" s="203"/>
      <c r="B25" s="225"/>
      <c r="C25" s="213"/>
      <c r="D25" s="225"/>
      <c r="E25" s="213"/>
      <c r="F25" s="226"/>
      <c r="G25" s="213"/>
      <c r="H25" s="226"/>
      <c r="I25" s="213"/>
      <c r="J25" s="226"/>
      <c r="K25" s="213"/>
      <c r="L25" s="226"/>
      <c r="M25" s="213"/>
      <c r="N25" s="225"/>
      <c r="O25" s="213"/>
      <c r="P25" s="225"/>
      <c r="Q25" s="213"/>
      <c r="R25" s="227"/>
    </row>
    <row r="26" spans="1:20" ht="10.8" thickBot="1">
      <c r="A26" s="219" t="s">
        <v>330</v>
      </c>
      <c r="B26" s="228">
        <f>+SUM(B6:B21)</f>
        <v>23879352</v>
      </c>
      <c r="C26" s="213"/>
      <c r="D26" s="228">
        <f>+SUM(D6:D21)</f>
        <v>705936</v>
      </c>
      <c r="E26" s="213"/>
      <c r="F26" s="228">
        <f>+SUM(F6:F21)</f>
        <v>2640253</v>
      </c>
      <c r="G26" s="213"/>
      <c r="H26" s="228">
        <f>+SUM(H6:H21)</f>
        <v>34797</v>
      </c>
      <c r="I26" s="213"/>
      <c r="J26" s="228">
        <f>+SUM(J6:J21)</f>
        <v>227072</v>
      </c>
      <c r="K26" s="213"/>
      <c r="L26" s="228">
        <f>+SUM(L6:L21)</f>
        <v>-3202431</v>
      </c>
      <c r="M26" s="213"/>
      <c r="N26" s="228">
        <f>+SUM(N6:N25)</f>
        <v>34940142</v>
      </c>
      <c r="O26" s="213"/>
      <c r="P26" s="228">
        <f>+SUM(P6:P24)</f>
        <v>9357519</v>
      </c>
      <c r="Q26" s="213"/>
      <c r="R26" s="228">
        <f>+SUM(R6:R24)</f>
        <v>68582640</v>
      </c>
      <c r="S26" s="213"/>
    </row>
    <row r="27" spans="1:20" ht="10.8" thickTop="1"/>
    <row r="28" spans="1:20">
      <c r="A28" s="219" t="s">
        <v>331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</row>
    <row r="29" spans="1:20">
      <c r="A29" s="219" t="s">
        <v>332</v>
      </c>
      <c r="B29" s="212"/>
      <c r="C29" s="212"/>
      <c r="D29" s="212"/>
      <c r="E29" s="212"/>
      <c r="F29" s="212">
        <v>1341885</v>
      </c>
      <c r="G29" s="212"/>
      <c r="H29" s="212"/>
      <c r="I29" s="212"/>
      <c r="J29" s="212"/>
      <c r="K29" s="212"/>
      <c r="L29" s="212"/>
      <c r="M29" s="212"/>
      <c r="N29" s="212">
        <v>-1341885</v>
      </c>
      <c r="O29" s="212"/>
      <c r="P29" s="212"/>
      <c r="Q29" s="212"/>
      <c r="R29" s="218">
        <f>+SUM(B29:P29)</f>
        <v>0</v>
      </c>
    </row>
    <row r="30" spans="1:20">
      <c r="A30" s="219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</row>
    <row r="31" spans="1:20">
      <c r="A31" s="219" t="s">
        <v>333</v>
      </c>
      <c r="B31" s="212"/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>
        <f>8429477-P31</f>
        <v>8111225</v>
      </c>
      <c r="O31" s="212"/>
      <c r="P31" s="212">
        <v>318252</v>
      </c>
      <c r="Q31" s="212"/>
      <c r="R31" s="218">
        <f>+SUM(B31:P31)</f>
        <v>8429477</v>
      </c>
    </row>
    <row r="32" spans="1:20">
      <c r="A32" s="219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</row>
    <row r="33" spans="1:18" s="230" customFormat="1">
      <c r="A33" s="287" t="s">
        <v>334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>
        <v>-528533.43435999996</v>
      </c>
      <c r="O33" s="288"/>
      <c r="P33" s="288">
        <f>1803740-P31</f>
        <v>1485488</v>
      </c>
      <c r="Q33" s="288"/>
      <c r="R33" s="289">
        <f>+SUM(B33:P33)</f>
        <v>956954.56564000004</v>
      </c>
    </row>
    <row r="34" spans="1:18" s="230" customFormat="1">
      <c r="A34" s="290"/>
      <c r="B34" s="28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</row>
    <row r="35" spans="1:18" s="230" customFormat="1">
      <c r="A35" s="290" t="s">
        <v>335</v>
      </c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>
        <f>-3647+17313</f>
        <v>13666</v>
      </c>
      <c r="O35" s="288"/>
      <c r="P35" s="288"/>
      <c r="Q35" s="288"/>
      <c r="R35" s="289">
        <f>+SUM(B35:P35)</f>
        <v>13666</v>
      </c>
    </row>
    <row r="36" spans="1:18">
      <c r="A36" s="219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</row>
    <row r="37" spans="1:18">
      <c r="A37" s="219" t="s">
        <v>336</v>
      </c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>
        <v>-495802</v>
      </c>
      <c r="O37" s="212"/>
      <c r="P37" s="212"/>
      <c r="Q37" s="212"/>
      <c r="R37" s="218">
        <f>+SUM(B37:P37)</f>
        <v>-495802</v>
      </c>
    </row>
    <row r="38" spans="1:18">
      <c r="A38" s="219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</row>
    <row r="39" spans="1:18" ht="10.8" thickBot="1">
      <c r="A39" s="219" t="s">
        <v>337</v>
      </c>
      <c r="B39" s="228">
        <f>+SUM(B26:B38)</f>
        <v>23879352</v>
      </c>
      <c r="C39" s="213"/>
      <c r="D39" s="228">
        <f>+SUM(D26:D38)</f>
        <v>705936</v>
      </c>
      <c r="E39" s="213"/>
      <c r="F39" s="228">
        <f>+SUM(F26:F38)</f>
        <v>3982138</v>
      </c>
      <c r="G39" s="213"/>
      <c r="H39" s="228">
        <f>+SUM(H26:H38)</f>
        <v>34797</v>
      </c>
      <c r="I39" s="213"/>
      <c r="J39" s="228">
        <f>+SUM(J26:J38)</f>
        <v>227072</v>
      </c>
      <c r="K39" s="213"/>
      <c r="L39" s="228">
        <f>+SUM(L26:L38)</f>
        <v>-3202431</v>
      </c>
      <c r="M39" s="213"/>
      <c r="N39" s="228">
        <f>+SUM(N26:N38)</f>
        <v>40698812.565640002</v>
      </c>
      <c r="O39" s="213"/>
      <c r="P39" s="228">
        <f>+SUM(P26:P38)</f>
        <v>11161259</v>
      </c>
      <c r="Q39" s="213"/>
      <c r="R39" s="228">
        <f>+SUM(R26:R38)</f>
        <v>77486935.565640002</v>
      </c>
    </row>
    <row r="40" spans="1:18" ht="10.8" thickTop="1">
      <c r="A40" s="219"/>
    </row>
    <row r="41" spans="1:18">
      <c r="A41" s="219"/>
      <c r="N41" s="229"/>
      <c r="R41" s="213"/>
    </row>
    <row r="42" spans="1:18">
      <c r="N42" s="213"/>
    </row>
  </sheetData>
  <mergeCells count="2">
    <mergeCell ref="F2:H2"/>
    <mergeCell ref="J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5"/>
  <sheetViews>
    <sheetView zoomScale="80" zoomScaleNormal="80" workbookViewId="0">
      <selection activeCell="D24" sqref="D24:D25"/>
    </sheetView>
  </sheetViews>
  <sheetFormatPr baseColWidth="10" defaultColWidth="11.44140625" defaultRowHeight="13.8"/>
  <cols>
    <col min="1" max="1" width="11.44140625" style="144"/>
    <col min="2" max="2" width="37.44140625" style="160" bestFit="1" customWidth="1"/>
    <col min="3" max="3" width="13.6640625" style="113" bestFit="1" customWidth="1"/>
    <col min="4" max="4" width="21.33203125" style="113" bestFit="1" customWidth="1"/>
    <col min="5" max="5" width="13.6640625" style="113" bestFit="1" customWidth="1"/>
    <col min="6" max="6" width="17.44140625" style="113" customWidth="1"/>
    <col min="7" max="7" width="19.109375" style="113" customWidth="1"/>
    <col min="8" max="8" width="13.6640625" style="113" customWidth="1"/>
    <col min="9" max="9" width="14.6640625" style="113" customWidth="1"/>
    <col min="10" max="10" width="17.5546875" style="113" customWidth="1"/>
    <col min="11" max="11" width="15.109375" style="113" bestFit="1" customWidth="1"/>
    <col min="12" max="12" width="24.109375" style="160" bestFit="1" customWidth="1"/>
    <col min="13" max="13" width="15.109375" style="160" bestFit="1" customWidth="1"/>
    <col min="14" max="14" width="15" style="160" customWidth="1"/>
    <col min="15" max="15" width="15.109375" style="160" bestFit="1" customWidth="1"/>
    <col min="16" max="16" width="11.33203125" style="160" customWidth="1"/>
    <col min="17" max="17" width="11.44140625" style="160"/>
    <col min="18" max="18" width="19.44140625" style="160" bestFit="1" customWidth="1"/>
    <col min="19" max="19" width="16.33203125" style="160" bestFit="1" customWidth="1"/>
    <col min="20" max="20" width="11.44140625" style="160"/>
    <col min="21" max="16384" width="11.44140625" style="144"/>
  </cols>
  <sheetData>
    <row r="1" spans="2:19">
      <c r="F1" s="180" t="s">
        <v>240</v>
      </c>
      <c r="G1" s="180" t="s">
        <v>241</v>
      </c>
    </row>
    <row r="2" spans="2:19">
      <c r="B2" s="181" t="s">
        <v>242</v>
      </c>
      <c r="C2" s="182" t="s">
        <v>404</v>
      </c>
      <c r="D2" s="182" t="s">
        <v>243</v>
      </c>
      <c r="E2" s="182" t="s">
        <v>245</v>
      </c>
      <c r="F2" s="183">
        <f>+L4</f>
        <v>0.75019999999999998</v>
      </c>
      <c r="G2" s="183">
        <f>+L5</f>
        <v>0.24979999999999999</v>
      </c>
      <c r="H2" s="182"/>
    </row>
    <row r="3" spans="2:19">
      <c r="B3" s="160" t="s">
        <v>8</v>
      </c>
      <c r="C3" s="113">
        <v>5000</v>
      </c>
      <c r="D3" s="113">
        <v>5000</v>
      </c>
      <c r="E3" s="113">
        <f>+C3-D3</f>
        <v>0</v>
      </c>
      <c r="F3" s="113">
        <f>+E3*$F$2</f>
        <v>0</v>
      </c>
      <c r="G3" s="113">
        <f>+E3*$G$2</f>
        <v>0</v>
      </c>
      <c r="K3" s="604">
        <v>2017</v>
      </c>
      <c r="L3" s="604"/>
      <c r="M3" s="604">
        <v>2016</v>
      </c>
      <c r="N3" s="604"/>
      <c r="O3" s="604" t="s">
        <v>245</v>
      </c>
      <c r="P3" s="604"/>
    </row>
    <row r="4" spans="2:19">
      <c r="B4" s="160" t="s">
        <v>88</v>
      </c>
      <c r="C4" s="113">
        <f>'ESF - ERI'!T49</f>
        <v>42340052</v>
      </c>
      <c r="D4" s="113">
        <v>42837231</v>
      </c>
      <c r="E4" s="113">
        <f>+C4-D4</f>
        <v>-497179</v>
      </c>
      <c r="F4" s="113">
        <f t="shared" ref="F4:F11" si="0">+E4*$F$2</f>
        <v>-372983.68579999998</v>
      </c>
      <c r="G4" s="113">
        <f t="shared" ref="G4:G11" si="1">+E4*$G$2</f>
        <v>-124195.31419999999</v>
      </c>
      <c r="J4" s="113" t="s">
        <v>50</v>
      </c>
      <c r="K4" s="104">
        <v>3751</v>
      </c>
      <c r="L4" s="118">
        <f>+K4/$K$6</f>
        <v>0.75019999999999998</v>
      </c>
      <c r="M4" s="104">
        <v>3751</v>
      </c>
      <c r="N4" s="118">
        <f>+M4/$M$6</f>
        <v>0.75019999999999998</v>
      </c>
      <c r="O4" s="104">
        <f>+K4-M4</f>
        <v>0</v>
      </c>
      <c r="P4" s="118">
        <f>+L4-N4</f>
        <v>0</v>
      </c>
    </row>
    <row r="5" spans="2:19">
      <c r="B5" s="160" t="s">
        <v>17</v>
      </c>
      <c r="E5" s="113">
        <f t="shared" ref="E5:E11" si="2">+C5-D5</f>
        <v>0</v>
      </c>
      <c r="F5" s="113">
        <f t="shared" si="0"/>
        <v>0</v>
      </c>
      <c r="G5" s="113">
        <f t="shared" si="1"/>
        <v>0</v>
      </c>
      <c r="J5" s="113" t="s">
        <v>52</v>
      </c>
      <c r="K5" s="121">
        <v>1249</v>
      </c>
      <c r="L5" s="118">
        <f>+K5/$K$6</f>
        <v>0.24979999999999999</v>
      </c>
      <c r="M5" s="121">
        <v>1249</v>
      </c>
      <c r="N5" s="118">
        <f>+M5/$M$6</f>
        <v>0.24979999999999999</v>
      </c>
      <c r="O5" s="104">
        <f>+K5-M5</f>
        <v>0</v>
      </c>
      <c r="P5" s="118">
        <f>+L5-N5</f>
        <v>0</v>
      </c>
    </row>
    <row r="6" spans="2:19">
      <c r="B6" s="160" t="s">
        <v>19</v>
      </c>
      <c r="E6" s="113">
        <f t="shared" si="2"/>
        <v>0</v>
      </c>
      <c r="F6" s="113">
        <f t="shared" si="0"/>
        <v>0</v>
      </c>
      <c r="G6" s="113">
        <f t="shared" si="1"/>
        <v>0</v>
      </c>
      <c r="K6" s="104">
        <f>SUM(K4:K5)</f>
        <v>5000</v>
      </c>
      <c r="L6" s="105"/>
      <c r="M6" s="104">
        <f>SUM(M4:M5)</f>
        <v>5000</v>
      </c>
      <c r="N6" s="105"/>
      <c r="O6" s="104">
        <f>SUM(O4:O5)</f>
        <v>0</v>
      </c>
      <c r="P6" s="105"/>
      <c r="R6" s="190"/>
    </row>
    <row r="7" spans="2:19">
      <c r="B7" s="160" t="s">
        <v>18</v>
      </c>
      <c r="E7" s="113">
        <f t="shared" si="2"/>
        <v>0</v>
      </c>
      <c r="F7" s="113">
        <f t="shared" si="0"/>
        <v>0</v>
      </c>
      <c r="G7" s="113">
        <f t="shared" si="1"/>
        <v>0</v>
      </c>
      <c r="R7" s="190"/>
    </row>
    <row r="8" spans="2:19">
      <c r="B8" s="160" t="s">
        <v>20</v>
      </c>
      <c r="E8" s="113">
        <f t="shared" si="2"/>
        <v>0</v>
      </c>
      <c r="F8" s="113">
        <f t="shared" si="0"/>
        <v>0</v>
      </c>
      <c r="G8" s="113">
        <f t="shared" si="1"/>
        <v>0</v>
      </c>
      <c r="J8" s="180" t="s">
        <v>246</v>
      </c>
      <c r="K8" s="604">
        <v>2017</v>
      </c>
      <c r="L8" s="604"/>
      <c r="M8" s="604">
        <v>2016</v>
      </c>
      <c r="N8" s="604"/>
      <c r="O8" s="604" t="s">
        <v>245</v>
      </c>
      <c r="P8" s="604"/>
    </row>
    <row r="9" spans="2:19">
      <c r="B9" s="160" t="s">
        <v>21</v>
      </c>
      <c r="C9" s="113">
        <v>0</v>
      </c>
      <c r="D9" s="113">
        <v>0</v>
      </c>
      <c r="E9" s="113">
        <f>+C9-D9</f>
        <v>0</v>
      </c>
      <c r="F9" s="113">
        <f t="shared" ref="F9" si="3">+E9*$F$2</f>
        <v>0</v>
      </c>
      <c r="G9" s="113">
        <f t="shared" ref="G9" si="4">+E9*$G$2</f>
        <v>0</v>
      </c>
      <c r="J9" s="180"/>
      <c r="K9" s="191"/>
      <c r="L9" s="191"/>
      <c r="M9" s="191"/>
      <c r="N9" s="191"/>
      <c r="O9" s="191"/>
      <c r="P9" s="191"/>
    </row>
    <row r="10" spans="2:19">
      <c r="B10" s="160" t="s">
        <v>21</v>
      </c>
      <c r="C10" s="113">
        <f>'ESF - ERI'!T55</f>
        <v>2254833</v>
      </c>
      <c r="D10" s="113">
        <v>-392726</v>
      </c>
      <c r="E10" s="157">
        <f t="shared" si="2"/>
        <v>2647559</v>
      </c>
      <c r="F10" s="113">
        <f t="shared" si="0"/>
        <v>1986198.7618</v>
      </c>
      <c r="G10" s="113">
        <f t="shared" si="1"/>
        <v>661360.23820000002</v>
      </c>
      <c r="J10" s="113" t="s">
        <v>50</v>
      </c>
      <c r="K10" s="113">
        <f>32414459-497179</f>
        <v>31917280</v>
      </c>
      <c r="L10" s="192">
        <f>+K10/K12</f>
        <v>0.75383185641812622</v>
      </c>
      <c r="M10" s="113">
        <v>32414459</v>
      </c>
      <c r="N10" s="192">
        <f>+M10/M12</f>
        <v>0.75668894191597025</v>
      </c>
      <c r="O10" s="104">
        <f>+K10-M10</f>
        <v>-497179</v>
      </c>
      <c r="P10" s="118">
        <f>+L10-N10</f>
        <v>-2.8570854978440252E-3</v>
      </c>
      <c r="R10" s="133">
        <f>D4*N5</f>
        <v>10700740.3038</v>
      </c>
      <c r="S10" s="190"/>
    </row>
    <row r="11" spans="2:19">
      <c r="B11" s="160" t="s">
        <v>43</v>
      </c>
      <c r="C11" s="184">
        <f>'ESF - ERI'!T56</f>
        <v>-1077724</v>
      </c>
      <c r="D11" s="184">
        <v>1823983</v>
      </c>
      <c r="E11" s="184">
        <f t="shared" si="2"/>
        <v>-2901707</v>
      </c>
      <c r="F11" s="184">
        <f t="shared" si="0"/>
        <v>-2176860.5913999998</v>
      </c>
      <c r="G11" s="184">
        <f t="shared" si="1"/>
        <v>-724846.40859999997</v>
      </c>
      <c r="J11" s="113" t="s">
        <v>52</v>
      </c>
      <c r="K11" s="184">
        <v>10422772</v>
      </c>
      <c r="L11" s="192">
        <f>+K11/K12</f>
        <v>0.24616814358187372</v>
      </c>
      <c r="M11" s="184">
        <v>10422772</v>
      </c>
      <c r="N11" s="192">
        <f>+M11/M12</f>
        <v>0.24331105808402975</v>
      </c>
      <c r="O11" s="169">
        <f>+K11-M11</f>
        <v>0</v>
      </c>
      <c r="P11" s="118">
        <f>+L11-N11</f>
        <v>2.8570854978439697E-3</v>
      </c>
      <c r="R11" s="190"/>
    </row>
    <row r="12" spans="2:19">
      <c r="K12" s="180">
        <f>SUM(K10:K11)</f>
        <v>42340052</v>
      </c>
      <c r="M12" s="180">
        <f>SUM(M10:M11)</f>
        <v>42837231</v>
      </c>
      <c r="O12" s="104">
        <f>SUM(O10:O11)</f>
        <v>-497179</v>
      </c>
      <c r="P12" s="105"/>
    </row>
    <row r="13" spans="2:19">
      <c r="B13" s="181" t="s">
        <v>247</v>
      </c>
      <c r="C13" s="180">
        <f>SUM(C3:C12)</f>
        <v>43522161</v>
      </c>
      <c r="D13" s="180">
        <f>SUM(D3:D12)</f>
        <v>44273488</v>
      </c>
      <c r="E13" s="180">
        <f>SUM(E3:E11)</f>
        <v>-751327</v>
      </c>
      <c r="F13" s="180">
        <f>SUM(F3:F11)</f>
        <v>-563645.51539999992</v>
      </c>
      <c r="G13" s="180">
        <f>SUM(G3:G11)</f>
        <v>-187681.48459999997</v>
      </c>
      <c r="H13" s="180"/>
    </row>
    <row r="14" spans="2:19">
      <c r="B14" s="186" t="s">
        <v>248</v>
      </c>
      <c r="C14" s="180">
        <f>+(C13)*G2</f>
        <v>10871835.8178</v>
      </c>
      <c r="D14" s="180">
        <f>+D13*G2</f>
        <v>11059517.3024</v>
      </c>
      <c r="E14" s="180">
        <f>+C14-D14</f>
        <v>-187681.48460000008</v>
      </c>
      <c r="F14" s="180"/>
      <c r="G14" s="180"/>
      <c r="H14" s="180"/>
      <c r="L14" s="193"/>
      <c r="M14" s="113"/>
      <c r="N14" s="194"/>
      <c r="R14" s="190"/>
    </row>
    <row r="15" spans="2:19">
      <c r="B15" s="186"/>
      <c r="C15" s="180"/>
      <c r="D15" s="180"/>
      <c r="E15" s="180"/>
      <c r="F15" s="180"/>
      <c r="G15" s="180"/>
      <c r="H15" s="180"/>
      <c r="M15" s="113"/>
      <c r="N15" s="194"/>
    </row>
    <row r="16" spans="2:19">
      <c r="F16" s="180" t="s">
        <v>240</v>
      </c>
      <c r="G16" s="180" t="s">
        <v>241</v>
      </c>
      <c r="M16" s="113"/>
    </row>
    <row r="17" spans="2:16">
      <c r="B17" s="181" t="s">
        <v>249</v>
      </c>
      <c r="C17" s="182" t="s">
        <v>404</v>
      </c>
      <c r="D17" s="182" t="s">
        <v>243</v>
      </c>
      <c r="E17" s="182" t="s">
        <v>245</v>
      </c>
      <c r="F17" s="183">
        <f>+L19</f>
        <v>0.99995475113122168</v>
      </c>
      <c r="G17" s="183">
        <f>+L20</f>
        <v>4.5248868778280542E-5</v>
      </c>
      <c r="H17" s="182"/>
    </row>
    <row r="18" spans="2:16">
      <c r="B18" s="160" t="s">
        <v>8</v>
      </c>
      <c r="C18" s="113">
        <v>1105000</v>
      </c>
      <c r="D18" s="113">
        <v>1105000</v>
      </c>
      <c r="E18" s="113">
        <f>+C18-D18</f>
        <v>0</v>
      </c>
      <c r="F18" s="113">
        <v>0</v>
      </c>
      <c r="G18" s="113">
        <v>0</v>
      </c>
      <c r="H18" s="182"/>
      <c r="K18" s="604">
        <v>2017</v>
      </c>
      <c r="L18" s="604"/>
      <c r="M18" s="604">
        <v>2016</v>
      </c>
      <c r="N18" s="604"/>
      <c r="O18" s="604" t="s">
        <v>245</v>
      </c>
      <c r="P18" s="604"/>
    </row>
    <row r="19" spans="2:16">
      <c r="B19" s="160" t="s">
        <v>88</v>
      </c>
      <c r="C19" s="113">
        <v>877313</v>
      </c>
      <c r="D19" s="113">
        <v>646013</v>
      </c>
      <c r="E19" s="113">
        <f t="shared" ref="E19:E24" si="5">+C19-D19</f>
        <v>231300</v>
      </c>
      <c r="F19" s="113">
        <v>0</v>
      </c>
      <c r="G19" s="113">
        <v>0</v>
      </c>
      <c r="H19" s="182"/>
      <c r="J19" s="113" t="s">
        <v>50</v>
      </c>
      <c r="K19" s="104">
        <v>1104950</v>
      </c>
      <c r="L19" s="118">
        <f>+K19/$K$21</f>
        <v>0.99995475113122168</v>
      </c>
      <c r="M19" s="104">
        <v>1104950</v>
      </c>
      <c r="N19" s="118">
        <f>+M19/$M$21</f>
        <v>0.99995475113122168</v>
      </c>
      <c r="O19" s="104">
        <f>+K19-M19</f>
        <v>0</v>
      </c>
      <c r="P19" s="118">
        <f>+L19-N19</f>
        <v>0</v>
      </c>
    </row>
    <row r="20" spans="2:16">
      <c r="B20" s="160" t="s">
        <v>17</v>
      </c>
      <c r="E20" s="113">
        <f t="shared" si="5"/>
        <v>0</v>
      </c>
      <c r="F20" s="113">
        <f t="shared" ref="F20:F25" si="6">+E20*$F$17</f>
        <v>0</v>
      </c>
      <c r="G20" s="113">
        <f t="shared" ref="G20:G25" si="7">+E20*$G$17</f>
        <v>0</v>
      </c>
      <c r="J20" s="113" t="s">
        <v>52</v>
      </c>
      <c r="K20" s="121">
        <v>50</v>
      </c>
      <c r="L20" s="118">
        <f>+K20/$K$21</f>
        <v>4.5248868778280542E-5</v>
      </c>
      <c r="M20" s="121">
        <v>50</v>
      </c>
      <c r="N20" s="118">
        <f>+M20/$M$21</f>
        <v>4.5248868778280542E-5</v>
      </c>
      <c r="O20" s="104">
        <f>+K20-M20</f>
        <v>0</v>
      </c>
      <c r="P20" s="118">
        <f>+L20-N20</f>
        <v>0</v>
      </c>
    </row>
    <row r="21" spans="2:16">
      <c r="B21" s="160" t="s">
        <v>19</v>
      </c>
      <c r="E21" s="113">
        <f t="shared" si="5"/>
        <v>0</v>
      </c>
      <c r="F21" s="113">
        <f t="shared" si="6"/>
        <v>0</v>
      </c>
      <c r="G21" s="113">
        <f t="shared" si="7"/>
        <v>0</v>
      </c>
      <c r="K21" s="104">
        <f>SUM(K19:K20)</f>
        <v>1105000</v>
      </c>
      <c r="L21" s="105"/>
      <c r="M21" s="104">
        <f>SUM(M19:M20)</f>
        <v>1105000</v>
      </c>
      <c r="N21" s="105"/>
      <c r="O21" s="104">
        <f>SUM(O19:O20)</f>
        <v>0</v>
      </c>
      <c r="P21" s="105"/>
    </row>
    <row r="22" spans="2:16">
      <c r="B22" s="160" t="s">
        <v>18</v>
      </c>
      <c r="E22" s="113">
        <f t="shared" si="5"/>
        <v>0</v>
      </c>
      <c r="F22" s="113">
        <f t="shared" si="6"/>
        <v>0</v>
      </c>
      <c r="G22" s="113">
        <f t="shared" si="7"/>
        <v>0</v>
      </c>
    </row>
    <row r="23" spans="2:16">
      <c r="B23" s="160" t="s">
        <v>20</v>
      </c>
      <c r="E23" s="113">
        <f t="shared" si="5"/>
        <v>0</v>
      </c>
      <c r="F23" s="113">
        <f t="shared" si="6"/>
        <v>0</v>
      </c>
      <c r="G23" s="113">
        <f t="shared" si="7"/>
        <v>0</v>
      </c>
    </row>
    <row r="24" spans="2:16" ht="17.399999999999999">
      <c r="B24" s="160" t="s">
        <v>21</v>
      </c>
      <c r="C24" s="113">
        <f>'ESF - ERI'!U55</f>
        <v>-16937</v>
      </c>
      <c r="D24" s="113">
        <v>-85803</v>
      </c>
      <c r="E24" s="113">
        <f t="shared" si="5"/>
        <v>68866</v>
      </c>
      <c r="F24" s="113">
        <f t="shared" si="6"/>
        <v>68862.883891402715</v>
      </c>
      <c r="G24" s="113">
        <f t="shared" si="7"/>
        <v>3.1161085972850677</v>
      </c>
      <c r="I24" s="195" t="s">
        <v>250</v>
      </c>
    </row>
    <row r="25" spans="2:16">
      <c r="B25" s="160" t="s">
        <v>43</v>
      </c>
      <c r="C25" s="184">
        <f>'ESF - ERI'!U56</f>
        <v>19337</v>
      </c>
      <c r="D25" s="184">
        <v>-113288</v>
      </c>
      <c r="E25" s="184">
        <f>+C25-D25</f>
        <v>132625</v>
      </c>
      <c r="F25" s="113">
        <f t="shared" si="6"/>
        <v>132618.99886877826</v>
      </c>
      <c r="G25" s="113">
        <f t="shared" si="7"/>
        <v>6.001131221719457</v>
      </c>
      <c r="H25" s="185"/>
    </row>
    <row r="27" spans="2:16">
      <c r="B27" s="181" t="s">
        <v>247</v>
      </c>
      <c r="C27" s="180">
        <f>SUM(C18:C26)</f>
        <v>1984713</v>
      </c>
      <c r="D27" s="180">
        <f>SUM(D18:D26)</f>
        <v>1551922</v>
      </c>
      <c r="E27" s="180">
        <f>SUM(E18:E25)</f>
        <v>432791</v>
      </c>
      <c r="F27" s="180"/>
      <c r="G27" s="180"/>
      <c r="H27" s="180"/>
    </row>
    <row r="28" spans="2:16">
      <c r="B28" s="160" t="s">
        <v>251</v>
      </c>
      <c r="C28" s="180">
        <v>0</v>
      </c>
      <c r="D28" s="180">
        <v>0</v>
      </c>
      <c r="E28" s="180"/>
      <c r="F28" s="180"/>
      <c r="G28" s="180"/>
      <c r="H28" s="180"/>
      <c r="J28" s="113" t="s">
        <v>272</v>
      </c>
    </row>
    <row r="29" spans="2:16">
      <c r="B29" s="160" t="s">
        <v>252</v>
      </c>
      <c r="C29" s="196">
        <f>-C19</f>
        <v>-877313</v>
      </c>
      <c r="D29" s="196">
        <f>-D19</f>
        <v>-646013</v>
      </c>
      <c r="F29" s="180"/>
      <c r="G29" s="180"/>
      <c r="H29" s="180"/>
    </row>
    <row r="30" spans="2:16">
      <c r="B30" s="181" t="s">
        <v>253</v>
      </c>
      <c r="C30" s="180">
        <f>SUM(C27:C29)</f>
        <v>1107400</v>
      </c>
      <c r="D30" s="180">
        <f>SUM(D27:D29)</f>
        <v>905909</v>
      </c>
      <c r="E30" s="113">
        <f t="shared" ref="E30" si="8">+C30-D30</f>
        <v>201491</v>
      </c>
      <c r="F30" s="180"/>
      <c r="G30" s="180"/>
      <c r="H30" s="180"/>
    </row>
    <row r="31" spans="2:16">
      <c r="B31" s="186" t="s">
        <v>248</v>
      </c>
      <c r="C31" s="180">
        <f>+C30*$G$17</f>
        <v>50.108597285067873</v>
      </c>
      <c r="D31" s="180">
        <f>+D30*$G$17</f>
        <v>40.991357466063349</v>
      </c>
      <c r="E31" s="180">
        <f>+C31-D31</f>
        <v>9.1172398190045243</v>
      </c>
    </row>
    <row r="33" spans="2:16">
      <c r="F33" s="180" t="s">
        <v>240</v>
      </c>
      <c r="G33" s="180" t="s">
        <v>241</v>
      </c>
    </row>
    <row r="34" spans="2:16">
      <c r="B34" s="181" t="s">
        <v>254</v>
      </c>
      <c r="C34" s="182" t="s">
        <v>404</v>
      </c>
      <c r="D34" s="182" t="s">
        <v>243</v>
      </c>
      <c r="E34" s="182" t="s">
        <v>245</v>
      </c>
      <c r="F34" s="183">
        <f>+L36</f>
        <v>0.68</v>
      </c>
      <c r="G34" s="183">
        <f>+L37</f>
        <v>0.32</v>
      </c>
      <c r="H34" s="182"/>
    </row>
    <row r="35" spans="2:16">
      <c r="B35" s="160" t="s">
        <v>8</v>
      </c>
      <c r="C35" s="113">
        <v>10000</v>
      </c>
      <c r="D35" s="113">
        <v>10000</v>
      </c>
      <c r="E35" s="113">
        <f>+C35-D35</f>
        <v>0</v>
      </c>
      <c r="F35" s="113">
        <f t="shared" ref="F35:F40" si="9">+E35*$F$34</f>
        <v>0</v>
      </c>
      <c r="G35" s="113">
        <f t="shared" ref="G35:G40" si="10">+E35*$G$34</f>
        <v>0</v>
      </c>
      <c r="K35" s="604">
        <v>2017</v>
      </c>
      <c r="L35" s="604"/>
      <c r="M35" s="604">
        <v>2016</v>
      </c>
      <c r="N35" s="604"/>
      <c r="O35" s="604" t="s">
        <v>245</v>
      </c>
      <c r="P35" s="604"/>
    </row>
    <row r="36" spans="2:16">
      <c r="B36" s="160" t="s">
        <v>88</v>
      </c>
      <c r="C36" s="113">
        <v>0</v>
      </c>
      <c r="D36" s="113">
        <v>0</v>
      </c>
      <c r="E36" s="113">
        <f t="shared" ref="E36:E42" si="11">+C36-D36</f>
        <v>0</v>
      </c>
      <c r="F36" s="113">
        <f t="shared" si="9"/>
        <v>0</v>
      </c>
      <c r="G36" s="113">
        <f t="shared" si="10"/>
        <v>0</v>
      </c>
      <c r="J36" s="113" t="s">
        <v>50</v>
      </c>
      <c r="K36" s="104">
        <v>6800</v>
      </c>
      <c r="L36" s="118">
        <f>+K36/$K$38</f>
        <v>0.68</v>
      </c>
      <c r="M36" s="104">
        <v>6800</v>
      </c>
      <c r="N36" s="118">
        <f>+M36/$M$38</f>
        <v>0.68</v>
      </c>
      <c r="O36" s="104">
        <f>+K36-M36</f>
        <v>0</v>
      </c>
      <c r="P36" s="118">
        <f>+L36-N36</f>
        <v>0</v>
      </c>
    </row>
    <row r="37" spans="2:16">
      <c r="B37" s="160" t="s">
        <v>17</v>
      </c>
      <c r="C37" s="113">
        <f>'ESF - ERI'!V50</f>
        <v>74426</v>
      </c>
      <c r="D37" s="113">
        <v>74426.570000000007</v>
      </c>
      <c r="E37" s="113">
        <f t="shared" si="11"/>
        <v>-0.57000000000698492</v>
      </c>
      <c r="F37" s="113">
        <f t="shared" si="9"/>
        <v>-0.38760000000474976</v>
      </c>
      <c r="G37" s="113">
        <f t="shared" si="10"/>
        <v>-0.18240000000223519</v>
      </c>
      <c r="J37" s="113" t="s">
        <v>52</v>
      </c>
      <c r="K37" s="121">
        <v>3200</v>
      </c>
      <c r="L37" s="118">
        <f>+K37/$K$38</f>
        <v>0.32</v>
      </c>
      <c r="M37" s="121">
        <v>3200</v>
      </c>
      <c r="N37" s="118">
        <f>+M37/$M$38</f>
        <v>0.32</v>
      </c>
      <c r="O37" s="104">
        <f>+K37-M37</f>
        <v>0</v>
      </c>
      <c r="P37" s="118">
        <f>+L37-N37</f>
        <v>0</v>
      </c>
    </row>
    <row r="38" spans="2:16">
      <c r="B38" s="160" t="s">
        <v>19</v>
      </c>
      <c r="E38" s="113">
        <f t="shared" si="11"/>
        <v>0</v>
      </c>
      <c r="F38" s="113">
        <f t="shared" si="9"/>
        <v>0</v>
      </c>
      <c r="G38" s="113">
        <f t="shared" si="10"/>
        <v>0</v>
      </c>
      <c r="K38" s="104">
        <f>SUM(K36:K37)</f>
        <v>10000</v>
      </c>
      <c r="L38" s="105"/>
      <c r="M38" s="104">
        <f>SUM(M36:M37)</f>
        <v>10000</v>
      </c>
      <c r="N38" s="105"/>
      <c r="O38" s="104">
        <f>SUM(O36:O37)</f>
        <v>0</v>
      </c>
      <c r="P38" s="105"/>
    </row>
    <row r="39" spans="2:16">
      <c r="B39" s="160" t="s">
        <v>18</v>
      </c>
      <c r="E39" s="113">
        <f t="shared" si="11"/>
        <v>0</v>
      </c>
      <c r="F39" s="113">
        <f t="shared" si="9"/>
        <v>0</v>
      </c>
      <c r="G39" s="113">
        <f t="shared" si="10"/>
        <v>0</v>
      </c>
    </row>
    <row r="40" spans="2:16">
      <c r="B40" s="160" t="s">
        <v>20</v>
      </c>
      <c r="E40" s="113">
        <f t="shared" si="11"/>
        <v>0</v>
      </c>
      <c r="F40" s="113">
        <f t="shared" si="9"/>
        <v>0</v>
      </c>
      <c r="G40" s="113">
        <f t="shared" si="10"/>
        <v>0</v>
      </c>
    </row>
    <row r="41" spans="2:16" ht="17.399999999999999">
      <c r="B41" s="160" t="s">
        <v>21</v>
      </c>
      <c r="C41" s="113">
        <f>'ESF - ERI'!V55</f>
        <v>911628</v>
      </c>
      <c r="D41" s="113">
        <v>989917</v>
      </c>
      <c r="E41" s="113">
        <f t="shared" si="11"/>
        <v>-78289</v>
      </c>
      <c r="F41" s="113">
        <f>+E41*$F$34</f>
        <v>-53236.520000000004</v>
      </c>
      <c r="G41" s="113">
        <f>+E41*$G$34</f>
        <v>-25052.48</v>
      </c>
      <c r="I41" s="195" t="s">
        <v>255</v>
      </c>
      <c r="L41" s="113">
        <f>228012-128950-6829+71048+1931</f>
        <v>165212</v>
      </c>
    </row>
    <row r="42" spans="2:16">
      <c r="B42" s="160" t="s">
        <v>43</v>
      </c>
      <c r="C42" s="184">
        <f>'ESF - ERI'!V56</f>
        <v>-15891</v>
      </c>
      <c r="D42" s="184">
        <v>-56384</v>
      </c>
      <c r="E42" s="184">
        <f t="shared" si="11"/>
        <v>40493</v>
      </c>
      <c r="F42" s="113">
        <f>+E42*$F$34</f>
        <v>27535.24</v>
      </c>
      <c r="G42" s="113">
        <f>+E42*$G$34</f>
        <v>12957.76</v>
      </c>
      <c r="H42" s="185"/>
    </row>
    <row r="44" spans="2:16">
      <c r="B44" s="181" t="s">
        <v>247</v>
      </c>
      <c r="C44" s="180">
        <f>SUM(C35:C43)</f>
        <v>980163</v>
      </c>
      <c r="D44" s="180">
        <f>SUM(D35:D43)</f>
        <v>1017959.5700000001</v>
      </c>
      <c r="E44" s="180">
        <f>SUM(E35:E42)</f>
        <v>-37796.570000000007</v>
      </c>
      <c r="F44" s="180"/>
      <c r="G44" s="180"/>
      <c r="H44" s="180"/>
    </row>
    <row r="45" spans="2:16">
      <c r="B45" s="186" t="s">
        <v>248</v>
      </c>
      <c r="C45" s="180">
        <f>+C44*$L$37</f>
        <v>313652.16000000003</v>
      </c>
      <c r="D45" s="180">
        <f>+D44*$L$37</f>
        <v>325747.06240000005</v>
      </c>
      <c r="E45" s="180">
        <f>+C45-D45</f>
        <v>-12094.902400000021</v>
      </c>
    </row>
    <row r="46" spans="2:16">
      <c r="B46" s="186"/>
      <c r="C46" s="180"/>
      <c r="D46" s="180"/>
      <c r="E46" s="180"/>
    </row>
    <row r="47" spans="2:16">
      <c r="F47" s="180" t="s">
        <v>240</v>
      </c>
      <c r="G47" s="180" t="s">
        <v>241</v>
      </c>
    </row>
    <row r="48" spans="2:16">
      <c r="B48" s="181" t="s">
        <v>256</v>
      </c>
      <c r="C48" s="182" t="s">
        <v>404</v>
      </c>
      <c r="D48" s="182" t="s">
        <v>243</v>
      </c>
      <c r="E48" s="182" t="s">
        <v>245</v>
      </c>
      <c r="F48" s="183">
        <f>+L50</f>
        <v>0.5</v>
      </c>
      <c r="G48" s="183">
        <f>+L51</f>
        <v>0.5</v>
      </c>
      <c r="H48" s="182"/>
    </row>
    <row r="49" spans="2:16">
      <c r="B49" s="160" t="s">
        <v>8</v>
      </c>
      <c r="C49" s="113">
        <v>1000</v>
      </c>
      <c r="D49" s="113">
        <v>1000</v>
      </c>
      <c r="E49" s="113">
        <f>+C49-D49</f>
        <v>0</v>
      </c>
      <c r="F49" s="113">
        <f>+E49*$F$48</f>
        <v>0</v>
      </c>
      <c r="G49" s="113">
        <f>+E49*$G$48</f>
        <v>0</v>
      </c>
      <c r="K49" s="604">
        <v>2017</v>
      </c>
      <c r="L49" s="604"/>
      <c r="M49" s="604">
        <v>2016</v>
      </c>
      <c r="N49" s="604"/>
      <c r="O49" s="604" t="s">
        <v>245</v>
      </c>
      <c r="P49" s="604"/>
    </row>
    <row r="50" spans="2:16">
      <c r="B50" s="160" t="s">
        <v>88</v>
      </c>
      <c r="C50" s="113">
        <v>49015</v>
      </c>
      <c r="D50" s="113">
        <v>49015</v>
      </c>
      <c r="E50" s="113">
        <f t="shared" ref="E50:E56" si="12">+C50-D50</f>
        <v>0</v>
      </c>
      <c r="F50" s="113">
        <f t="shared" ref="F50:F56" si="13">+E50*$F$48</f>
        <v>0</v>
      </c>
      <c r="G50" s="113">
        <f t="shared" ref="G50:G56" si="14">+E50*$G$48</f>
        <v>0</v>
      </c>
      <c r="J50" s="113" t="s">
        <v>50</v>
      </c>
      <c r="K50" s="104">
        <v>500</v>
      </c>
      <c r="L50" s="118">
        <f>+K50/$K$52</f>
        <v>0.5</v>
      </c>
      <c r="M50" s="104">
        <v>500</v>
      </c>
      <c r="N50" s="118">
        <f>+M50/$M$52</f>
        <v>0.5</v>
      </c>
      <c r="O50" s="104">
        <f>+K50-M50</f>
        <v>0</v>
      </c>
      <c r="P50" s="118">
        <f>+L50-N50</f>
        <v>0</v>
      </c>
    </row>
    <row r="51" spans="2:16">
      <c r="B51" s="160" t="s">
        <v>17</v>
      </c>
      <c r="C51" s="113">
        <v>500</v>
      </c>
      <c r="D51" s="113">
        <v>500</v>
      </c>
      <c r="E51" s="113">
        <f t="shared" si="12"/>
        <v>0</v>
      </c>
      <c r="F51" s="113">
        <f t="shared" si="13"/>
        <v>0</v>
      </c>
      <c r="G51" s="113">
        <f t="shared" si="14"/>
        <v>0</v>
      </c>
      <c r="J51" s="113" t="s">
        <v>52</v>
      </c>
      <c r="K51" s="121">
        <v>500</v>
      </c>
      <c r="L51" s="118">
        <f>+K51/$K$52</f>
        <v>0.5</v>
      </c>
      <c r="M51" s="121">
        <v>500</v>
      </c>
      <c r="N51" s="118">
        <f>+M51/$M$52</f>
        <v>0.5</v>
      </c>
      <c r="O51" s="104">
        <f>+K51-M51</f>
        <v>0</v>
      </c>
      <c r="P51" s="118">
        <f>+L51-N51</f>
        <v>0</v>
      </c>
    </row>
    <row r="52" spans="2:16">
      <c r="B52" s="160" t="s">
        <v>19</v>
      </c>
      <c r="C52" s="113">
        <v>0</v>
      </c>
      <c r="D52" s="113">
        <v>0</v>
      </c>
      <c r="E52" s="113">
        <f t="shared" si="12"/>
        <v>0</v>
      </c>
      <c r="F52" s="113">
        <f t="shared" si="13"/>
        <v>0</v>
      </c>
      <c r="G52" s="113">
        <f t="shared" si="14"/>
        <v>0</v>
      </c>
      <c r="K52" s="104">
        <f>SUM(K50:K51)</f>
        <v>1000</v>
      </c>
      <c r="L52" s="105"/>
      <c r="M52" s="104">
        <f>SUM(M50:M51)</f>
        <v>1000</v>
      </c>
      <c r="N52" s="105"/>
      <c r="O52" s="104">
        <f>SUM(O50:O51)</f>
        <v>0</v>
      </c>
      <c r="P52" s="105"/>
    </row>
    <row r="53" spans="2:16">
      <c r="B53" s="160" t="s">
        <v>18</v>
      </c>
      <c r="C53" s="113">
        <v>0</v>
      </c>
      <c r="D53" s="113">
        <v>0</v>
      </c>
      <c r="E53" s="113">
        <f t="shared" si="12"/>
        <v>0</v>
      </c>
      <c r="F53" s="113">
        <f t="shared" si="13"/>
        <v>0</v>
      </c>
      <c r="G53" s="113">
        <f t="shared" si="14"/>
        <v>0</v>
      </c>
    </row>
    <row r="54" spans="2:16">
      <c r="B54" s="160" t="s">
        <v>20</v>
      </c>
      <c r="C54" s="113">
        <v>0</v>
      </c>
      <c r="D54" s="113">
        <v>82150.45</v>
      </c>
      <c r="E54" s="113">
        <f t="shared" si="12"/>
        <v>-82150.45</v>
      </c>
      <c r="F54" s="113">
        <f t="shared" si="13"/>
        <v>-41075.224999999999</v>
      </c>
      <c r="G54" s="113">
        <f t="shared" si="14"/>
        <v>-41075.224999999999</v>
      </c>
    </row>
    <row r="55" spans="2:16">
      <c r="B55" s="160" t="s">
        <v>21</v>
      </c>
      <c r="C55" s="113">
        <f>'ESF - ERI'!W55</f>
        <v>-488265</v>
      </c>
      <c r="D55" s="113">
        <f>129138.35-489726.7199375</f>
        <v>-360588.36993749999</v>
      </c>
      <c r="E55" s="113">
        <f t="shared" si="12"/>
        <v>-127676.63006250001</v>
      </c>
      <c r="F55" s="113">
        <f t="shared" si="13"/>
        <v>-63838.315031250007</v>
      </c>
      <c r="G55" s="113">
        <f t="shared" si="14"/>
        <v>-63838.315031250007</v>
      </c>
    </row>
    <row r="56" spans="2:16">
      <c r="B56" s="160" t="s">
        <v>43</v>
      </c>
      <c r="C56" s="184">
        <f>'ESF - ERI'!W56</f>
        <v>-493384</v>
      </c>
      <c r="D56" s="184">
        <v>-209826.66</v>
      </c>
      <c r="E56" s="184">
        <f t="shared" si="12"/>
        <v>-283557.33999999997</v>
      </c>
      <c r="F56" s="113">
        <f t="shared" si="13"/>
        <v>-141778.66999999998</v>
      </c>
      <c r="G56" s="113">
        <f t="shared" si="14"/>
        <v>-141778.66999999998</v>
      </c>
      <c r="H56" s="185"/>
    </row>
    <row r="58" spans="2:16">
      <c r="B58" s="181" t="s">
        <v>247</v>
      </c>
      <c r="C58" s="180">
        <f>SUM(C49:C57)</f>
        <v>-931134</v>
      </c>
      <c r="D58" s="180">
        <f>SUM(D49:D57)</f>
        <v>-437749.57993749995</v>
      </c>
      <c r="E58" s="180">
        <f>SUM(E49:E56)</f>
        <v>-493384.42006249999</v>
      </c>
      <c r="F58" s="180"/>
      <c r="G58" s="180"/>
      <c r="H58" s="180"/>
    </row>
    <row r="59" spans="2:16">
      <c r="B59" s="160" t="s">
        <v>252</v>
      </c>
      <c r="C59" s="196">
        <f>-C50</f>
        <v>-49015</v>
      </c>
      <c r="D59" s="196">
        <f>-D50</f>
        <v>-49015</v>
      </c>
      <c r="F59" s="180"/>
      <c r="G59" s="180"/>
      <c r="H59" s="180"/>
    </row>
    <row r="60" spans="2:16">
      <c r="B60" s="181" t="s">
        <v>253</v>
      </c>
      <c r="C60" s="180">
        <f>SUM(C57:C59)</f>
        <v>-980149</v>
      </c>
      <c r="D60" s="180">
        <f>SUM(D57:D59)</f>
        <v>-486764.57993749995</v>
      </c>
      <c r="E60" s="113">
        <f t="shared" ref="E60" si="15">+C60-D60</f>
        <v>-493384.42006250005</v>
      </c>
      <c r="F60" s="180"/>
      <c r="G60" s="180"/>
      <c r="H60" s="180"/>
    </row>
    <row r="61" spans="2:16">
      <c r="B61" s="186" t="s">
        <v>248</v>
      </c>
      <c r="C61" s="180">
        <f>+C60*$L$51</f>
        <v>-490074.5</v>
      </c>
      <c r="D61" s="180">
        <f>+D60*$L$51</f>
        <v>-243382.28996874997</v>
      </c>
      <c r="E61" s="180">
        <f>+C61-D61</f>
        <v>-246692.21003125003</v>
      </c>
    </row>
    <row r="62" spans="2:16">
      <c r="B62" s="186"/>
      <c r="C62" s="180"/>
      <c r="D62" s="180"/>
      <c r="E62" s="180"/>
    </row>
    <row r="63" spans="2:16">
      <c r="F63" s="180" t="s">
        <v>240</v>
      </c>
      <c r="G63" s="180" t="s">
        <v>241</v>
      </c>
    </row>
    <row r="64" spans="2:16">
      <c r="B64" s="181" t="s">
        <v>257</v>
      </c>
      <c r="C64" s="182" t="s">
        <v>404</v>
      </c>
      <c r="D64" s="182" t="s">
        <v>243</v>
      </c>
      <c r="E64" s="182" t="s">
        <v>245</v>
      </c>
      <c r="F64" s="183">
        <f>+L66</f>
        <v>0.75</v>
      </c>
      <c r="G64" s="183">
        <f>+L67</f>
        <v>0.25</v>
      </c>
      <c r="H64" s="182"/>
    </row>
    <row r="65" spans="2:16">
      <c r="B65" s="160" t="s">
        <v>8</v>
      </c>
      <c r="C65" s="113">
        <v>1000</v>
      </c>
      <c r="D65" s="113">
        <v>1000</v>
      </c>
      <c r="E65" s="113">
        <f>+C65-D65</f>
        <v>0</v>
      </c>
      <c r="F65" s="113">
        <f>+E65*$F$64</f>
        <v>0</v>
      </c>
      <c r="G65" s="113">
        <f>+E65*$G$64</f>
        <v>0</v>
      </c>
      <c r="K65" s="604">
        <v>2017</v>
      </c>
      <c r="L65" s="604"/>
      <c r="M65" s="604">
        <v>2016</v>
      </c>
      <c r="N65" s="604"/>
      <c r="O65" s="604" t="s">
        <v>245</v>
      </c>
      <c r="P65" s="604"/>
    </row>
    <row r="66" spans="2:16">
      <c r="B66" s="160" t="s">
        <v>88</v>
      </c>
      <c r="C66" s="113">
        <v>330450</v>
      </c>
      <c r="D66" s="113">
        <v>330450</v>
      </c>
      <c r="E66" s="113">
        <f t="shared" ref="E66:E72" si="16">+C66-D66</f>
        <v>0</v>
      </c>
      <c r="F66" s="113">
        <f t="shared" ref="F66:F72" si="17">+E66*$F$64</f>
        <v>0</v>
      </c>
      <c r="G66" s="113">
        <f t="shared" ref="G66:G72" si="18">+E66*$G$64</f>
        <v>0</v>
      </c>
      <c r="J66" s="113" t="s">
        <v>50</v>
      </c>
      <c r="K66" s="104">
        <v>750</v>
      </c>
      <c r="L66" s="118">
        <f>+K66/$K$68</f>
        <v>0.75</v>
      </c>
      <c r="M66" s="104">
        <v>750</v>
      </c>
      <c r="N66" s="118">
        <f>+M66/$M$68</f>
        <v>0.75</v>
      </c>
      <c r="O66" s="104">
        <f>+K66-M66</f>
        <v>0</v>
      </c>
      <c r="P66" s="118">
        <f>+L66-N66</f>
        <v>0</v>
      </c>
    </row>
    <row r="67" spans="2:16">
      <c r="B67" s="160" t="s">
        <v>17</v>
      </c>
      <c r="C67" s="113">
        <v>109633</v>
      </c>
      <c r="D67" s="113">
        <v>109633.48</v>
      </c>
      <c r="E67" s="113">
        <f t="shared" si="16"/>
        <v>-0.47999999999592546</v>
      </c>
      <c r="F67" s="113">
        <f t="shared" si="17"/>
        <v>-0.3599999999969441</v>
      </c>
      <c r="G67" s="113">
        <f t="shared" si="18"/>
        <v>-0.11999999999898137</v>
      </c>
      <c r="J67" s="113" t="s">
        <v>52</v>
      </c>
      <c r="K67" s="121">
        <v>250</v>
      </c>
      <c r="L67" s="118">
        <f>+K67/$K$68</f>
        <v>0.25</v>
      </c>
      <c r="M67" s="121">
        <v>250</v>
      </c>
      <c r="N67" s="118">
        <f>+M67/$M$68</f>
        <v>0.25</v>
      </c>
      <c r="O67" s="104">
        <f>+K67-M67</f>
        <v>0</v>
      </c>
      <c r="P67" s="118">
        <f>+L67-N67</f>
        <v>0</v>
      </c>
    </row>
    <row r="68" spans="2:16">
      <c r="B68" s="160" t="s">
        <v>19</v>
      </c>
      <c r="C68" s="113">
        <v>0</v>
      </c>
      <c r="D68" s="113">
        <v>0</v>
      </c>
      <c r="E68" s="113">
        <f t="shared" si="16"/>
        <v>0</v>
      </c>
      <c r="F68" s="113">
        <f t="shared" si="17"/>
        <v>0</v>
      </c>
      <c r="G68" s="113">
        <f t="shared" si="18"/>
        <v>0</v>
      </c>
      <c r="K68" s="104">
        <f>SUM(K66:K67)</f>
        <v>1000</v>
      </c>
      <c r="L68" s="105"/>
      <c r="M68" s="104">
        <f>SUM(M66:M67)</f>
        <v>1000</v>
      </c>
      <c r="N68" s="105"/>
      <c r="O68" s="104">
        <f>SUM(O66:O67)</f>
        <v>0</v>
      </c>
      <c r="P68" s="105"/>
    </row>
    <row r="69" spans="2:16">
      <c r="B69" s="160" t="s">
        <v>18</v>
      </c>
      <c r="C69" s="113">
        <v>0</v>
      </c>
      <c r="D69" s="113">
        <v>0</v>
      </c>
      <c r="E69" s="113">
        <f t="shared" si="16"/>
        <v>0</v>
      </c>
      <c r="F69" s="113">
        <f t="shared" si="17"/>
        <v>0</v>
      </c>
      <c r="G69" s="113">
        <f t="shared" si="18"/>
        <v>0</v>
      </c>
    </row>
    <row r="70" spans="2:16">
      <c r="B70" s="160" t="s">
        <v>20</v>
      </c>
      <c r="C70" s="113">
        <v>0</v>
      </c>
      <c r="D70" s="113">
        <v>0</v>
      </c>
      <c r="E70" s="113">
        <f t="shared" si="16"/>
        <v>0</v>
      </c>
      <c r="F70" s="113">
        <f t="shared" si="17"/>
        <v>0</v>
      </c>
      <c r="G70" s="113">
        <f t="shared" si="18"/>
        <v>0</v>
      </c>
    </row>
    <row r="71" spans="2:16">
      <c r="B71" s="160" t="s">
        <v>21</v>
      </c>
      <c r="C71" s="113">
        <f>'ESF - ERI'!X55</f>
        <v>-53896</v>
      </c>
      <c r="D71" s="113">
        <f>-26948.34-13474.17</f>
        <v>-40422.51</v>
      </c>
      <c r="E71" s="113">
        <f t="shared" si="16"/>
        <v>-13473.489999999998</v>
      </c>
      <c r="F71" s="113">
        <f t="shared" si="17"/>
        <v>-10105.117499999998</v>
      </c>
      <c r="G71" s="113">
        <f t="shared" si="18"/>
        <v>-3368.3724999999995</v>
      </c>
    </row>
    <row r="72" spans="2:16">
      <c r="B72" s="160" t="s">
        <v>43</v>
      </c>
      <c r="C72" s="184">
        <f>'ESF - ERI'!X56</f>
        <v>-13474</v>
      </c>
      <c r="D72" s="184">
        <v>-13474</v>
      </c>
      <c r="E72" s="184">
        <f t="shared" si="16"/>
        <v>0</v>
      </c>
      <c r="F72" s="113">
        <f t="shared" si="17"/>
        <v>0</v>
      </c>
      <c r="G72" s="113">
        <f t="shared" si="18"/>
        <v>0</v>
      </c>
      <c r="H72" s="185"/>
    </row>
    <row r="74" spans="2:16">
      <c r="B74" s="181" t="s">
        <v>247</v>
      </c>
      <c r="C74" s="180">
        <f>SUM(C65:C73)</f>
        <v>373713</v>
      </c>
      <c r="D74" s="180">
        <f>SUM(D65:D73)</f>
        <v>387186.97</v>
      </c>
      <c r="E74" s="180">
        <f>SUM(E65:E72)</f>
        <v>-13473.969999999994</v>
      </c>
      <c r="F74" s="180"/>
      <c r="G74" s="180"/>
      <c r="H74" s="180"/>
    </row>
    <row r="75" spans="2:16">
      <c r="B75" s="160" t="s">
        <v>252</v>
      </c>
      <c r="C75" s="196">
        <f>-C66</f>
        <v>-330450</v>
      </c>
      <c r="D75" s="196">
        <f>-D66</f>
        <v>-330450</v>
      </c>
      <c r="F75" s="180"/>
      <c r="G75" s="180"/>
      <c r="H75" s="180"/>
    </row>
    <row r="76" spans="2:16">
      <c r="B76" s="181" t="s">
        <v>253</v>
      </c>
      <c r="C76" s="180">
        <f>SUM(C73:C75)</f>
        <v>43263</v>
      </c>
      <c r="D76" s="180">
        <f>SUM(D73:D75)</f>
        <v>56736.969999999972</v>
      </c>
      <c r="E76" s="113">
        <f t="shared" ref="E76" si="19">+C76-D76</f>
        <v>-13473.969999999972</v>
      </c>
      <c r="F76" s="180"/>
      <c r="G76" s="180"/>
      <c r="H76" s="180"/>
    </row>
    <row r="77" spans="2:16">
      <c r="B77" s="186" t="s">
        <v>248</v>
      </c>
      <c r="C77" s="180">
        <f>+C76*$L$67</f>
        <v>10815.75</v>
      </c>
      <c r="D77" s="180">
        <f>+D76*$L$67</f>
        <v>14184.242499999993</v>
      </c>
      <c r="E77" s="180">
        <f>+C77-D77</f>
        <v>-3368.492499999993</v>
      </c>
    </row>
    <row r="78" spans="2:16">
      <c r="B78" s="186"/>
    </row>
    <row r="79" spans="2:16">
      <c r="F79" s="180" t="s">
        <v>240</v>
      </c>
      <c r="G79" s="180" t="s">
        <v>241</v>
      </c>
    </row>
    <row r="80" spans="2:16">
      <c r="B80" s="181" t="s">
        <v>259</v>
      </c>
      <c r="C80" s="182" t="s">
        <v>404</v>
      </c>
      <c r="D80" s="182" t="s">
        <v>243</v>
      </c>
      <c r="E80" s="182" t="s">
        <v>245</v>
      </c>
      <c r="F80" s="183">
        <f>+L82</f>
        <v>0.92800000000000005</v>
      </c>
      <c r="G80" s="183">
        <f>+L83</f>
        <v>7.1999999999999995E-2</v>
      </c>
      <c r="H80" s="182"/>
    </row>
    <row r="81" spans="2:16">
      <c r="B81" s="160" t="s">
        <v>8</v>
      </c>
      <c r="C81" s="113">
        <v>5000</v>
      </c>
      <c r="D81" s="113">
        <v>5000</v>
      </c>
      <c r="E81" s="113">
        <f>+C81-D81</f>
        <v>0</v>
      </c>
      <c r="F81" s="113">
        <f>+E81*$F$80</f>
        <v>0</v>
      </c>
      <c r="G81" s="113">
        <f>+E81*$G$80</f>
        <v>0</v>
      </c>
      <c r="K81" s="604">
        <v>2017</v>
      </c>
      <c r="L81" s="604"/>
      <c r="M81" s="604">
        <v>2016</v>
      </c>
      <c r="N81" s="604"/>
      <c r="O81" s="604" t="s">
        <v>245</v>
      </c>
      <c r="P81" s="604"/>
    </row>
    <row r="82" spans="2:16">
      <c r="B82" s="160" t="s">
        <v>88</v>
      </c>
      <c r="C82" s="113">
        <v>0</v>
      </c>
      <c r="D82" s="113">
        <v>0</v>
      </c>
      <c r="E82" s="113">
        <f t="shared" ref="E82:E88" si="20">+C82-D82</f>
        <v>0</v>
      </c>
      <c r="F82" s="113">
        <f t="shared" ref="F82:F88" si="21">+E82*$F$80</f>
        <v>0</v>
      </c>
      <c r="G82" s="113">
        <f t="shared" ref="G82:G88" si="22">+E82*$G$80</f>
        <v>0</v>
      </c>
      <c r="J82" s="113" t="s">
        <v>50</v>
      </c>
      <c r="K82" s="104">
        <v>4640</v>
      </c>
      <c r="L82" s="118">
        <f>+K82/$K$84</f>
        <v>0.92800000000000005</v>
      </c>
      <c r="M82" s="104">
        <v>4640</v>
      </c>
      <c r="N82" s="118">
        <f>+M82/$M$84</f>
        <v>0.92800000000000005</v>
      </c>
      <c r="O82" s="104">
        <f>+K82-M82</f>
        <v>0</v>
      </c>
      <c r="P82" s="118">
        <f>+L82-N82</f>
        <v>0</v>
      </c>
    </row>
    <row r="83" spans="2:16">
      <c r="B83" s="160" t="s">
        <v>17</v>
      </c>
      <c r="C83" s="113">
        <v>0</v>
      </c>
      <c r="D83" s="113">
        <v>0</v>
      </c>
      <c r="E83" s="113">
        <f t="shared" si="20"/>
        <v>0</v>
      </c>
      <c r="F83" s="113">
        <f t="shared" si="21"/>
        <v>0</v>
      </c>
      <c r="G83" s="113">
        <f t="shared" si="22"/>
        <v>0</v>
      </c>
      <c r="J83" s="113" t="s">
        <v>52</v>
      </c>
      <c r="K83" s="121">
        <v>360</v>
      </c>
      <c r="L83" s="118">
        <f>+K83/$K$84</f>
        <v>7.1999999999999995E-2</v>
      </c>
      <c r="M83" s="121">
        <v>360</v>
      </c>
      <c r="N83" s="118">
        <f>+M83/$M$84</f>
        <v>7.1999999999999995E-2</v>
      </c>
      <c r="O83" s="104">
        <f>+K83-M83</f>
        <v>0</v>
      </c>
      <c r="P83" s="118">
        <f>+L83-N83</f>
        <v>0</v>
      </c>
    </row>
    <row r="84" spans="2:16">
      <c r="B84" s="160" t="s">
        <v>19</v>
      </c>
      <c r="C84" s="113">
        <v>0</v>
      </c>
      <c r="D84" s="113">
        <v>0</v>
      </c>
      <c r="E84" s="113">
        <f t="shared" si="20"/>
        <v>0</v>
      </c>
      <c r="F84" s="113">
        <f t="shared" si="21"/>
        <v>0</v>
      </c>
      <c r="G84" s="113">
        <f t="shared" si="22"/>
        <v>0</v>
      </c>
      <c r="K84" s="104">
        <f>SUM(K82:K83)</f>
        <v>5000</v>
      </c>
      <c r="L84" s="105"/>
      <c r="M84" s="104">
        <f>SUM(M82:M83)</f>
        <v>5000</v>
      </c>
      <c r="N84" s="105"/>
      <c r="O84" s="104">
        <f>SUM(O82:O83)</f>
        <v>0</v>
      </c>
      <c r="P84" s="105"/>
    </row>
    <row r="85" spans="2:16">
      <c r="B85" s="160" t="s">
        <v>18</v>
      </c>
      <c r="C85" s="113">
        <v>1226</v>
      </c>
      <c r="D85" s="113">
        <v>1226.1199999999999</v>
      </c>
      <c r="E85" s="113">
        <f t="shared" si="20"/>
        <v>-0.11999999999989086</v>
      </c>
      <c r="F85" s="113">
        <f t="shared" si="21"/>
        <v>-0.11135999999989872</v>
      </c>
      <c r="G85" s="113">
        <f t="shared" si="22"/>
        <v>-8.6399999999921418E-3</v>
      </c>
    </row>
    <row r="86" spans="2:16">
      <c r="B86" s="160" t="s">
        <v>20</v>
      </c>
      <c r="C86" s="113">
        <v>0</v>
      </c>
      <c r="D86" s="113">
        <v>0</v>
      </c>
      <c r="E86" s="113">
        <f t="shared" si="20"/>
        <v>0</v>
      </c>
      <c r="F86" s="113">
        <f t="shared" si="21"/>
        <v>0</v>
      </c>
      <c r="G86" s="113">
        <f t="shared" si="22"/>
        <v>0</v>
      </c>
    </row>
    <row r="87" spans="2:16" ht="17.399999999999999">
      <c r="B87" s="160" t="s">
        <v>21</v>
      </c>
      <c r="C87" s="113">
        <v>1763</v>
      </c>
      <c r="D87" s="113">
        <v>1763</v>
      </c>
      <c r="E87" s="113">
        <f t="shared" si="20"/>
        <v>0</v>
      </c>
      <c r="F87" s="113">
        <f t="shared" si="21"/>
        <v>0</v>
      </c>
      <c r="G87" s="113">
        <f t="shared" si="22"/>
        <v>0</v>
      </c>
      <c r="I87" s="195" t="s">
        <v>260</v>
      </c>
    </row>
    <row r="88" spans="2:16">
      <c r="B88" s="160" t="s">
        <v>43</v>
      </c>
      <c r="C88" s="184">
        <v>0</v>
      </c>
      <c r="D88" s="184">
        <v>0</v>
      </c>
      <c r="E88" s="184">
        <f t="shared" si="20"/>
        <v>0</v>
      </c>
      <c r="F88" s="113">
        <f t="shared" si="21"/>
        <v>0</v>
      </c>
      <c r="G88" s="113">
        <f t="shared" si="22"/>
        <v>0</v>
      </c>
      <c r="H88" s="185"/>
    </row>
    <row r="90" spans="2:16">
      <c r="B90" s="181" t="s">
        <v>258</v>
      </c>
      <c r="C90" s="180">
        <f>SUM(C81:C89)</f>
        <v>7989</v>
      </c>
      <c r="D90" s="180">
        <f>SUM(D81:D89)</f>
        <v>7989.12</v>
      </c>
      <c r="E90" s="180">
        <f>SUM(E81:E88)</f>
        <v>-0.11999999999989086</v>
      </c>
      <c r="F90" s="180"/>
      <c r="G90" s="180"/>
      <c r="H90" s="180"/>
    </row>
    <row r="91" spans="2:16">
      <c r="B91" s="186" t="s">
        <v>248</v>
      </c>
      <c r="C91" s="180">
        <f>+C90*$L$83</f>
        <v>575.20799999999997</v>
      </c>
      <c r="D91" s="180">
        <f>+D90*$L$83</f>
        <v>575.21663999999998</v>
      </c>
      <c r="E91" s="180">
        <f>+C91-D91</f>
        <v>-8.6400000000139698E-3</v>
      </c>
      <c r="F91" s="180"/>
      <c r="G91" s="180"/>
      <c r="H91" s="180"/>
    </row>
    <row r="93" spans="2:16">
      <c r="F93" s="180" t="s">
        <v>240</v>
      </c>
      <c r="G93" s="180" t="s">
        <v>241</v>
      </c>
    </row>
    <row r="94" spans="2:16">
      <c r="B94" s="181" t="s">
        <v>261</v>
      </c>
      <c r="C94" s="182" t="s">
        <v>404</v>
      </c>
      <c r="D94" s="182" t="s">
        <v>243</v>
      </c>
      <c r="E94" s="182" t="s">
        <v>245</v>
      </c>
      <c r="F94" s="183">
        <f>+L96</f>
        <v>0.6</v>
      </c>
      <c r="G94" s="183">
        <f>+L97</f>
        <v>0.4</v>
      </c>
      <c r="H94" s="182"/>
    </row>
    <row r="95" spans="2:16">
      <c r="B95" s="160" t="s">
        <v>8</v>
      </c>
      <c r="C95" s="113">
        <v>10000</v>
      </c>
      <c r="D95" s="113">
        <v>10000</v>
      </c>
      <c r="E95" s="113">
        <f>+C95-D95</f>
        <v>0</v>
      </c>
      <c r="F95" s="113">
        <f>+E95*$F$94</f>
        <v>0</v>
      </c>
      <c r="G95" s="113">
        <f>+E95*$G$94</f>
        <v>0</v>
      </c>
      <c r="K95" s="604">
        <v>2017</v>
      </c>
      <c r="L95" s="604"/>
      <c r="M95" s="604">
        <v>2016</v>
      </c>
      <c r="N95" s="604"/>
      <c r="O95" s="604" t="s">
        <v>245</v>
      </c>
      <c r="P95" s="604"/>
    </row>
    <row r="96" spans="2:16">
      <c r="B96" s="160" t="s">
        <v>88</v>
      </c>
      <c r="C96" s="113">
        <v>0</v>
      </c>
      <c r="D96" s="113">
        <v>0</v>
      </c>
      <c r="E96" s="113">
        <f t="shared" ref="E96:E102" si="23">+C96-D96</f>
        <v>0</v>
      </c>
      <c r="F96" s="113">
        <f t="shared" ref="F96:F102" si="24">+E96*$F$94</f>
        <v>0</v>
      </c>
      <c r="G96" s="113">
        <f t="shared" ref="G96:G102" si="25">+E96*$G$94</f>
        <v>0</v>
      </c>
      <c r="J96" s="113" t="s">
        <v>50</v>
      </c>
      <c r="K96" s="104">
        <v>6000</v>
      </c>
      <c r="L96" s="118">
        <f>+K96/$K$98</f>
        <v>0.6</v>
      </c>
      <c r="M96" s="104">
        <v>6000</v>
      </c>
      <c r="N96" s="118">
        <f>+M96/$M$98</f>
        <v>0.6</v>
      </c>
      <c r="O96" s="104">
        <f>+K96-M96</f>
        <v>0</v>
      </c>
      <c r="P96" s="118">
        <f>+L96-N96</f>
        <v>0</v>
      </c>
    </row>
    <row r="97" spans="2:16">
      <c r="B97" s="160" t="s">
        <v>17</v>
      </c>
      <c r="C97" s="113">
        <v>0</v>
      </c>
      <c r="D97" s="113">
        <v>0</v>
      </c>
      <c r="E97" s="113">
        <f t="shared" si="23"/>
        <v>0</v>
      </c>
      <c r="F97" s="113">
        <f t="shared" si="24"/>
        <v>0</v>
      </c>
      <c r="G97" s="113">
        <f t="shared" si="25"/>
        <v>0</v>
      </c>
      <c r="J97" s="113" t="s">
        <v>52</v>
      </c>
      <c r="K97" s="121">
        <v>4000</v>
      </c>
      <c r="L97" s="118">
        <f>+K97/$K$98</f>
        <v>0.4</v>
      </c>
      <c r="M97" s="121">
        <v>4000</v>
      </c>
      <c r="N97" s="118">
        <f>+M97/$M$98</f>
        <v>0.4</v>
      </c>
      <c r="O97" s="104">
        <f>+K97-M97</f>
        <v>0</v>
      </c>
      <c r="P97" s="118">
        <f>+L97-N97</f>
        <v>0</v>
      </c>
    </row>
    <row r="98" spans="2:16">
      <c r="B98" s="160" t="s">
        <v>19</v>
      </c>
      <c r="C98" s="113">
        <v>0</v>
      </c>
      <c r="D98" s="113">
        <v>0</v>
      </c>
      <c r="E98" s="113">
        <f t="shared" si="23"/>
        <v>0</v>
      </c>
      <c r="F98" s="113">
        <f t="shared" si="24"/>
        <v>0</v>
      </c>
      <c r="G98" s="113">
        <f t="shared" si="25"/>
        <v>0</v>
      </c>
      <c r="K98" s="104">
        <f>SUM(K96:K97)</f>
        <v>10000</v>
      </c>
      <c r="L98" s="105"/>
      <c r="M98" s="104">
        <f>SUM(M96:M97)</f>
        <v>10000</v>
      </c>
      <c r="N98" s="105"/>
      <c r="O98" s="104">
        <f>SUM(O96:O97)</f>
        <v>0</v>
      </c>
      <c r="P98" s="105"/>
    </row>
    <row r="99" spans="2:16">
      <c r="B99" s="160" t="s">
        <v>18</v>
      </c>
      <c r="C99" s="113">
        <v>0</v>
      </c>
      <c r="D99" s="113">
        <v>0</v>
      </c>
      <c r="E99" s="113">
        <f t="shared" si="23"/>
        <v>0</v>
      </c>
      <c r="F99" s="113">
        <f t="shared" si="24"/>
        <v>0</v>
      </c>
      <c r="G99" s="113">
        <f t="shared" si="25"/>
        <v>0</v>
      </c>
    </row>
    <row r="100" spans="2:16">
      <c r="B100" s="160" t="s">
        <v>20</v>
      </c>
      <c r="C100" s="113">
        <v>0</v>
      </c>
      <c r="D100" s="113">
        <v>0</v>
      </c>
      <c r="E100" s="113">
        <f t="shared" si="23"/>
        <v>0</v>
      </c>
      <c r="F100" s="113">
        <f t="shared" si="24"/>
        <v>0</v>
      </c>
      <c r="G100" s="113">
        <f t="shared" si="25"/>
        <v>0</v>
      </c>
    </row>
    <row r="101" spans="2:16">
      <c r="B101" s="160" t="s">
        <v>21</v>
      </c>
      <c r="C101" s="113">
        <v>0</v>
      </c>
      <c r="D101" s="113">
        <v>0</v>
      </c>
      <c r="E101" s="113">
        <f t="shared" si="23"/>
        <v>0</v>
      </c>
      <c r="F101" s="113">
        <f t="shared" si="24"/>
        <v>0</v>
      </c>
      <c r="G101" s="113">
        <f t="shared" si="25"/>
        <v>0</v>
      </c>
    </row>
    <row r="102" spans="2:16">
      <c r="B102" s="160" t="s">
        <v>43</v>
      </c>
      <c r="C102" s="184">
        <v>0</v>
      </c>
      <c r="D102" s="184">
        <v>0</v>
      </c>
      <c r="E102" s="184">
        <f t="shared" si="23"/>
        <v>0</v>
      </c>
      <c r="F102" s="113">
        <f t="shared" si="24"/>
        <v>0</v>
      </c>
      <c r="G102" s="113">
        <f t="shared" si="25"/>
        <v>0</v>
      </c>
      <c r="H102" s="185"/>
    </row>
    <row r="104" spans="2:16">
      <c r="B104" s="181" t="s">
        <v>258</v>
      </c>
      <c r="C104" s="180">
        <f>SUM(C95:C103)</f>
        <v>10000</v>
      </c>
      <c r="D104" s="180">
        <f>SUM(D95:D103)</f>
        <v>10000</v>
      </c>
      <c r="E104" s="180">
        <f>SUM(E95:E102)</f>
        <v>0</v>
      </c>
      <c r="F104" s="180"/>
      <c r="G104" s="180"/>
      <c r="H104" s="180"/>
    </row>
    <row r="105" spans="2:16">
      <c r="B105" s="186" t="s">
        <v>248</v>
      </c>
      <c r="C105" s="180">
        <f>+C104*$L$97</f>
        <v>4000</v>
      </c>
      <c r="D105" s="180">
        <f>+D104*$L$97</f>
        <v>4000</v>
      </c>
      <c r="E105" s="180">
        <f>+C105-D105</f>
        <v>0</v>
      </c>
    </row>
    <row r="106" spans="2:16">
      <c r="B106" s="186"/>
      <c r="C106" s="180"/>
      <c r="D106" s="180"/>
      <c r="E106" s="180"/>
    </row>
    <row r="107" spans="2:16">
      <c r="F107" s="180" t="s">
        <v>240</v>
      </c>
      <c r="G107" s="180" t="s">
        <v>241</v>
      </c>
    </row>
    <row r="108" spans="2:16">
      <c r="B108" s="181" t="s">
        <v>262</v>
      </c>
      <c r="C108" s="182" t="s">
        <v>404</v>
      </c>
      <c r="D108" s="182" t="s">
        <v>243</v>
      </c>
      <c r="E108" s="182" t="s">
        <v>245</v>
      </c>
      <c r="F108" s="183">
        <f>+L110</f>
        <v>0.99995000000000001</v>
      </c>
      <c r="G108" s="183">
        <f>+L111</f>
        <v>5.0000000000000002E-5</v>
      </c>
      <c r="H108" s="182"/>
    </row>
    <row r="109" spans="2:16">
      <c r="B109" s="160" t="s">
        <v>8</v>
      </c>
      <c r="C109" s="113">
        <v>800</v>
      </c>
      <c r="D109" s="113">
        <v>800</v>
      </c>
      <c r="E109" s="113">
        <f>+C109-D109</f>
        <v>0</v>
      </c>
      <c r="F109" s="113">
        <f>+E109*$F$108</f>
        <v>0</v>
      </c>
      <c r="G109" s="113">
        <f>+E109*$G$108</f>
        <v>0</v>
      </c>
      <c r="K109" s="604">
        <v>2017</v>
      </c>
      <c r="L109" s="604"/>
      <c r="M109" s="604">
        <v>2016</v>
      </c>
      <c r="N109" s="604"/>
      <c r="O109" s="604" t="s">
        <v>245</v>
      </c>
      <c r="P109" s="604"/>
    </row>
    <row r="110" spans="2:16">
      <c r="B110" s="160" t="s">
        <v>88</v>
      </c>
      <c r="C110" s="113">
        <v>0</v>
      </c>
      <c r="D110" s="113">
        <v>0</v>
      </c>
      <c r="E110" s="113">
        <f t="shared" ref="E110:E116" si="26">+C110-D110</f>
        <v>0</v>
      </c>
      <c r="F110" s="113">
        <f t="shared" ref="F110:F116" si="27">+E110*$F$108</f>
        <v>0</v>
      </c>
      <c r="G110" s="113">
        <f t="shared" ref="G110:G116" si="28">+E110*$G$108</f>
        <v>0</v>
      </c>
      <c r="J110" s="113" t="s">
        <v>50</v>
      </c>
      <c r="K110" s="104">
        <v>799.96</v>
      </c>
      <c r="L110" s="118">
        <f>+K110/$K$112</f>
        <v>0.99995000000000001</v>
      </c>
      <c r="M110" s="104">
        <v>799.96</v>
      </c>
      <c r="N110" s="118">
        <f>+M110/$M$112</f>
        <v>0.99995000000000001</v>
      </c>
      <c r="O110" s="104">
        <f>+K110-M110</f>
        <v>0</v>
      </c>
      <c r="P110" s="118">
        <f>+L110-N110</f>
        <v>0</v>
      </c>
    </row>
    <row r="111" spans="2:16">
      <c r="B111" s="160" t="s">
        <v>17</v>
      </c>
      <c r="C111" s="113">
        <v>0</v>
      </c>
      <c r="D111" s="113">
        <v>0</v>
      </c>
      <c r="E111" s="113">
        <f t="shared" si="26"/>
        <v>0</v>
      </c>
      <c r="F111" s="113">
        <f t="shared" si="27"/>
        <v>0</v>
      </c>
      <c r="G111" s="113">
        <f t="shared" si="28"/>
        <v>0</v>
      </c>
      <c r="J111" s="113" t="s">
        <v>52</v>
      </c>
      <c r="K111" s="121">
        <v>0.04</v>
      </c>
      <c r="L111" s="118">
        <f>+K111/$K$112</f>
        <v>5.0000000000000002E-5</v>
      </c>
      <c r="M111" s="121">
        <v>0.04</v>
      </c>
      <c r="N111" s="118">
        <f>+M111/$M$112</f>
        <v>5.0000000000000002E-5</v>
      </c>
      <c r="O111" s="104">
        <f>+K111-M111</f>
        <v>0</v>
      </c>
      <c r="P111" s="118">
        <f>+L111-N111</f>
        <v>0</v>
      </c>
    </row>
    <row r="112" spans="2:16">
      <c r="B112" s="160" t="s">
        <v>19</v>
      </c>
      <c r="C112" s="113">
        <v>0</v>
      </c>
      <c r="D112" s="113">
        <v>0</v>
      </c>
      <c r="E112" s="113">
        <f t="shared" si="26"/>
        <v>0</v>
      </c>
      <c r="F112" s="113">
        <f t="shared" si="27"/>
        <v>0</v>
      </c>
      <c r="G112" s="113">
        <f t="shared" si="28"/>
        <v>0</v>
      </c>
      <c r="K112" s="104">
        <f>SUM(K110:K111)</f>
        <v>800</v>
      </c>
      <c r="L112" s="105"/>
      <c r="M112" s="104">
        <f>SUM(M110:M111)</f>
        <v>800</v>
      </c>
      <c r="N112" s="105"/>
      <c r="O112" s="104">
        <f>SUM(O110:O111)</f>
        <v>0</v>
      </c>
      <c r="P112" s="105"/>
    </row>
    <row r="113" spans="2:16">
      <c r="B113" s="160" t="s">
        <v>18</v>
      </c>
      <c r="C113" s="113">
        <v>340.17</v>
      </c>
      <c r="D113" s="113">
        <v>340.17</v>
      </c>
      <c r="E113" s="113">
        <f t="shared" si="26"/>
        <v>0</v>
      </c>
      <c r="F113" s="113">
        <f t="shared" si="27"/>
        <v>0</v>
      </c>
      <c r="G113" s="113">
        <f t="shared" si="28"/>
        <v>0</v>
      </c>
    </row>
    <row r="114" spans="2:16">
      <c r="B114" s="160" t="s">
        <v>20</v>
      </c>
      <c r="C114" s="113">
        <v>0</v>
      </c>
      <c r="D114" s="113">
        <v>0</v>
      </c>
      <c r="E114" s="113">
        <f t="shared" si="26"/>
        <v>0</v>
      </c>
      <c r="F114" s="113">
        <f t="shared" si="27"/>
        <v>0</v>
      </c>
      <c r="G114" s="113">
        <f t="shared" si="28"/>
        <v>0</v>
      </c>
    </row>
    <row r="115" spans="2:16">
      <c r="B115" s="160" t="s">
        <v>21</v>
      </c>
      <c r="C115" s="113">
        <v>0</v>
      </c>
      <c r="D115" s="113">
        <v>0</v>
      </c>
      <c r="E115" s="113">
        <f t="shared" si="26"/>
        <v>0</v>
      </c>
      <c r="F115" s="113">
        <f t="shared" si="27"/>
        <v>0</v>
      </c>
      <c r="G115" s="113">
        <f t="shared" si="28"/>
        <v>0</v>
      </c>
    </row>
    <row r="116" spans="2:16">
      <c r="B116" s="160" t="s">
        <v>43</v>
      </c>
      <c r="C116" s="184">
        <v>0</v>
      </c>
      <c r="D116" s="184">
        <v>0</v>
      </c>
      <c r="E116" s="184">
        <f t="shared" si="26"/>
        <v>0</v>
      </c>
      <c r="F116" s="113">
        <f t="shared" si="27"/>
        <v>0</v>
      </c>
      <c r="G116" s="113">
        <f t="shared" si="28"/>
        <v>0</v>
      </c>
      <c r="H116" s="185"/>
    </row>
    <row r="118" spans="2:16">
      <c r="B118" s="181" t="s">
        <v>258</v>
      </c>
      <c r="C118" s="180">
        <f>SUM(C109:C117)</f>
        <v>1140.17</v>
      </c>
      <c r="D118" s="180">
        <f>SUM(D109:D117)</f>
        <v>1140.17</v>
      </c>
      <c r="E118" s="180">
        <f>SUM(E109:E116)</f>
        <v>0</v>
      </c>
      <c r="F118" s="180"/>
      <c r="G118" s="180"/>
      <c r="H118" s="180"/>
    </row>
    <row r="119" spans="2:16">
      <c r="B119" s="186" t="s">
        <v>248</v>
      </c>
      <c r="C119" s="180">
        <f>+C118*$L$111</f>
        <v>5.7008500000000004E-2</v>
      </c>
      <c r="D119" s="180">
        <f>+D118*$L$111</f>
        <v>5.7008500000000004E-2</v>
      </c>
      <c r="E119" s="180">
        <f>+C119-D119</f>
        <v>0</v>
      </c>
    </row>
    <row r="120" spans="2:16">
      <c r="B120" s="186"/>
      <c r="C120" s="180"/>
      <c r="D120" s="180"/>
      <c r="E120" s="180"/>
    </row>
    <row r="121" spans="2:16">
      <c r="F121" s="180" t="s">
        <v>240</v>
      </c>
      <c r="G121" s="180" t="s">
        <v>241</v>
      </c>
    </row>
    <row r="122" spans="2:16">
      <c r="B122" s="181" t="s">
        <v>263</v>
      </c>
      <c r="C122" s="182" t="s">
        <v>404</v>
      </c>
      <c r="D122" s="182" t="s">
        <v>243</v>
      </c>
      <c r="E122" s="182" t="s">
        <v>245</v>
      </c>
      <c r="F122" s="183">
        <f>+L124</f>
        <v>0.92500000000000004</v>
      </c>
      <c r="G122" s="183">
        <f>+L125</f>
        <v>7.4999999999999997E-2</v>
      </c>
      <c r="H122" s="182"/>
    </row>
    <row r="123" spans="2:16">
      <c r="B123" s="160" t="s">
        <v>8</v>
      </c>
      <c r="C123" s="113">
        <v>800</v>
      </c>
      <c r="D123" s="113">
        <v>800</v>
      </c>
      <c r="E123" s="113">
        <f>+C123-D123</f>
        <v>0</v>
      </c>
      <c r="F123" s="113">
        <f>+E123*$F$122</f>
        <v>0</v>
      </c>
      <c r="G123" s="113">
        <f>+E123*$G$122</f>
        <v>0</v>
      </c>
      <c r="K123" s="604">
        <v>2017</v>
      </c>
      <c r="L123" s="604"/>
      <c r="M123" s="604">
        <v>2016</v>
      </c>
      <c r="N123" s="604"/>
      <c r="O123" s="604" t="s">
        <v>245</v>
      </c>
      <c r="P123" s="604"/>
    </row>
    <row r="124" spans="2:16">
      <c r="B124" s="160" t="s">
        <v>88</v>
      </c>
      <c r="C124" s="113">
        <f>'ESF - ERI'!AB49</f>
        <v>1833417</v>
      </c>
      <c r="D124" s="113">
        <v>0</v>
      </c>
      <c r="E124" s="113">
        <f t="shared" ref="E124:E130" si="29">+C124-D124</f>
        <v>1833417</v>
      </c>
      <c r="F124" s="113">
        <f t="shared" ref="F124:F130" si="30">+E124*$F$122</f>
        <v>1695910.7250000001</v>
      </c>
      <c r="G124" s="113">
        <f t="shared" ref="G124:G130" si="31">+E124*$G$122</f>
        <v>137506.27499999999</v>
      </c>
      <c r="J124" s="113" t="s">
        <v>50</v>
      </c>
      <c r="K124" s="104">
        <v>740</v>
      </c>
      <c r="L124" s="118">
        <f>+K124/$K$126</f>
        <v>0.92500000000000004</v>
      </c>
      <c r="M124" s="104">
        <v>740</v>
      </c>
      <c r="N124" s="118">
        <f>+M124/$M$126</f>
        <v>0.92500000000000004</v>
      </c>
      <c r="O124" s="104">
        <f>+K124-M124</f>
        <v>0</v>
      </c>
      <c r="P124" s="118">
        <f>+L124-N124</f>
        <v>0</v>
      </c>
    </row>
    <row r="125" spans="2:16">
      <c r="B125" s="160" t="s">
        <v>17</v>
      </c>
      <c r="C125" s="113">
        <v>0</v>
      </c>
      <c r="D125" s="113">
        <v>0</v>
      </c>
      <c r="E125" s="113">
        <f t="shared" si="29"/>
        <v>0</v>
      </c>
      <c r="F125" s="113">
        <f t="shared" si="30"/>
        <v>0</v>
      </c>
      <c r="G125" s="113">
        <f t="shared" si="31"/>
        <v>0</v>
      </c>
      <c r="J125" s="113" t="s">
        <v>52</v>
      </c>
      <c r="K125" s="121">
        <v>60</v>
      </c>
      <c r="L125" s="118">
        <f>+K125/$K$126</f>
        <v>7.4999999999999997E-2</v>
      </c>
      <c r="M125" s="121">
        <v>60</v>
      </c>
      <c r="N125" s="118">
        <f>+M125/$M$126</f>
        <v>7.4999999999999997E-2</v>
      </c>
      <c r="O125" s="104">
        <f>+K125-M125</f>
        <v>0</v>
      </c>
      <c r="P125" s="118">
        <f>+L125-N125</f>
        <v>0</v>
      </c>
    </row>
    <row r="126" spans="2:16">
      <c r="B126" s="160" t="s">
        <v>19</v>
      </c>
      <c r="C126" s="113">
        <v>0</v>
      </c>
      <c r="D126" s="113">
        <v>0</v>
      </c>
      <c r="E126" s="113">
        <f t="shared" si="29"/>
        <v>0</v>
      </c>
      <c r="F126" s="113">
        <f t="shared" si="30"/>
        <v>0</v>
      </c>
      <c r="G126" s="113">
        <f t="shared" si="31"/>
        <v>0</v>
      </c>
      <c r="K126" s="104">
        <f>SUM(K124:K125)</f>
        <v>800</v>
      </c>
      <c r="L126" s="105"/>
      <c r="M126" s="104">
        <f>SUM(M124:M125)</f>
        <v>800</v>
      </c>
      <c r="N126" s="105"/>
      <c r="O126" s="104">
        <f>SUM(O124:O125)</f>
        <v>0</v>
      </c>
      <c r="P126" s="105"/>
    </row>
    <row r="127" spans="2:16">
      <c r="B127" s="160" t="s">
        <v>18</v>
      </c>
      <c r="C127" s="113">
        <v>0</v>
      </c>
      <c r="D127" s="113">
        <v>0</v>
      </c>
      <c r="E127" s="113">
        <f t="shared" si="29"/>
        <v>0</v>
      </c>
      <c r="F127" s="113">
        <f t="shared" si="30"/>
        <v>0</v>
      </c>
      <c r="G127" s="113">
        <f t="shared" si="31"/>
        <v>0</v>
      </c>
    </row>
    <row r="128" spans="2:16">
      <c r="B128" s="160" t="s">
        <v>20</v>
      </c>
      <c r="C128" s="113">
        <v>0</v>
      </c>
      <c r="D128" s="113">
        <v>0</v>
      </c>
      <c r="E128" s="113">
        <f t="shared" si="29"/>
        <v>0</v>
      </c>
      <c r="F128" s="113">
        <f t="shared" si="30"/>
        <v>0</v>
      </c>
      <c r="G128" s="113">
        <f t="shared" si="31"/>
        <v>0</v>
      </c>
    </row>
    <row r="129" spans="2:14">
      <c r="B129" s="160" t="s">
        <v>21</v>
      </c>
      <c r="C129" s="113">
        <f>'ESF - ERI'!AB55</f>
        <v>-15422</v>
      </c>
      <c r="D129" s="113">
        <v>0</v>
      </c>
      <c r="E129" s="113">
        <f t="shared" si="29"/>
        <v>-15422</v>
      </c>
      <c r="F129" s="113">
        <f t="shared" si="30"/>
        <v>-14265.35</v>
      </c>
      <c r="G129" s="113">
        <f t="shared" si="31"/>
        <v>-1156.6499999999999</v>
      </c>
    </row>
    <row r="130" spans="2:14">
      <c r="B130" s="160" t="s">
        <v>43</v>
      </c>
      <c r="C130" s="184">
        <f>'ESF - ERI'!AB56</f>
        <v>-344143</v>
      </c>
      <c r="D130" s="184">
        <v>-15422</v>
      </c>
      <c r="E130" s="184">
        <f t="shared" si="29"/>
        <v>-328721</v>
      </c>
      <c r="F130" s="113">
        <f t="shared" si="30"/>
        <v>-304066.92499999999</v>
      </c>
      <c r="G130" s="113">
        <f t="shared" si="31"/>
        <v>-24654.075000000001</v>
      </c>
      <c r="H130" s="185"/>
    </row>
    <row r="132" spans="2:14">
      <c r="B132" s="181" t="s">
        <v>258</v>
      </c>
      <c r="C132" s="180">
        <f>SUM(C123:C131)</f>
        <v>1474652</v>
      </c>
      <c r="D132" s="180">
        <f>SUM(D123:D131)</f>
        <v>-14622</v>
      </c>
      <c r="E132" s="180">
        <f>SUM(E123:E130)</f>
        <v>1489274</v>
      </c>
      <c r="F132" s="180"/>
      <c r="G132" s="180"/>
      <c r="H132" s="180"/>
    </row>
    <row r="133" spans="2:14">
      <c r="B133" s="186" t="s">
        <v>248</v>
      </c>
      <c r="C133" s="180">
        <f>+C132*$L$125</f>
        <v>110598.9</v>
      </c>
      <c r="D133" s="180">
        <f>+D132*$L$125</f>
        <v>-1096.6499999999999</v>
      </c>
      <c r="E133" s="180">
        <f>+C133-D133</f>
        <v>111695.54999999999</v>
      </c>
    </row>
    <row r="134" spans="2:14">
      <c r="B134" s="186"/>
      <c r="C134" s="180"/>
      <c r="D134" s="180"/>
      <c r="E134" s="180"/>
    </row>
    <row r="139" spans="2:14">
      <c r="F139" s="180"/>
      <c r="G139" s="180"/>
    </row>
    <row r="140" spans="2:14">
      <c r="B140" s="181" t="s">
        <v>268</v>
      </c>
      <c r="C140" s="182" t="s">
        <v>404</v>
      </c>
      <c r="D140" s="182" t="s">
        <v>243</v>
      </c>
      <c r="E140" s="182" t="s">
        <v>245</v>
      </c>
      <c r="F140" s="183"/>
      <c r="G140" s="183"/>
      <c r="H140" s="182"/>
    </row>
    <row r="141" spans="2:14">
      <c r="B141" s="160" t="s">
        <v>8</v>
      </c>
      <c r="C141" s="113">
        <v>3661400</v>
      </c>
      <c r="D141" s="113">
        <v>3661400</v>
      </c>
      <c r="E141" s="113">
        <f>+C141-D141</f>
        <v>0</v>
      </c>
      <c r="K141" s="604">
        <v>2017</v>
      </c>
      <c r="L141" s="604"/>
      <c r="M141" s="604">
        <v>2016</v>
      </c>
      <c r="N141" s="604"/>
    </row>
    <row r="142" spans="2:14">
      <c r="B142" s="160" t="s">
        <v>88</v>
      </c>
      <c r="C142" s="113">
        <v>406800</v>
      </c>
      <c r="D142" s="113">
        <v>112799</v>
      </c>
      <c r="E142" s="113">
        <f t="shared" ref="E142:E148" si="32">+C142-D142</f>
        <v>294001</v>
      </c>
      <c r="F142" s="113" t="s">
        <v>347</v>
      </c>
      <c r="J142" s="113" t="s">
        <v>50</v>
      </c>
      <c r="K142" s="168">
        <v>3588172</v>
      </c>
      <c r="L142" s="118">
        <f>K142/K144</f>
        <v>0.98</v>
      </c>
      <c r="M142" s="168">
        <v>3588172</v>
      </c>
      <c r="N142" s="118">
        <f>M142/M144</f>
        <v>0.98</v>
      </c>
    </row>
    <row r="143" spans="2:14">
      <c r="B143" s="160" t="s">
        <v>17</v>
      </c>
      <c r="C143" s="113">
        <v>0</v>
      </c>
      <c r="D143" s="113">
        <v>0</v>
      </c>
      <c r="E143" s="113">
        <f t="shared" si="32"/>
        <v>0</v>
      </c>
      <c r="J143" s="113" t="s">
        <v>52</v>
      </c>
      <c r="K143" s="169">
        <f>3661400-K142</f>
        <v>73228</v>
      </c>
      <c r="L143" s="118">
        <f>K143/K144</f>
        <v>0.02</v>
      </c>
      <c r="M143" s="169">
        <f>3661400-M142</f>
        <v>73228</v>
      </c>
      <c r="N143" s="118">
        <f>M143/M144</f>
        <v>0.02</v>
      </c>
    </row>
    <row r="144" spans="2:14">
      <c r="B144" s="160" t="s">
        <v>19</v>
      </c>
      <c r="C144" s="113">
        <v>0</v>
      </c>
      <c r="D144" s="113">
        <v>0</v>
      </c>
      <c r="E144" s="113">
        <f t="shared" si="32"/>
        <v>0</v>
      </c>
      <c r="K144" s="168">
        <f>SUM(K142:K143)</f>
        <v>3661400</v>
      </c>
      <c r="L144" s="105"/>
      <c r="M144" s="168">
        <f>SUM(M142:M143)</f>
        <v>3661400</v>
      </c>
      <c r="N144" s="105"/>
    </row>
    <row r="145" spans="2:8">
      <c r="B145" s="160" t="s">
        <v>18</v>
      </c>
      <c r="C145" s="113">
        <v>274690</v>
      </c>
      <c r="D145" s="113">
        <v>0</v>
      </c>
      <c r="E145" s="113">
        <f t="shared" si="32"/>
        <v>274690</v>
      </c>
    </row>
    <row r="146" spans="2:8">
      <c r="B146" s="160" t="s">
        <v>20</v>
      </c>
      <c r="C146" s="113">
        <v>-56932</v>
      </c>
      <c r="D146" s="113">
        <v>-56932</v>
      </c>
      <c r="E146" s="113">
        <f t="shared" si="32"/>
        <v>0</v>
      </c>
    </row>
    <row r="147" spans="2:8">
      <c r="B147" s="160" t="s">
        <v>21</v>
      </c>
      <c r="C147" s="113">
        <v>-3886526</v>
      </c>
      <c r="D147" s="113">
        <v>-3026105</v>
      </c>
      <c r="E147" s="113">
        <f t="shared" si="32"/>
        <v>-860421</v>
      </c>
    </row>
    <row r="148" spans="2:8">
      <c r="B148" s="160" t="s">
        <v>43</v>
      </c>
      <c r="C148" s="184">
        <v>-502401</v>
      </c>
      <c r="D148" s="184">
        <v>-494302</v>
      </c>
      <c r="E148" s="184">
        <f t="shared" si="32"/>
        <v>-8099</v>
      </c>
      <c r="H148" s="185"/>
    </row>
    <row r="150" spans="2:8">
      <c r="B150" s="181" t="s">
        <v>258</v>
      </c>
      <c r="C150" s="180">
        <f>SUM(C141:C149)</f>
        <v>-102969</v>
      </c>
      <c r="D150" s="180">
        <f>SUM(D141:D149)</f>
        <v>196860</v>
      </c>
      <c r="E150" s="180">
        <f>SUM(E141:E148)</f>
        <v>-299829</v>
      </c>
      <c r="F150" s="180"/>
      <c r="G150" s="180"/>
      <c r="H150" s="180"/>
    </row>
    <row r="151" spans="2:8">
      <c r="B151" s="186"/>
      <c r="C151" s="180"/>
      <c r="D151" s="180"/>
      <c r="E151" s="180"/>
    </row>
    <row r="152" spans="2:8">
      <c r="B152" s="186"/>
      <c r="C152" s="180"/>
      <c r="D152" s="180"/>
      <c r="E152" s="180"/>
    </row>
    <row r="155" spans="2:8">
      <c r="C155" s="187" t="s">
        <v>269</v>
      </c>
      <c r="D155" s="113">
        <f>D150-D142</f>
        <v>84061</v>
      </c>
      <c r="E155" s="113" t="s">
        <v>275</v>
      </c>
    </row>
    <row r="157" spans="2:8">
      <c r="C157" s="187"/>
      <c r="D157" s="113">
        <f>'Diarios Var.Inversión -Patr (b)'!M9</f>
        <v>351500</v>
      </c>
      <c r="G157" s="113">
        <f>D155-D158</f>
        <v>82379.78</v>
      </c>
    </row>
    <row r="158" spans="2:8">
      <c r="C158" s="187" t="s">
        <v>270</v>
      </c>
      <c r="D158" s="184">
        <f>(D155*L143)</f>
        <v>1681.22</v>
      </c>
      <c r="G158" s="113">
        <f>D157-G157</f>
        <v>269120.21999999997</v>
      </c>
      <c r="H158" s="187"/>
    </row>
    <row r="159" spans="2:8">
      <c r="C159" s="187" t="s">
        <v>31</v>
      </c>
      <c r="D159" s="113">
        <f>SUM(D157:D158)</f>
        <v>353181.22</v>
      </c>
    </row>
    <row r="160" spans="2:8">
      <c r="C160" s="187" t="s">
        <v>271</v>
      </c>
      <c r="D160" s="184">
        <f>D155</f>
        <v>84061</v>
      </c>
    </row>
    <row r="161" spans="2:12">
      <c r="C161" s="113" t="s">
        <v>166</v>
      </c>
      <c r="D161" s="113">
        <f>D159-D160</f>
        <v>269120.21999999997</v>
      </c>
      <c r="E161" s="180" t="s">
        <v>157</v>
      </c>
      <c r="G161" s="160"/>
    </row>
    <row r="165" spans="2:12">
      <c r="B165" s="181" t="s">
        <v>296</v>
      </c>
      <c r="C165" s="182" t="s">
        <v>243</v>
      </c>
      <c r="D165" s="182" t="s">
        <v>244</v>
      </c>
      <c r="E165" s="182" t="s">
        <v>245</v>
      </c>
      <c r="F165" s="183"/>
      <c r="G165" s="183"/>
      <c r="H165" s="182"/>
    </row>
    <row r="166" spans="2:12">
      <c r="B166" s="160" t="s">
        <v>8</v>
      </c>
      <c r="C166" s="113">
        <v>10000</v>
      </c>
      <c r="D166" s="113">
        <v>10000</v>
      </c>
      <c r="E166" s="113">
        <f>+C166-D166</f>
        <v>0</v>
      </c>
      <c r="K166" s="604">
        <v>2016</v>
      </c>
      <c r="L166" s="604"/>
    </row>
    <row r="167" spans="2:12">
      <c r="B167" s="160" t="s">
        <v>88</v>
      </c>
      <c r="C167" s="113">
        <v>0</v>
      </c>
      <c r="D167" s="113">
        <v>0</v>
      </c>
      <c r="E167" s="113">
        <f t="shared" ref="E167:E173" si="33">+C167-D167</f>
        <v>0</v>
      </c>
      <c r="J167" s="113" t="s">
        <v>50</v>
      </c>
      <c r="K167" s="168">
        <v>10000</v>
      </c>
      <c r="L167" s="118">
        <f>K167/K169</f>
        <v>1</v>
      </c>
    </row>
    <row r="168" spans="2:12">
      <c r="B168" s="160" t="s">
        <v>17</v>
      </c>
      <c r="C168" s="113">
        <v>0</v>
      </c>
      <c r="D168" s="113">
        <v>0</v>
      </c>
      <c r="E168" s="113">
        <f t="shared" si="33"/>
        <v>0</v>
      </c>
      <c r="J168" s="113" t="s">
        <v>52</v>
      </c>
      <c r="K168" s="169">
        <v>0</v>
      </c>
      <c r="L168" s="118">
        <f>K168/K169</f>
        <v>0</v>
      </c>
    </row>
    <row r="169" spans="2:12">
      <c r="B169" s="160" t="s">
        <v>19</v>
      </c>
      <c r="C169" s="113">
        <v>0</v>
      </c>
      <c r="D169" s="113">
        <v>0</v>
      </c>
      <c r="E169" s="113">
        <f t="shared" si="33"/>
        <v>0</v>
      </c>
      <c r="K169" s="168">
        <v>10000</v>
      </c>
      <c r="L169" s="105"/>
    </row>
    <row r="170" spans="2:12">
      <c r="B170" s="160" t="s">
        <v>18</v>
      </c>
      <c r="C170" s="113">
        <v>0</v>
      </c>
      <c r="D170" s="113">
        <v>0</v>
      </c>
      <c r="E170" s="113">
        <f t="shared" si="33"/>
        <v>0</v>
      </c>
    </row>
    <row r="171" spans="2:12">
      <c r="B171" s="160" t="s">
        <v>20</v>
      </c>
      <c r="C171" s="113">
        <v>0</v>
      </c>
      <c r="D171" s="113">
        <v>0</v>
      </c>
      <c r="E171" s="113">
        <f t="shared" si="33"/>
        <v>0</v>
      </c>
    </row>
    <row r="172" spans="2:12">
      <c r="B172" s="160" t="s">
        <v>21</v>
      </c>
      <c r="C172" s="113">
        <f>'ESF - ERI'!AD55</f>
        <v>-144335</v>
      </c>
      <c r="D172" s="113">
        <v>0</v>
      </c>
      <c r="E172" s="113">
        <f t="shared" si="33"/>
        <v>-144335</v>
      </c>
    </row>
    <row r="173" spans="2:12">
      <c r="B173" s="160" t="s">
        <v>43</v>
      </c>
      <c r="C173" s="184">
        <f>'ESF - ERI'!AD56</f>
        <v>-395559</v>
      </c>
      <c r="D173" s="184">
        <v>-126652</v>
      </c>
      <c r="E173" s="184">
        <f t="shared" si="33"/>
        <v>-268907</v>
      </c>
      <c r="H173" s="185"/>
    </row>
    <row r="175" spans="2:12">
      <c r="B175" s="181" t="s">
        <v>258</v>
      </c>
      <c r="C175" s="180">
        <f>SUM(C166:C174)</f>
        <v>-529894</v>
      </c>
      <c r="D175" s="180">
        <f>SUM(D166:D174)</f>
        <v>-116652</v>
      </c>
      <c r="E175" s="180">
        <f>SUM(E166:E173)</f>
        <v>-413242</v>
      </c>
      <c r="F175" s="180"/>
      <c r="G175" s="180"/>
      <c r="H175" s="180"/>
    </row>
    <row r="184" spans="2:3">
      <c r="B184" s="181" t="s">
        <v>276</v>
      </c>
      <c r="C184" s="180">
        <f>+C14+C31++C45+C61+C77+C91+C105+C119+C133+D158</f>
        <v>10823134.721405786</v>
      </c>
    </row>
    <row r="185" spans="2:3">
      <c r="C185" s="113">
        <f>+C184-'ESF - ERI'!AI57</f>
        <v>2698254.1972417515</v>
      </c>
    </row>
  </sheetData>
  <mergeCells count="33">
    <mergeCell ref="K166:L166"/>
    <mergeCell ref="K141:L141"/>
    <mergeCell ref="K3:L3"/>
    <mergeCell ref="M3:N3"/>
    <mergeCell ref="O3:P3"/>
    <mergeCell ref="K8:L8"/>
    <mergeCell ref="M8:N8"/>
    <mergeCell ref="O8:P8"/>
    <mergeCell ref="K18:L18"/>
    <mergeCell ref="M18:N18"/>
    <mergeCell ref="O18:P18"/>
    <mergeCell ref="K35:L35"/>
    <mergeCell ref="M35:N35"/>
    <mergeCell ref="O35:P35"/>
    <mergeCell ref="K49:L49"/>
    <mergeCell ref="M49:N49"/>
    <mergeCell ref="O49:P49"/>
    <mergeCell ref="K65:L65"/>
    <mergeCell ref="M65:N65"/>
    <mergeCell ref="O65:P65"/>
    <mergeCell ref="K81:L81"/>
    <mergeCell ref="M81:N81"/>
    <mergeCell ref="O81:P81"/>
    <mergeCell ref="M141:N141"/>
    <mergeCell ref="K123:L123"/>
    <mergeCell ref="M123:N123"/>
    <mergeCell ref="O123:P123"/>
    <mergeCell ref="K95:L95"/>
    <mergeCell ref="M95:N95"/>
    <mergeCell ref="O95:P95"/>
    <mergeCell ref="K109:L109"/>
    <mergeCell ref="M109:N109"/>
    <mergeCell ref="O109:P10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3" sqref="D13"/>
    </sheetView>
  </sheetViews>
  <sheetFormatPr baseColWidth="10" defaultRowHeight="14.4"/>
  <cols>
    <col min="1" max="1" width="60" bestFit="1" customWidth="1"/>
    <col min="2" max="2" width="17.88671875" customWidth="1"/>
    <col min="3" max="3" width="14" customWidth="1"/>
    <col min="4" max="4" width="15.5546875" customWidth="1"/>
  </cols>
  <sheetData>
    <row r="1" spans="1:6">
      <c r="A1" s="20" t="s">
        <v>25</v>
      </c>
      <c r="B1" s="73" t="s">
        <v>45</v>
      </c>
      <c r="C1" s="74" t="s">
        <v>26</v>
      </c>
      <c r="D1" s="74" t="s">
        <v>27</v>
      </c>
    </row>
    <row r="2" spans="1:6">
      <c r="A2" s="29" t="s">
        <v>44</v>
      </c>
      <c r="B2" s="76" t="s">
        <v>172</v>
      </c>
      <c r="C2" s="381">
        <v>138600</v>
      </c>
      <c r="D2" s="77"/>
    </row>
    <row r="3" spans="1:6" s="96" customFormat="1">
      <c r="A3" s="30" t="s">
        <v>170</v>
      </c>
      <c r="B3" s="52" t="s">
        <v>172</v>
      </c>
      <c r="C3" s="141">
        <v>9477384</v>
      </c>
      <c r="D3" s="78"/>
    </row>
    <row r="4" spans="1:6">
      <c r="A4" s="30" t="s">
        <v>46</v>
      </c>
      <c r="B4" s="76" t="s">
        <v>172</v>
      </c>
      <c r="C4" s="141">
        <v>184560.05</v>
      </c>
      <c r="D4" s="78"/>
    </row>
    <row r="5" spans="1:6">
      <c r="A5" s="30" t="s">
        <v>47</v>
      </c>
      <c r="B5" s="76" t="s">
        <v>172</v>
      </c>
      <c r="C5" s="141">
        <v>1566.29</v>
      </c>
      <c r="D5" s="78"/>
    </row>
    <row r="6" spans="1:6">
      <c r="A6" s="30" t="s">
        <v>20</v>
      </c>
      <c r="B6" s="76" t="s">
        <v>172</v>
      </c>
      <c r="C6" s="141">
        <v>82150.45</v>
      </c>
      <c r="D6" s="78"/>
    </row>
    <row r="7" spans="1:6">
      <c r="A7" s="30" t="s">
        <v>48</v>
      </c>
      <c r="B7" s="76" t="s">
        <v>172</v>
      </c>
      <c r="C7" s="141">
        <v>957283.5199999999</v>
      </c>
      <c r="D7" s="78"/>
    </row>
    <row r="8" spans="1:6">
      <c r="A8" s="30" t="s">
        <v>166</v>
      </c>
      <c r="B8" s="76" t="s">
        <v>158</v>
      </c>
      <c r="C8" s="141">
        <v>394335.36694421433</v>
      </c>
      <c r="D8" s="78"/>
    </row>
    <row r="9" spans="1:6">
      <c r="A9" s="30" t="s">
        <v>209</v>
      </c>
      <c r="B9" s="76" t="s">
        <v>158</v>
      </c>
      <c r="C9" s="141">
        <v>828548.36364874605</v>
      </c>
      <c r="D9" s="78"/>
    </row>
    <row r="10" spans="1:6">
      <c r="A10" s="108" t="s">
        <v>210</v>
      </c>
      <c r="B10" s="52" t="s">
        <v>158</v>
      </c>
      <c r="C10" s="141">
        <v>881973.00000000559</v>
      </c>
      <c r="D10" s="78"/>
    </row>
    <row r="11" spans="1:6">
      <c r="A11" s="31" t="s">
        <v>209</v>
      </c>
      <c r="B11" s="76" t="s">
        <v>172</v>
      </c>
      <c r="C11" s="78"/>
      <c r="D11" s="141">
        <v>1044878.7099375</v>
      </c>
    </row>
    <row r="12" spans="1:6">
      <c r="A12" s="30" t="s">
        <v>173</v>
      </c>
      <c r="B12" s="76" t="s">
        <v>151</v>
      </c>
      <c r="C12" s="78"/>
      <c r="D12" s="141">
        <v>2544003.2599999998</v>
      </c>
    </row>
    <row r="13" spans="1:6">
      <c r="A13" s="34" t="s">
        <v>28</v>
      </c>
      <c r="B13" s="79" t="s">
        <v>158</v>
      </c>
      <c r="C13" s="80"/>
      <c r="D13" s="382">
        <v>9357519.0706554651</v>
      </c>
      <c r="F13" s="89"/>
    </row>
    <row r="14" spans="1:6">
      <c r="A14" s="27"/>
      <c r="B14" s="72"/>
      <c r="C14" s="51"/>
      <c r="D14" s="51"/>
      <c r="F14" s="89"/>
    </row>
    <row r="15" spans="1:6">
      <c r="A15" s="27"/>
      <c r="B15" s="72"/>
      <c r="C15" s="58">
        <v>12946401.040592965</v>
      </c>
      <c r="D15" s="58">
        <v>12946401.040592965</v>
      </c>
      <c r="F15" s="89">
        <f>C15+'Diarios Var.Inversión -Patr (b)'!D168+'Diarios Cxc Cxp relac (c)'!D38+'Ventas-Compras (d)'!D26</f>
        <v>70321542.087764025</v>
      </c>
    </row>
    <row r="17" spans="3:3">
      <c r="C17" s="8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"/>
  <sheetViews>
    <sheetView topLeftCell="A148" zoomScale="80" zoomScaleNormal="80" workbookViewId="0">
      <selection activeCell="D157" sqref="D157"/>
    </sheetView>
  </sheetViews>
  <sheetFormatPr baseColWidth="10" defaultColWidth="11.44140625" defaultRowHeight="13.8"/>
  <cols>
    <col min="1" max="1" width="32.109375" style="144" customWidth="1"/>
    <col min="2" max="2" width="17.88671875" style="144" customWidth="1"/>
    <col min="3" max="3" width="15.33203125" style="145" customWidth="1"/>
    <col min="4" max="5" width="15.88671875" style="145" customWidth="1"/>
    <col min="6" max="6" width="14.33203125" style="145" bestFit="1" customWidth="1"/>
    <col min="7" max="7" width="14.44140625" style="145" customWidth="1"/>
    <col min="8" max="8" width="16.44140625" style="145" customWidth="1"/>
    <col min="9" max="9" width="15.6640625" style="145" customWidth="1"/>
    <col min="10" max="10" width="15.5546875" style="145" bestFit="1" customWidth="1"/>
    <col min="11" max="11" width="15.44140625" style="145" customWidth="1"/>
    <col min="12" max="12" width="17.33203125" style="145" customWidth="1"/>
    <col min="13" max="14" width="15.44140625" style="145" customWidth="1"/>
    <col min="15" max="15" width="11.44140625" style="144"/>
    <col min="16" max="16" width="17.33203125" style="144" customWidth="1"/>
    <col min="17" max="17" width="14.33203125" style="144" customWidth="1"/>
    <col min="18" max="16384" width="11.44140625" style="144"/>
  </cols>
  <sheetData>
    <row r="1" spans="1:14">
      <c r="A1" s="1" t="s">
        <v>49</v>
      </c>
      <c r="B1" s="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A2" s="1" t="s">
        <v>37</v>
      </c>
      <c r="B2" s="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>
      <c r="A3" s="1" t="s">
        <v>405</v>
      </c>
      <c r="B3" s="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>
      <c r="A4" s="2"/>
      <c r="B4" s="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</row>
    <row r="5" spans="1:14">
      <c r="A5" s="26" t="s">
        <v>174</v>
      </c>
      <c r="B5" s="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>
      <c r="A6" s="27" t="s">
        <v>3</v>
      </c>
      <c r="B6" s="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ht="15" customHeight="1">
      <c r="B7" s="27"/>
      <c r="C7" s="615" t="s">
        <v>182</v>
      </c>
      <c r="D7" s="615" t="s">
        <v>142</v>
      </c>
      <c r="E7" s="616" t="s">
        <v>143</v>
      </c>
      <c r="F7" s="616" t="s">
        <v>144</v>
      </c>
      <c r="G7" s="616" t="s">
        <v>145</v>
      </c>
      <c r="H7" s="616" t="s">
        <v>146</v>
      </c>
      <c r="I7" s="615" t="s">
        <v>105</v>
      </c>
      <c r="J7" s="616" t="s">
        <v>147</v>
      </c>
      <c r="K7" s="616" t="s">
        <v>148</v>
      </c>
      <c r="L7" s="615" t="s">
        <v>220</v>
      </c>
      <c r="M7" s="616" t="s">
        <v>218</v>
      </c>
      <c r="N7" s="72"/>
    </row>
    <row r="8" spans="1:14">
      <c r="A8" s="27"/>
      <c r="B8" s="27"/>
      <c r="C8" s="615"/>
      <c r="D8" s="615"/>
      <c r="E8" s="616"/>
      <c r="F8" s="616"/>
      <c r="G8" s="616"/>
      <c r="H8" s="616"/>
      <c r="I8" s="615"/>
      <c r="J8" s="616"/>
      <c r="K8" s="616"/>
      <c r="L8" s="615"/>
      <c r="M8" s="616"/>
      <c r="N8" s="81" t="s">
        <v>15</v>
      </c>
    </row>
    <row r="9" spans="1:14">
      <c r="A9" s="27" t="s">
        <v>32</v>
      </c>
      <c r="B9" s="27"/>
      <c r="C9" s="51">
        <v>3751.2600000000093</v>
      </c>
      <c r="D9" s="51">
        <v>104950</v>
      </c>
      <c r="E9" s="284">
        <v>943459</v>
      </c>
      <c r="F9" s="284">
        <v>98825</v>
      </c>
      <c r="G9" s="51">
        <v>132050</v>
      </c>
      <c r="H9" s="284">
        <v>140052</v>
      </c>
      <c r="I9" s="51">
        <v>6000</v>
      </c>
      <c r="J9" s="51">
        <v>1114176</v>
      </c>
      <c r="K9" s="51">
        <v>740</v>
      </c>
      <c r="L9" s="51">
        <v>0</v>
      </c>
      <c r="M9" s="51">
        <v>351500</v>
      </c>
      <c r="N9" s="51">
        <f>SUM(C9:M9)</f>
        <v>2895503.26</v>
      </c>
    </row>
    <row r="10" spans="1:14">
      <c r="A10" s="27" t="s">
        <v>170</v>
      </c>
      <c r="B10" s="27"/>
      <c r="C10" s="189">
        <v>437365.73999999801</v>
      </c>
      <c r="D10" s="51">
        <v>646013</v>
      </c>
      <c r="E10" s="51">
        <v>0</v>
      </c>
      <c r="F10" s="284">
        <v>49015</v>
      </c>
      <c r="G10" s="51">
        <v>330450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f>SUM(C10:M10)</f>
        <v>1462843.7399999979</v>
      </c>
    </row>
    <row r="11" spans="1:14" ht="14.4" thickBot="1">
      <c r="A11" s="27" t="s">
        <v>221</v>
      </c>
      <c r="B11" s="27"/>
      <c r="C11" s="59">
        <v>0</v>
      </c>
      <c r="D11" s="59">
        <v>614400.02</v>
      </c>
      <c r="E11" s="59">
        <v>0</v>
      </c>
      <c r="F11" s="59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>
        <v>0</v>
      </c>
      <c r="M11" s="59">
        <v>0</v>
      </c>
      <c r="N11" s="59">
        <f>SUM(C11:M11)</f>
        <v>614400.02</v>
      </c>
    </row>
    <row r="12" spans="1:14" ht="14.4" thickTop="1">
      <c r="A12" s="26" t="s">
        <v>38</v>
      </c>
      <c r="B12" s="27"/>
      <c r="C12" s="58">
        <f t="shared" ref="C12:N12" si="0">SUM(C9:C11)</f>
        <v>441116.99999999802</v>
      </c>
      <c r="D12" s="58">
        <f t="shared" si="0"/>
        <v>1365363.02</v>
      </c>
      <c r="E12" s="58">
        <f t="shared" si="0"/>
        <v>943459</v>
      </c>
      <c r="F12" s="58">
        <f t="shared" si="0"/>
        <v>147840</v>
      </c>
      <c r="G12" s="58">
        <f t="shared" si="0"/>
        <v>462500</v>
      </c>
      <c r="H12" s="58">
        <f t="shared" si="0"/>
        <v>140052</v>
      </c>
      <c r="I12" s="58">
        <f t="shared" si="0"/>
        <v>6000</v>
      </c>
      <c r="J12" s="58">
        <f t="shared" si="0"/>
        <v>1114176</v>
      </c>
      <c r="K12" s="58">
        <f t="shared" si="0"/>
        <v>740</v>
      </c>
      <c r="L12" s="58">
        <f t="shared" si="0"/>
        <v>0</v>
      </c>
      <c r="M12" s="58">
        <f t="shared" si="0"/>
        <v>351500</v>
      </c>
      <c r="N12" s="58">
        <f t="shared" si="0"/>
        <v>4972747.0199999977</v>
      </c>
    </row>
    <row r="13" spans="1:14">
      <c r="A13" s="144" t="s">
        <v>222</v>
      </c>
      <c r="C13" s="145">
        <v>0</v>
      </c>
      <c r="D13" s="145">
        <v>385600</v>
      </c>
      <c r="E13" s="145">
        <v>0</v>
      </c>
      <c r="F13" s="145">
        <v>0</v>
      </c>
      <c r="G13" s="145">
        <v>0</v>
      </c>
      <c r="H13" s="145">
        <v>0</v>
      </c>
      <c r="I13" s="145">
        <v>0</v>
      </c>
      <c r="J13" s="145">
        <v>0</v>
      </c>
      <c r="K13" s="145">
        <v>0</v>
      </c>
      <c r="L13" s="145">
        <v>10000</v>
      </c>
      <c r="M13" s="145">
        <v>0</v>
      </c>
      <c r="N13" s="51">
        <f t="shared" ref="N13:N21" si="1">SUM(C13:M13)</f>
        <v>395600</v>
      </c>
    </row>
    <row r="14" spans="1:14" hidden="1">
      <c r="A14" s="144" t="s">
        <v>223</v>
      </c>
      <c r="C14" s="145">
        <v>0</v>
      </c>
      <c r="D14" s="145">
        <v>0</v>
      </c>
      <c r="E14" s="145">
        <v>0</v>
      </c>
      <c r="F14" s="145">
        <v>0</v>
      </c>
      <c r="G14" s="145">
        <v>0</v>
      </c>
      <c r="H14" s="145">
        <v>0</v>
      </c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51">
        <f t="shared" si="1"/>
        <v>0</v>
      </c>
    </row>
    <row r="15" spans="1:14" hidden="1">
      <c r="A15" s="144" t="s">
        <v>224</v>
      </c>
      <c r="C15" s="113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51">
        <f t="shared" si="1"/>
        <v>0</v>
      </c>
    </row>
    <row r="16" spans="1:14" ht="14.4" thickBot="1">
      <c r="A16" s="144" t="s">
        <v>225</v>
      </c>
      <c r="C16" s="146">
        <f>37026376.97-4641917.94</f>
        <v>32384459.029999997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  <c r="I16" s="146">
        <v>0</v>
      </c>
      <c r="J16" s="146">
        <v>0</v>
      </c>
      <c r="K16" s="179">
        <v>0</v>
      </c>
      <c r="L16" s="146">
        <v>0</v>
      </c>
      <c r="M16" s="146">
        <v>0</v>
      </c>
      <c r="N16" s="59">
        <f t="shared" si="1"/>
        <v>32384459.029999997</v>
      </c>
    </row>
    <row r="17" spans="1:17" ht="14.4" thickTop="1">
      <c r="A17" s="26" t="s">
        <v>226</v>
      </c>
      <c r="B17" s="27"/>
      <c r="C17" s="58">
        <f>SUM(C12:C16)</f>
        <v>32825576.029999994</v>
      </c>
      <c r="D17" s="58">
        <f t="shared" ref="D17:N17" si="2">SUM(D12:D16)</f>
        <v>1750963.02</v>
      </c>
      <c r="E17" s="58">
        <f t="shared" si="2"/>
        <v>943459</v>
      </c>
      <c r="F17" s="58">
        <f t="shared" si="2"/>
        <v>147840</v>
      </c>
      <c r="G17" s="58">
        <f t="shared" si="2"/>
        <v>462500</v>
      </c>
      <c r="H17" s="58">
        <f t="shared" si="2"/>
        <v>140052</v>
      </c>
      <c r="I17" s="58">
        <f t="shared" si="2"/>
        <v>6000</v>
      </c>
      <c r="J17" s="58">
        <f t="shared" si="2"/>
        <v>1114176</v>
      </c>
      <c r="K17" s="58">
        <f t="shared" si="2"/>
        <v>740</v>
      </c>
      <c r="L17" s="58">
        <f t="shared" si="2"/>
        <v>10000</v>
      </c>
      <c r="M17" s="58">
        <f t="shared" si="2"/>
        <v>351500</v>
      </c>
      <c r="N17" s="58">
        <f t="shared" si="2"/>
        <v>37752806.049999997</v>
      </c>
      <c r="P17" s="166">
        <f>'ESF - ERI'!S22</f>
        <v>44513438</v>
      </c>
      <c r="Q17" s="158">
        <f>N21-P17</f>
        <v>-5678413</v>
      </c>
    </row>
    <row r="18" spans="1:17">
      <c r="A18" s="144" t="s">
        <v>409</v>
      </c>
      <c r="B18" s="27"/>
      <c r="C18" s="331"/>
      <c r="D18" s="331">
        <v>231300</v>
      </c>
      <c r="E18" s="331"/>
      <c r="F18" s="331"/>
      <c r="G18" s="331"/>
      <c r="H18" s="331"/>
      <c r="I18" s="331"/>
      <c r="J18" s="331"/>
      <c r="K18" s="331">
        <v>1833418</v>
      </c>
      <c r="L18" s="331"/>
      <c r="M18" s="331">
        <v>292500</v>
      </c>
      <c r="N18" s="55">
        <f>SUM(C18:M18)</f>
        <v>2357218</v>
      </c>
      <c r="P18" s="166"/>
      <c r="Q18" s="158"/>
    </row>
    <row r="19" spans="1:17" ht="14.4" thickBot="1">
      <c r="A19" s="26" t="s">
        <v>407</v>
      </c>
      <c r="B19" s="27"/>
      <c r="C19" s="330">
        <v>-1275000</v>
      </c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59">
        <f>SUM(C19:M19)</f>
        <v>-1275000</v>
      </c>
      <c r="P19" s="166"/>
      <c r="Q19" s="158"/>
    </row>
    <row r="20" spans="1:17" ht="14.4" thickTop="1">
      <c r="A20" s="26" t="s">
        <v>408</v>
      </c>
      <c r="B20" s="27"/>
      <c r="C20" s="58">
        <f>C17+C19</f>
        <v>31550576.029999994</v>
      </c>
      <c r="D20" s="58">
        <f t="shared" ref="D20:M20" si="3">D17+D18</f>
        <v>1982263.02</v>
      </c>
      <c r="E20" s="58">
        <f t="shared" si="3"/>
        <v>943459</v>
      </c>
      <c r="F20" s="58">
        <f t="shared" si="3"/>
        <v>147840</v>
      </c>
      <c r="G20" s="58">
        <f t="shared" si="3"/>
        <v>462500</v>
      </c>
      <c r="H20" s="58">
        <f t="shared" si="3"/>
        <v>140052</v>
      </c>
      <c r="I20" s="58">
        <f t="shared" si="3"/>
        <v>6000</v>
      </c>
      <c r="J20" s="58">
        <f t="shared" si="3"/>
        <v>1114176</v>
      </c>
      <c r="K20" s="58">
        <f t="shared" si="3"/>
        <v>1834158</v>
      </c>
      <c r="L20" s="58">
        <f t="shared" si="3"/>
        <v>10000</v>
      </c>
      <c r="M20" s="58">
        <f t="shared" si="3"/>
        <v>644000</v>
      </c>
      <c r="N20" s="51">
        <f>SUM(C20:M20)</f>
        <v>38835024.049999997</v>
      </c>
      <c r="P20" s="166"/>
      <c r="Q20" s="158"/>
    </row>
    <row r="21" spans="1:17">
      <c r="A21" s="27"/>
      <c r="B21" s="88" t="s">
        <v>406</v>
      </c>
      <c r="C21" s="51">
        <v>31550577</v>
      </c>
      <c r="D21" s="51">
        <v>1982263</v>
      </c>
      <c r="E21" s="51">
        <v>943459</v>
      </c>
      <c r="F21" s="51">
        <v>147840</v>
      </c>
      <c r="G21" s="51">
        <v>462500</v>
      </c>
      <c r="H21" s="51">
        <v>140052</v>
      </c>
      <c r="I21" s="51">
        <v>6000</v>
      </c>
      <c r="J21" s="51">
        <v>1114176</v>
      </c>
      <c r="K21" s="51">
        <v>1834158</v>
      </c>
      <c r="L21" s="51">
        <v>10000</v>
      </c>
      <c r="M21" s="51">
        <v>644000</v>
      </c>
      <c r="N21" s="51">
        <f t="shared" si="1"/>
        <v>38835025</v>
      </c>
    </row>
    <row r="22" spans="1:17">
      <c r="A22" s="1"/>
      <c r="B22" s="26"/>
      <c r="C22" s="58">
        <f t="shared" ref="C22:N22" si="4">+C21-C20</f>
        <v>0.9700000062584877</v>
      </c>
      <c r="D22" s="58">
        <f t="shared" si="4"/>
        <v>-2.0000000018626451E-2</v>
      </c>
      <c r="E22" s="58">
        <f t="shared" si="4"/>
        <v>0</v>
      </c>
      <c r="F22" s="58">
        <f t="shared" si="4"/>
        <v>0</v>
      </c>
      <c r="G22" s="58">
        <f t="shared" si="4"/>
        <v>0</v>
      </c>
      <c r="H22" s="58">
        <f t="shared" si="4"/>
        <v>0</v>
      </c>
      <c r="I22" s="58">
        <f t="shared" si="4"/>
        <v>0</v>
      </c>
      <c r="J22" s="58">
        <f t="shared" si="4"/>
        <v>0</v>
      </c>
      <c r="K22" s="58">
        <f t="shared" si="4"/>
        <v>0</v>
      </c>
      <c r="L22" s="58">
        <f t="shared" si="4"/>
        <v>0</v>
      </c>
      <c r="M22" s="58">
        <f t="shared" si="4"/>
        <v>0</v>
      </c>
      <c r="N22" s="58">
        <f t="shared" si="4"/>
        <v>0.95000000298023224</v>
      </c>
      <c r="Q22" s="166">
        <f>'ESF - ERI'!AI22-100</f>
        <v>8828651.0000000075</v>
      </c>
    </row>
    <row r="23" spans="1:17">
      <c r="Q23" s="172">
        <f>E144</f>
        <v>438331.95</v>
      </c>
    </row>
    <row r="24" spans="1:17">
      <c r="Q24" s="158">
        <f>Q17+Q22</f>
        <v>3150238.0000000075</v>
      </c>
    </row>
    <row r="25" spans="1:17">
      <c r="A25" s="144" t="s">
        <v>227</v>
      </c>
      <c r="C25" s="145">
        <f>C16</f>
        <v>32384459.029999997</v>
      </c>
      <c r="D25" s="145">
        <f>+D11+D13+D10</f>
        <v>1646013.02</v>
      </c>
      <c r="F25" s="145">
        <f>+F10</f>
        <v>49015</v>
      </c>
      <c r="G25" s="145">
        <f>+G10</f>
        <v>330450</v>
      </c>
    </row>
    <row r="26" spans="1:17">
      <c r="A26" s="144" t="s">
        <v>228</v>
      </c>
      <c r="C26" s="184">
        <v>32414459</v>
      </c>
      <c r="D26" s="147">
        <f>+[2]VariaciónPatrimonios!C18</f>
        <v>646013</v>
      </c>
      <c r="F26" s="147">
        <f>+[2]VariaciónPatrimonios!C49</f>
        <v>49015</v>
      </c>
      <c r="G26" s="147">
        <f>+[2]VariaciónPatrimonios!C65</f>
        <v>330450</v>
      </c>
      <c r="P26" s="149"/>
      <c r="Q26" s="158">
        <f>Q23+Q24</f>
        <v>3588569.9500000076</v>
      </c>
    </row>
    <row r="27" spans="1:17">
      <c r="B27" s="158"/>
      <c r="C27" s="145">
        <f>+C25-C26</f>
        <v>-29999.970000002533</v>
      </c>
      <c r="D27" s="145">
        <f>+D25-D26</f>
        <v>1000000.02</v>
      </c>
      <c r="E27" s="148" t="s">
        <v>229</v>
      </c>
      <c r="F27" s="145">
        <f>+F25-F26</f>
        <v>0</v>
      </c>
      <c r="G27" s="145">
        <f>+G25-G26</f>
        <v>0</v>
      </c>
    </row>
    <row r="28" spans="1:17">
      <c r="A28" s="160"/>
      <c r="B28" s="160"/>
      <c r="C28" s="113"/>
      <c r="D28" s="113"/>
      <c r="E28" s="113"/>
      <c r="F28" s="113"/>
      <c r="J28" s="159"/>
      <c r="L28" s="145">
        <v>37026376.969999999</v>
      </c>
    </row>
    <row r="29" spans="1:17">
      <c r="A29" s="160"/>
      <c r="B29" s="160"/>
      <c r="C29" s="113"/>
      <c r="D29" s="113"/>
      <c r="E29" s="113"/>
      <c r="F29" s="113"/>
      <c r="K29" s="156"/>
      <c r="L29" s="156"/>
    </row>
    <row r="30" spans="1:17">
      <c r="A30" s="605" t="s">
        <v>25</v>
      </c>
      <c r="B30" s="606"/>
      <c r="C30" s="365" t="s">
        <v>45</v>
      </c>
      <c r="D30" s="21" t="s">
        <v>26</v>
      </c>
      <c r="E30" s="22" t="s">
        <v>27</v>
      </c>
      <c r="F30" s="113"/>
    </row>
    <row r="31" spans="1:17">
      <c r="A31" s="611" t="s">
        <v>171</v>
      </c>
      <c r="B31" s="612"/>
      <c r="C31" s="52" t="s">
        <v>172</v>
      </c>
      <c r="D31" s="143">
        <f>+N10-D32</f>
        <v>1055478</v>
      </c>
      <c r="E31" s="24"/>
      <c r="F31" s="113"/>
    </row>
    <row r="32" spans="1:17">
      <c r="A32" s="151" t="s">
        <v>157</v>
      </c>
      <c r="B32" s="152"/>
      <c r="C32" s="52"/>
      <c r="D32" s="336">
        <f>C10-30000</f>
        <v>407365.73999999801</v>
      </c>
      <c r="E32" s="154"/>
      <c r="F32" s="113"/>
    </row>
    <row r="33" spans="1:14">
      <c r="A33" s="609" t="s">
        <v>173</v>
      </c>
      <c r="B33" s="610"/>
      <c r="C33" s="57" t="s">
        <v>151</v>
      </c>
      <c r="D33" s="25"/>
      <c r="E33" s="337">
        <f>D31+D32</f>
        <v>1462843.7399999979</v>
      </c>
      <c r="F33" s="113"/>
    </row>
    <row r="34" spans="1:14" ht="7.5" customHeight="1">
      <c r="A34" s="27"/>
      <c r="B34" s="160"/>
      <c r="C34" s="51"/>
      <c r="D34" s="27"/>
      <c r="E34" s="27"/>
      <c r="F34" s="113"/>
    </row>
    <row r="35" spans="1:14">
      <c r="A35" s="27"/>
      <c r="B35" s="160"/>
      <c r="C35" s="51"/>
      <c r="D35" s="35">
        <f>SUM(D31:D34)</f>
        <v>1462843.7399999979</v>
      </c>
      <c r="E35" s="35">
        <f>SUM(E31:E34)</f>
        <v>1462843.7399999979</v>
      </c>
      <c r="F35" s="113"/>
    </row>
    <row r="36" spans="1:14">
      <c r="A36" s="160"/>
      <c r="B36" s="160"/>
      <c r="C36" s="113"/>
      <c r="D36" s="113"/>
      <c r="E36" s="113"/>
      <c r="F36" s="113"/>
    </row>
    <row r="37" spans="1:14">
      <c r="A37" s="605" t="s">
        <v>25</v>
      </c>
      <c r="B37" s="606"/>
      <c r="C37" s="365" t="s">
        <v>45</v>
      </c>
      <c r="D37" s="21" t="s">
        <v>26</v>
      </c>
      <c r="E37" s="22" t="s">
        <v>27</v>
      </c>
      <c r="F37" s="113"/>
    </row>
    <row r="38" spans="1:14">
      <c r="A38" s="611" t="s">
        <v>193</v>
      </c>
      <c r="B38" s="612"/>
      <c r="C38" s="52" t="s">
        <v>230</v>
      </c>
      <c r="D38" s="143">
        <f>+D13+D11+L13</f>
        <v>1010000.02</v>
      </c>
      <c r="E38" s="24"/>
      <c r="F38" s="113"/>
    </row>
    <row r="39" spans="1:14">
      <c r="A39" s="609" t="s">
        <v>173</v>
      </c>
      <c r="B39" s="610"/>
      <c r="C39" s="57" t="s">
        <v>151</v>
      </c>
      <c r="D39" s="25"/>
      <c r="E39" s="337">
        <f>+D38</f>
        <v>1010000.02</v>
      </c>
      <c r="F39" s="113"/>
    </row>
    <row r="40" spans="1:14" ht="4.5" customHeight="1">
      <c r="A40" s="27"/>
      <c r="B40" s="160"/>
      <c r="C40" s="51"/>
      <c r="D40" s="27"/>
      <c r="E40" s="27"/>
      <c r="F40" s="113"/>
    </row>
    <row r="41" spans="1:14">
      <c r="A41" s="27"/>
      <c r="B41" s="160"/>
      <c r="C41" s="51"/>
      <c r="D41" s="35">
        <f>SUM(D38:D40)</f>
        <v>1010000.02</v>
      </c>
      <c r="E41" s="35">
        <f>SUM(E38:E40)</f>
        <v>1010000.02</v>
      </c>
      <c r="F41" s="113"/>
    </row>
    <row r="42" spans="1:14">
      <c r="A42" s="27"/>
      <c r="B42" s="160"/>
      <c r="C42" s="51"/>
      <c r="D42" s="35"/>
      <c r="E42" s="35"/>
      <c r="F42" s="113"/>
    </row>
    <row r="43" spans="1:14">
      <c r="A43" s="27"/>
      <c r="B43" s="160"/>
      <c r="C43" s="51"/>
      <c r="D43" s="35"/>
      <c r="E43" s="35"/>
      <c r="F43" s="113"/>
    </row>
    <row r="44" spans="1:14">
      <c r="A44" s="605" t="s">
        <v>25</v>
      </c>
      <c r="B44" s="606"/>
      <c r="C44" s="365" t="s">
        <v>45</v>
      </c>
      <c r="D44" s="21" t="s">
        <v>26</v>
      </c>
      <c r="E44" s="22" t="s">
        <v>27</v>
      </c>
      <c r="F44" s="113"/>
    </row>
    <row r="45" spans="1:14">
      <c r="A45" s="366" t="s">
        <v>7</v>
      </c>
      <c r="B45" s="367"/>
      <c r="C45" s="54" t="s">
        <v>232</v>
      </c>
      <c r="D45" s="143">
        <f>865104+5397853</f>
        <v>6262957</v>
      </c>
      <c r="E45" s="24"/>
      <c r="F45" s="113"/>
    </row>
    <row r="46" spans="1:14">
      <c r="A46" s="368" t="s">
        <v>157</v>
      </c>
      <c r="B46" s="369"/>
      <c r="C46" s="52" t="s">
        <v>232</v>
      </c>
      <c r="D46" s="336">
        <v>0</v>
      </c>
      <c r="E46" s="154"/>
      <c r="F46" s="113"/>
    </row>
    <row r="47" spans="1:14" s="160" customFormat="1" ht="17.25" customHeight="1">
      <c r="A47" s="363" t="s">
        <v>74</v>
      </c>
      <c r="B47" s="370"/>
      <c r="C47" s="57" t="s">
        <v>151</v>
      </c>
      <c r="D47" s="25"/>
      <c r="E47" s="337">
        <f>D45</f>
        <v>6262957</v>
      </c>
      <c r="F47" s="113"/>
      <c r="G47" s="113"/>
      <c r="H47" s="113"/>
      <c r="I47" s="113"/>
      <c r="J47" s="113"/>
      <c r="K47" s="113"/>
      <c r="L47" s="113"/>
      <c r="M47" s="113"/>
      <c r="N47" s="113"/>
    </row>
    <row r="48" spans="1:14">
      <c r="A48" s="609" t="s">
        <v>173</v>
      </c>
      <c r="B48" s="610"/>
      <c r="C48" s="57" t="s">
        <v>151</v>
      </c>
      <c r="D48" s="25"/>
      <c r="E48" s="25">
        <f>D46</f>
        <v>0</v>
      </c>
      <c r="F48" s="113"/>
    </row>
    <row r="49" spans="1:11">
      <c r="A49" s="27"/>
      <c r="B49" s="160"/>
      <c r="C49" s="51"/>
      <c r="D49" s="27"/>
      <c r="E49" s="27"/>
      <c r="F49" s="113"/>
    </row>
    <row r="50" spans="1:11">
      <c r="A50" s="27"/>
      <c r="B50" s="160"/>
      <c r="C50" s="51"/>
      <c r="D50" s="35">
        <f>SUM(D45:D49)</f>
        <v>6262957</v>
      </c>
      <c r="E50" s="35">
        <f>SUM(E45:E49)</f>
        <v>6262957</v>
      </c>
      <c r="F50" s="113"/>
    </row>
    <row r="51" spans="1:11">
      <c r="A51" s="27"/>
      <c r="B51" s="160"/>
      <c r="C51" s="51"/>
      <c r="D51" s="35"/>
      <c r="E51" s="35"/>
      <c r="F51" s="113"/>
    </row>
    <row r="52" spans="1:11">
      <c r="A52" s="27"/>
      <c r="B52" s="160"/>
      <c r="C52" s="51"/>
      <c r="D52" s="35"/>
      <c r="E52" s="35"/>
      <c r="F52" s="113"/>
    </row>
    <row r="53" spans="1:11">
      <c r="A53" s="27"/>
      <c r="B53" s="160"/>
      <c r="C53" s="51"/>
      <c r="D53" s="35"/>
      <c r="E53" s="35"/>
      <c r="F53" s="113"/>
    </row>
    <row r="54" spans="1:11">
      <c r="A54" s="605" t="s">
        <v>25</v>
      </c>
      <c r="B54" s="606"/>
      <c r="C54" s="365" t="s">
        <v>45</v>
      </c>
      <c r="D54" s="21" t="s">
        <v>26</v>
      </c>
      <c r="E54" s="22" t="s">
        <v>27</v>
      </c>
      <c r="F54" s="113"/>
    </row>
    <row r="55" spans="1:11">
      <c r="A55" s="611" t="s">
        <v>231</v>
      </c>
      <c r="B55" s="612"/>
      <c r="C55" s="52" t="s">
        <v>232</v>
      </c>
      <c r="D55" s="143">
        <f>C16+C19</f>
        <v>31109459.029999997</v>
      </c>
      <c r="E55" s="24"/>
      <c r="F55" s="113"/>
      <c r="H55" s="145">
        <f>D55+D62+'Diario 2015 (a)'!C3</f>
        <v>40586843.030000001</v>
      </c>
      <c r="I55" s="145" t="s">
        <v>264</v>
      </c>
    </row>
    <row r="56" spans="1:11">
      <c r="A56" s="609" t="s">
        <v>173</v>
      </c>
      <c r="B56" s="610"/>
      <c r="C56" s="57" t="s">
        <v>151</v>
      </c>
      <c r="D56" s="25"/>
      <c r="E56" s="337">
        <f>D55</f>
        <v>31109459.029999997</v>
      </c>
      <c r="F56" s="113"/>
      <c r="H56" s="145">
        <f>H55-'ESF - ERI'!T49</f>
        <v>-1753208.9699999988</v>
      </c>
      <c r="K56" s="145">
        <f>E56-C16</f>
        <v>-1275000</v>
      </c>
    </row>
    <row r="57" spans="1:11">
      <c r="A57" s="27"/>
      <c r="B57" s="160"/>
      <c r="C57" s="51"/>
      <c r="D57" s="27"/>
      <c r="E57" s="27"/>
      <c r="F57" s="113"/>
    </row>
    <row r="58" spans="1:11">
      <c r="A58" s="27"/>
      <c r="B58" s="160"/>
      <c r="C58" s="51"/>
      <c r="D58" s="35">
        <f>SUM(D55:D57)</f>
        <v>31109459.029999997</v>
      </c>
      <c r="E58" s="35">
        <f>SUM(E55:E57)</f>
        <v>31109459.029999997</v>
      </c>
      <c r="F58" s="113"/>
    </row>
    <row r="59" spans="1:11">
      <c r="A59" s="27"/>
      <c r="B59" s="160"/>
      <c r="C59" s="51"/>
      <c r="D59" s="35"/>
      <c r="E59" s="35"/>
      <c r="F59" s="113"/>
    </row>
    <row r="60" spans="1:11">
      <c r="A60" s="27"/>
      <c r="B60" s="160"/>
      <c r="C60" s="51"/>
      <c r="D60" s="35"/>
      <c r="E60" s="35"/>
      <c r="F60" s="113"/>
    </row>
    <row r="61" spans="1:11">
      <c r="A61" s="605" t="s">
        <v>25</v>
      </c>
      <c r="B61" s="606"/>
      <c r="C61" s="365" t="s">
        <v>45</v>
      </c>
      <c r="D61" s="21" t="s">
        <v>26</v>
      </c>
      <c r="E61" s="22" t="s">
        <v>27</v>
      </c>
      <c r="F61" s="113"/>
    </row>
    <row r="62" spans="1:11">
      <c r="A62" s="611" t="s">
        <v>231</v>
      </c>
      <c r="B62" s="612"/>
      <c r="C62" s="52" t="s">
        <v>232</v>
      </c>
      <c r="D62" s="143">
        <f>-'Variación Patrimonio'!O11</f>
        <v>0</v>
      </c>
      <c r="E62" s="24"/>
      <c r="F62" s="113"/>
    </row>
    <row r="63" spans="1:11">
      <c r="A63" s="151" t="s">
        <v>274</v>
      </c>
      <c r="B63" s="152"/>
      <c r="C63" s="52" t="s">
        <v>158</v>
      </c>
      <c r="D63" s="336">
        <f>-'Variación Patrimonio'!G4-'Variación Patrimonio'!O11</f>
        <v>124195.31419999999</v>
      </c>
      <c r="E63" s="154"/>
      <c r="F63" s="113"/>
    </row>
    <row r="64" spans="1:11">
      <c r="A64" s="151" t="s">
        <v>157</v>
      </c>
      <c r="B64" s="152"/>
      <c r="C64" s="52" t="s">
        <v>232</v>
      </c>
      <c r="D64" s="336">
        <f>'Variación Patrimonio'!G10</f>
        <v>661360.23820000002</v>
      </c>
      <c r="E64" s="154"/>
      <c r="F64" s="113"/>
    </row>
    <row r="65" spans="1:6">
      <c r="A65" s="151" t="s">
        <v>233</v>
      </c>
      <c r="B65" s="152"/>
      <c r="C65" s="52" t="s">
        <v>232</v>
      </c>
      <c r="D65" s="336">
        <v>0</v>
      </c>
      <c r="E65" s="339">
        <f>-'Variación Patrimonio'!G11</f>
        <v>724846.40859999997</v>
      </c>
      <c r="F65" s="113"/>
    </row>
    <row r="66" spans="1:6">
      <c r="A66" s="607" t="s">
        <v>196</v>
      </c>
      <c r="B66" s="608"/>
      <c r="C66" s="57" t="s">
        <v>158</v>
      </c>
      <c r="D66" s="25"/>
      <c r="E66" s="337">
        <f>SUM(D62:D65)-E65</f>
        <v>60709.143800000078</v>
      </c>
      <c r="F66" s="113"/>
    </row>
    <row r="67" spans="1:6">
      <c r="A67" s="27"/>
      <c r="B67" s="160"/>
      <c r="C67" s="51"/>
      <c r="D67" s="27"/>
      <c r="E67" s="27"/>
      <c r="F67" s="113"/>
    </row>
    <row r="68" spans="1:6">
      <c r="A68" s="27"/>
      <c r="B68" s="160"/>
      <c r="C68" s="51"/>
      <c r="D68" s="35">
        <f>SUM(D62:D67)</f>
        <v>785555.55240000004</v>
      </c>
      <c r="E68" s="35">
        <f>SUM(E62:E67)</f>
        <v>785555.55240000004</v>
      </c>
      <c r="F68" s="113"/>
    </row>
    <row r="69" spans="1:6">
      <c r="A69" s="27"/>
      <c r="B69" s="160"/>
      <c r="C69" s="51"/>
      <c r="D69" s="35"/>
      <c r="E69" s="35"/>
      <c r="F69" s="113"/>
    </row>
    <row r="70" spans="1:6">
      <c r="A70" s="26" t="s">
        <v>384</v>
      </c>
      <c r="B70" s="160"/>
      <c r="C70" s="51"/>
      <c r="D70" s="35"/>
      <c r="E70" s="35"/>
      <c r="F70" s="113"/>
    </row>
    <row r="71" spans="1:6">
      <c r="A71" s="605" t="s">
        <v>25</v>
      </c>
      <c r="B71" s="606"/>
      <c r="C71" s="365" t="s">
        <v>45</v>
      </c>
      <c r="D71" s="21" t="s">
        <v>26</v>
      </c>
      <c r="E71" s="22" t="s">
        <v>27</v>
      </c>
      <c r="F71" s="113"/>
    </row>
    <row r="72" spans="1:6">
      <c r="A72" s="611" t="s">
        <v>385</v>
      </c>
      <c r="B72" s="612"/>
      <c r="C72" s="52" t="s">
        <v>232</v>
      </c>
      <c r="D72" s="143">
        <v>1231351</v>
      </c>
      <c r="E72" s="24"/>
      <c r="F72" s="113"/>
    </row>
    <row r="73" spans="1:6">
      <c r="A73" s="613" t="s">
        <v>386</v>
      </c>
      <c r="B73" s="614"/>
      <c r="C73" s="57" t="s">
        <v>151</v>
      </c>
      <c r="D73" s="25"/>
      <c r="E73" s="337">
        <f>D72</f>
        <v>1231351</v>
      </c>
      <c r="F73" s="113"/>
    </row>
    <row r="74" spans="1:6">
      <c r="A74" s="27"/>
      <c r="B74" s="160"/>
      <c r="C74" s="51"/>
      <c r="D74" s="27"/>
      <c r="E74" s="27"/>
      <c r="F74" s="113"/>
    </row>
    <row r="75" spans="1:6">
      <c r="A75" s="27"/>
      <c r="B75" s="160"/>
      <c r="C75" s="51"/>
      <c r="D75" s="35">
        <f>SUM(D72:D74)</f>
        <v>1231351</v>
      </c>
      <c r="E75" s="35">
        <f>SUM(E72:E74)</f>
        <v>1231351</v>
      </c>
      <c r="F75" s="113"/>
    </row>
    <row r="76" spans="1:6">
      <c r="A76" s="160"/>
      <c r="B76" s="160"/>
      <c r="C76" s="113"/>
      <c r="D76" s="113"/>
      <c r="E76" s="113"/>
      <c r="F76" s="113"/>
    </row>
    <row r="77" spans="1:6">
      <c r="A77" s="371" t="s">
        <v>234</v>
      </c>
      <c r="B77" s="160"/>
      <c r="C77" s="113"/>
      <c r="D77" s="113"/>
      <c r="E77" s="113"/>
      <c r="F77" s="113"/>
    </row>
    <row r="78" spans="1:6">
      <c r="A78" s="605" t="s">
        <v>25</v>
      </c>
      <c r="B78" s="606"/>
      <c r="C78" s="365" t="s">
        <v>45</v>
      </c>
      <c r="D78" s="21" t="s">
        <v>26</v>
      </c>
      <c r="E78" s="22" t="s">
        <v>27</v>
      </c>
      <c r="F78" s="113"/>
    </row>
    <row r="79" spans="1:6">
      <c r="A79" s="611" t="s">
        <v>419</v>
      </c>
      <c r="B79" s="612"/>
      <c r="C79" s="52" t="s">
        <v>158</v>
      </c>
      <c r="D79" s="113"/>
      <c r="E79" s="338">
        <f>+D80+D81</f>
        <v>9.1172398190045243</v>
      </c>
      <c r="F79" s="113"/>
    </row>
    <row r="80" spans="1:6">
      <c r="A80" s="611" t="s">
        <v>233</v>
      </c>
      <c r="B80" s="612"/>
      <c r="C80" s="52" t="s">
        <v>230</v>
      </c>
      <c r="D80" s="336">
        <f>'Variación Patrimonio'!G25</f>
        <v>6.001131221719457</v>
      </c>
      <c r="E80" s="339">
        <v>0</v>
      </c>
      <c r="F80" s="113"/>
    </row>
    <row r="81" spans="1:6">
      <c r="A81" s="611" t="s">
        <v>157</v>
      </c>
      <c r="B81" s="612"/>
      <c r="C81" s="57" t="s">
        <v>158</v>
      </c>
      <c r="D81" s="337">
        <f>'Variación Patrimonio'!G24</f>
        <v>3.1161085972850677</v>
      </c>
      <c r="E81" s="337">
        <v>0</v>
      </c>
      <c r="F81" s="113" t="s">
        <v>347</v>
      </c>
    </row>
    <row r="82" spans="1:6">
      <c r="A82" s="27"/>
      <c r="B82" s="160"/>
      <c r="C82" s="51"/>
      <c r="D82" s="27"/>
      <c r="E82" s="27"/>
      <c r="F82" s="113"/>
    </row>
    <row r="83" spans="1:6">
      <c r="A83" s="27"/>
      <c r="B83" s="160"/>
      <c r="C83" s="51"/>
      <c r="D83" s="35">
        <f>SUM(D79:D82)</f>
        <v>9.1172398190045243</v>
      </c>
      <c r="E83" s="35">
        <f>SUM(E79:E82)</f>
        <v>9.1172398190045243</v>
      </c>
      <c r="F83" s="113"/>
    </row>
    <row r="84" spans="1:6">
      <c r="A84" s="160"/>
      <c r="B84" s="160"/>
      <c r="C84" s="113"/>
      <c r="D84" s="113"/>
      <c r="E84" s="113"/>
      <c r="F84" s="113"/>
    </row>
    <row r="85" spans="1:6">
      <c r="A85" s="371" t="s">
        <v>235</v>
      </c>
      <c r="B85" s="160"/>
      <c r="C85" s="113"/>
      <c r="D85" s="113"/>
      <c r="E85" s="113"/>
      <c r="F85" s="113"/>
    </row>
    <row r="86" spans="1:6">
      <c r="A86" s="605" t="s">
        <v>25</v>
      </c>
      <c r="B86" s="606"/>
      <c r="C86" s="365" t="s">
        <v>45</v>
      </c>
      <c r="D86" s="21" t="s">
        <v>26</v>
      </c>
      <c r="E86" s="22" t="s">
        <v>27</v>
      </c>
      <c r="F86" s="113"/>
    </row>
    <row r="87" spans="1:6">
      <c r="A87" s="611" t="s">
        <v>157</v>
      </c>
      <c r="B87" s="612"/>
      <c r="C87" s="52" t="s">
        <v>152</v>
      </c>
      <c r="D87" s="338">
        <v>0</v>
      </c>
      <c r="E87" s="335">
        <f>-'Variación Patrimonio'!G41</f>
        <v>25052.48</v>
      </c>
      <c r="F87" s="113"/>
    </row>
    <row r="88" spans="1:6">
      <c r="A88" s="372" t="s">
        <v>233</v>
      </c>
      <c r="B88" s="152"/>
      <c r="C88" s="52" t="s">
        <v>152</v>
      </c>
      <c r="D88" s="336">
        <f>'Variación Patrimonio'!G42</f>
        <v>12957.76</v>
      </c>
      <c r="E88" s="339">
        <v>0</v>
      </c>
      <c r="F88" s="113"/>
    </row>
    <row r="89" spans="1:6">
      <c r="A89" s="607" t="s">
        <v>196</v>
      </c>
      <c r="B89" s="608"/>
      <c r="C89" s="57" t="s">
        <v>158</v>
      </c>
      <c r="D89" s="337">
        <f>E87-D88</f>
        <v>12094.72</v>
      </c>
      <c r="E89" s="373"/>
      <c r="F89" s="113"/>
    </row>
    <row r="90" spans="1:6">
      <c r="A90" s="27"/>
      <c r="B90" s="160"/>
      <c r="C90" s="51"/>
      <c r="D90" s="27"/>
      <c r="E90" s="27"/>
      <c r="F90" s="113"/>
    </row>
    <row r="91" spans="1:6">
      <c r="A91" s="27"/>
      <c r="B91" s="160"/>
      <c r="C91" s="51"/>
      <c r="D91" s="35">
        <f>SUM(D87:D90)</f>
        <v>25052.48</v>
      </c>
      <c r="E91" s="35">
        <f>SUM(E87:E90)</f>
        <v>25052.48</v>
      </c>
      <c r="F91" s="113"/>
    </row>
    <row r="92" spans="1:6">
      <c r="A92" s="160"/>
      <c r="B92" s="160"/>
      <c r="C92" s="113"/>
      <c r="D92" s="113"/>
      <c r="E92" s="113"/>
      <c r="F92" s="113"/>
    </row>
    <row r="93" spans="1:6">
      <c r="A93" s="371" t="s">
        <v>236</v>
      </c>
      <c r="B93" s="160"/>
      <c r="C93" s="113"/>
      <c r="D93" s="113"/>
      <c r="E93" s="113"/>
      <c r="F93" s="113"/>
    </row>
    <row r="94" spans="1:6">
      <c r="A94" s="605" t="s">
        <v>25</v>
      </c>
      <c r="B94" s="606"/>
      <c r="C94" s="365" t="s">
        <v>45</v>
      </c>
      <c r="D94" s="21" t="s">
        <v>26</v>
      </c>
      <c r="E94" s="22" t="s">
        <v>27</v>
      </c>
      <c r="F94" s="113"/>
    </row>
    <row r="95" spans="1:6">
      <c r="A95" s="151" t="s">
        <v>196</v>
      </c>
      <c r="B95" s="152"/>
      <c r="C95" s="52" t="s">
        <v>156</v>
      </c>
      <c r="D95" s="340">
        <f>SUM(E96:E98)</f>
        <v>246692.21003125</v>
      </c>
      <c r="E95" s="374"/>
      <c r="F95" s="113"/>
    </row>
    <row r="96" spans="1:6">
      <c r="A96" s="375" t="s">
        <v>420</v>
      </c>
      <c r="B96" s="375"/>
      <c r="C96" s="52" t="s">
        <v>156</v>
      </c>
      <c r="D96" s="376"/>
      <c r="E96" s="339">
        <f>-'Variación Patrimonio'!G55</f>
        <v>63838.315031250007</v>
      </c>
      <c r="F96" s="113"/>
    </row>
    <row r="97" spans="1:6">
      <c r="A97" s="160" t="s">
        <v>20</v>
      </c>
      <c r="B97" s="160"/>
      <c r="C97" s="52" t="s">
        <v>156</v>
      </c>
      <c r="D97" s="160"/>
      <c r="E97" s="336">
        <f>-'Variación Patrimonio'!G54</f>
        <v>41075.224999999999</v>
      </c>
      <c r="F97" s="113"/>
    </row>
    <row r="98" spans="1:6">
      <c r="A98" s="607" t="s">
        <v>233</v>
      </c>
      <c r="B98" s="608"/>
      <c r="C98" s="57" t="s">
        <v>158</v>
      </c>
      <c r="D98" s="25"/>
      <c r="E98" s="337">
        <f>-'Variación Patrimonio'!G56</f>
        <v>141778.66999999998</v>
      </c>
      <c r="F98" s="113"/>
    </row>
    <row r="99" spans="1:6">
      <c r="A99" s="27"/>
      <c r="B99" s="160"/>
      <c r="C99" s="51"/>
      <c r="D99" s="27"/>
      <c r="E99" s="27"/>
      <c r="F99" s="113"/>
    </row>
    <row r="100" spans="1:6">
      <c r="A100" s="27"/>
      <c r="B100" s="160"/>
      <c r="C100" s="51"/>
      <c r="D100" s="35">
        <f>SUM(D95:D99)</f>
        <v>246692.21003125</v>
      </c>
      <c r="E100" s="35">
        <f>SUM(E95:E99)</f>
        <v>246692.21003125</v>
      </c>
      <c r="F100" s="113"/>
    </row>
    <row r="101" spans="1:6">
      <c r="A101" s="160"/>
      <c r="B101" s="160"/>
      <c r="C101" s="113"/>
      <c r="D101" s="113"/>
      <c r="E101" s="113"/>
      <c r="F101" s="113"/>
    </row>
    <row r="102" spans="1:6">
      <c r="A102" s="371" t="s">
        <v>237</v>
      </c>
      <c r="B102" s="160"/>
      <c r="C102" s="113"/>
      <c r="D102" s="113"/>
      <c r="E102" s="113"/>
      <c r="F102" s="113"/>
    </row>
    <row r="103" spans="1:6">
      <c r="A103" s="605" t="s">
        <v>25</v>
      </c>
      <c r="B103" s="606"/>
      <c r="C103" s="365" t="s">
        <v>45</v>
      </c>
      <c r="D103" s="21" t="s">
        <v>26</v>
      </c>
      <c r="E103" s="22" t="s">
        <v>27</v>
      </c>
      <c r="F103" s="113"/>
    </row>
    <row r="104" spans="1:6">
      <c r="A104" s="151" t="s">
        <v>196</v>
      </c>
      <c r="B104" s="152"/>
      <c r="C104" s="52" t="s">
        <v>203</v>
      </c>
      <c r="D104" s="336">
        <f>+E105</f>
        <v>3368.3724999999995</v>
      </c>
      <c r="E104" s="155"/>
      <c r="F104" s="113"/>
    </row>
    <row r="105" spans="1:6">
      <c r="A105" s="607" t="s">
        <v>420</v>
      </c>
      <c r="B105" s="608"/>
      <c r="C105" s="57" t="s">
        <v>158</v>
      </c>
      <c r="D105" s="25"/>
      <c r="E105" s="337">
        <f>-'Variación Patrimonio'!G71</f>
        <v>3368.3724999999995</v>
      </c>
      <c r="F105" s="113"/>
    </row>
    <row r="106" spans="1:6">
      <c r="A106" s="27"/>
      <c r="B106" s="160"/>
      <c r="C106" s="51"/>
      <c r="D106" s="27"/>
      <c r="E106" s="27"/>
      <c r="F106" s="113"/>
    </row>
    <row r="107" spans="1:6">
      <c r="A107" s="27"/>
      <c r="B107" s="160"/>
      <c r="C107" s="51"/>
      <c r="D107" s="35">
        <f>SUM(D104:D106)</f>
        <v>3368.3724999999995</v>
      </c>
      <c r="E107" s="35">
        <f>SUM(E104:E106)</f>
        <v>3368.3724999999995</v>
      </c>
      <c r="F107" s="113"/>
    </row>
    <row r="108" spans="1:6">
      <c r="A108" s="160"/>
      <c r="B108" s="160"/>
      <c r="C108" s="113"/>
      <c r="D108" s="113"/>
      <c r="E108" s="113"/>
      <c r="F108" s="113"/>
    </row>
    <row r="109" spans="1:6">
      <c r="A109" s="371" t="s">
        <v>238</v>
      </c>
      <c r="B109" s="160"/>
      <c r="C109" s="113"/>
      <c r="D109" s="113"/>
      <c r="E109" s="113"/>
      <c r="F109" s="113"/>
    </row>
    <row r="110" spans="1:6">
      <c r="A110" s="605" t="s">
        <v>25</v>
      </c>
      <c r="B110" s="606"/>
      <c r="C110" s="365" t="s">
        <v>45</v>
      </c>
      <c r="D110" s="21" t="s">
        <v>26</v>
      </c>
      <c r="E110" s="22" t="s">
        <v>27</v>
      </c>
      <c r="F110" s="113"/>
    </row>
    <row r="111" spans="1:6">
      <c r="A111" s="151" t="s">
        <v>157</v>
      </c>
      <c r="B111" s="152"/>
      <c r="C111" s="52" t="s">
        <v>159</v>
      </c>
      <c r="D111" s="336">
        <v>0</v>
      </c>
      <c r="E111" s="155"/>
      <c r="F111" s="113"/>
    </row>
    <row r="112" spans="1:6">
      <c r="A112" s="607" t="s">
        <v>196</v>
      </c>
      <c r="B112" s="608"/>
      <c r="C112" s="57" t="s">
        <v>158</v>
      </c>
      <c r="D112" s="25"/>
      <c r="E112" s="337">
        <f>+D111</f>
        <v>0</v>
      </c>
      <c r="F112" s="113"/>
    </row>
    <row r="113" spans="1:14">
      <c r="A113" s="27"/>
      <c r="B113" s="160"/>
      <c r="C113" s="51"/>
      <c r="D113" s="27"/>
      <c r="E113" s="27"/>
      <c r="F113" s="113"/>
    </row>
    <row r="114" spans="1:14">
      <c r="A114" s="27"/>
      <c r="B114" s="160"/>
      <c r="C114" s="51"/>
      <c r="D114" s="35">
        <f>SUM(D111:D113)</f>
        <v>0</v>
      </c>
      <c r="E114" s="35">
        <f>SUM(E111:E113)</f>
        <v>0</v>
      </c>
      <c r="F114" s="113"/>
    </row>
    <row r="115" spans="1:14">
      <c r="A115" s="160"/>
      <c r="B115" s="160"/>
      <c r="C115" s="113"/>
      <c r="D115" s="113"/>
      <c r="E115" s="113"/>
      <c r="F115" s="113"/>
    </row>
    <row r="116" spans="1:14">
      <c r="A116" s="371" t="s">
        <v>239</v>
      </c>
      <c r="B116" s="160"/>
      <c r="C116" s="113"/>
      <c r="D116" s="113"/>
      <c r="E116" s="113"/>
      <c r="F116" s="113"/>
    </row>
    <row r="117" spans="1:14">
      <c r="A117" s="605" t="s">
        <v>25</v>
      </c>
      <c r="B117" s="606"/>
      <c r="C117" s="365" t="s">
        <v>45</v>
      </c>
      <c r="D117" s="21" t="s">
        <v>26</v>
      </c>
      <c r="E117" s="22" t="s">
        <v>27</v>
      </c>
      <c r="F117" s="113"/>
    </row>
    <row r="118" spans="1:14">
      <c r="A118" s="151" t="s">
        <v>196</v>
      </c>
      <c r="B118" s="152"/>
      <c r="C118" s="52" t="s">
        <v>204</v>
      </c>
      <c r="D118" s="336">
        <f>SUM(E119:E120)</f>
        <v>25810.725000000002</v>
      </c>
      <c r="E118" s="155"/>
      <c r="F118" s="113"/>
    </row>
    <row r="119" spans="1:14">
      <c r="A119" s="151" t="s">
        <v>420</v>
      </c>
      <c r="B119" s="152"/>
      <c r="C119" s="52"/>
      <c r="D119" s="153"/>
      <c r="E119" s="339">
        <f>-'Variación Patrimonio'!G129</f>
        <v>1156.6499999999999</v>
      </c>
      <c r="F119" s="113"/>
    </row>
    <row r="120" spans="1:14">
      <c r="A120" s="607" t="s">
        <v>233</v>
      </c>
      <c r="B120" s="608"/>
      <c r="C120" s="57" t="s">
        <v>158</v>
      </c>
      <c r="D120" s="25"/>
      <c r="E120" s="337">
        <f>-'Variación Patrimonio'!G130</f>
        <v>24654.075000000001</v>
      </c>
      <c r="F120" s="113"/>
    </row>
    <row r="121" spans="1:14">
      <c r="A121" s="27"/>
      <c r="B121" s="160"/>
      <c r="C121" s="51"/>
      <c r="D121" s="27"/>
      <c r="E121" s="27"/>
      <c r="F121" s="113"/>
    </row>
    <row r="122" spans="1:14">
      <c r="A122" s="27"/>
      <c r="B122" s="160"/>
      <c r="C122" s="51"/>
      <c r="D122" s="35">
        <f>SUM(D118:D121)</f>
        <v>25810.725000000002</v>
      </c>
      <c r="E122" s="35">
        <f>SUM(E118:E121)</f>
        <v>25810.725000000002</v>
      </c>
      <c r="F122" s="113"/>
    </row>
    <row r="123" spans="1:14">
      <c r="A123" s="27"/>
      <c r="B123" s="160"/>
      <c r="C123" s="51"/>
      <c r="D123" s="35"/>
      <c r="E123" s="35"/>
      <c r="F123" s="113"/>
    </row>
    <row r="124" spans="1:14">
      <c r="A124" s="27"/>
      <c r="B124" s="160"/>
      <c r="C124" s="51"/>
      <c r="D124" s="35"/>
      <c r="E124" s="35"/>
      <c r="F124" s="113"/>
    </row>
    <row r="125" spans="1:14">
      <c r="A125" s="371" t="s">
        <v>284</v>
      </c>
      <c r="B125" s="160"/>
      <c r="C125" s="113"/>
      <c r="D125" s="113"/>
      <c r="E125" s="113"/>
      <c r="F125" s="113"/>
    </row>
    <row r="126" spans="1:14">
      <c r="A126" s="605" t="s">
        <v>25</v>
      </c>
      <c r="B126" s="606"/>
      <c r="C126" s="365" t="s">
        <v>45</v>
      </c>
      <c r="D126" s="21" t="s">
        <v>26</v>
      </c>
      <c r="E126" s="22" t="s">
        <v>27</v>
      </c>
      <c r="F126" s="113"/>
    </row>
    <row r="127" spans="1:14">
      <c r="A127" s="151" t="s">
        <v>8</v>
      </c>
      <c r="B127" s="152"/>
      <c r="C127" s="52" t="s">
        <v>267</v>
      </c>
      <c r="D127" s="336">
        <v>3661400</v>
      </c>
      <c r="E127" s="155"/>
      <c r="F127" s="113" t="s">
        <v>428</v>
      </c>
    </row>
    <row r="128" spans="1:14" s="160" customFormat="1">
      <c r="A128" s="151" t="s">
        <v>88</v>
      </c>
      <c r="B128" s="152"/>
      <c r="C128" s="52" t="s">
        <v>267</v>
      </c>
      <c r="D128" s="336">
        <v>112799</v>
      </c>
      <c r="E128" s="155"/>
      <c r="F128" s="113" t="s">
        <v>428</v>
      </c>
      <c r="G128" s="113"/>
      <c r="H128" s="113"/>
      <c r="I128" s="113"/>
      <c r="J128" s="113"/>
      <c r="K128" s="113"/>
      <c r="L128" s="113"/>
      <c r="M128" s="113"/>
      <c r="N128" s="113"/>
    </row>
    <row r="129" spans="1:14" s="160" customFormat="1">
      <c r="A129" s="151" t="s">
        <v>209</v>
      </c>
      <c r="B129" s="152"/>
      <c r="C129" s="52" t="s">
        <v>158</v>
      </c>
      <c r="D129" s="336">
        <f>'Variación Patrimonio'!D161</f>
        <v>269120.21999999997</v>
      </c>
      <c r="E129" s="155"/>
      <c r="F129" s="113" t="s">
        <v>428</v>
      </c>
      <c r="G129" s="113"/>
      <c r="H129" s="113"/>
      <c r="I129" s="113"/>
      <c r="J129" s="113"/>
      <c r="K129" s="113"/>
      <c r="L129" s="113"/>
      <c r="M129" s="113"/>
      <c r="N129" s="113"/>
    </row>
    <row r="130" spans="1:14" s="160" customFormat="1">
      <c r="A130" s="151" t="s">
        <v>20</v>
      </c>
      <c r="B130" s="152"/>
      <c r="C130" s="52" t="s">
        <v>267</v>
      </c>
      <c r="D130" s="153"/>
      <c r="E130" s="339">
        <v>56932</v>
      </c>
      <c r="F130" s="113" t="s">
        <v>428</v>
      </c>
      <c r="G130" s="113"/>
      <c r="H130" s="113"/>
      <c r="I130" s="113"/>
      <c r="J130" s="113"/>
      <c r="K130" s="113"/>
      <c r="L130" s="113"/>
      <c r="M130" s="113"/>
      <c r="N130" s="113"/>
    </row>
    <row r="131" spans="1:14" s="160" customFormat="1">
      <c r="A131" s="151" t="s">
        <v>21</v>
      </c>
      <c r="B131" s="152"/>
      <c r="C131" s="52" t="s">
        <v>267</v>
      </c>
      <c r="D131" s="153"/>
      <c r="E131" s="339">
        <v>3026105</v>
      </c>
      <c r="F131" s="113" t="s">
        <v>428</v>
      </c>
      <c r="G131" s="113"/>
      <c r="H131" s="113"/>
      <c r="I131" s="113"/>
      <c r="J131" s="113"/>
      <c r="K131" s="113"/>
      <c r="L131" s="113"/>
      <c r="M131" s="113"/>
      <c r="N131" s="113"/>
    </row>
    <row r="132" spans="1:14" s="160" customFormat="1">
      <c r="A132" s="151" t="s">
        <v>209</v>
      </c>
      <c r="B132" s="152"/>
      <c r="C132" s="52" t="s">
        <v>267</v>
      </c>
      <c r="D132" s="153"/>
      <c r="E132" s="339">
        <v>484416</v>
      </c>
      <c r="F132" s="113" t="s">
        <v>428</v>
      </c>
      <c r="G132" s="113">
        <f>E132-D129</f>
        <v>215295.78000000003</v>
      </c>
      <c r="H132" s="113"/>
      <c r="I132" s="113"/>
      <c r="J132" s="113"/>
      <c r="K132" s="113"/>
      <c r="L132" s="113"/>
      <c r="M132" s="113"/>
      <c r="N132" s="113"/>
    </row>
    <row r="133" spans="1:14" s="160" customFormat="1">
      <c r="A133" s="151" t="s">
        <v>233</v>
      </c>
      <c r="B133" s="152"/>
      <c r="C133" s="52" t="s">
        <v>267</v>
      </c>
      <c r="D133" s="153"/>
      <c r="E133" s="339">
        <v>9886</v>
      </c>
      <c r="F133" s="113" t="s">
        <v>428</v>
      </c>
      <c r="G133" s="113"/>
      <c r="H133" s="113"/>
      <c r="I133" s="113"/>
      <c r="J133" s="113"/>
      <c r="K133" s="113"/>
      <c r="L133" s="113"/>
      <c r="M133" s="113"/>
      <c r="N133" s="113"/>
    </row>
    <row r="134" spans="1:14" s="160" customFormat="1">
      <c r="A134" s="151" t="s">
        <v>277</v>
      </c>
      <c r="B134" s="152"/>
      <c r="C134" s="52" t="s">
        <v>158</v>
      </c>
      <c r="D134" s="153"/>
      <c r="E134" s="339">
        <f>+D128</f>
        <v>112799</v>
      </c>
      <c r="F134" s="113" t="s">
        <v>428</v>
      </c>
      <c r="G134" s="113"/>
      <c r="H134" s="113"/>
      <c r="I134" s="113"/>
      <c r="J134" s="113"/>
      <c r="K134" s="113"/>
      <c r="L134" s="113"/>
      <c r="M134" s="113"/>
      <c r="N134" s="113"/>
    </row>
    <row r="135" spans="1:14" s="160" customFormat="1">
      <c r="A135" s="151" t="s">
        <v>289</v>
      </c>
      <c r="B135" s="152"/>
      <c r="C135" s="52" t="s">
        <v>151</v>
      </c>
      <c r="D135" s="153"/>
      <c r="E135" s="339">
        <f>'Variación Patrimonio'!D157</f>
        <v>351500</v>
      </c>
      <c r="F135" s="113" t="s">
        <v>428</v>
      </c>
      <c r="G135" s="113"/>
      <c r="H135" s="113"/>
      <c r="I135" s="113"/>
      <c r="J135" s="113"/>
      <c r="K135" s="113"/>
      <c r="L135" s="113"/>
      <c r="M135" s="113"/>
      <c r="N135" s="113"/>
    </row>
    <row r="136" spans="1:14">
      <c r="A136" s="607" t="s">
        <v>196</v>
      </c>
      <c r="B136" s="608"/>
      <c r="C136" s="57" t="s">
        <v>158</v>
      </c>
      <c r="D136" s="25"/>
      <c r="E136" s="337">
        <f>'Variación Patrimonio'!D158</f>
        <v>1681.22</v>
      </c>
      <c r="F136" s="113" t="s">
        <v>428</v>
      </c>
    </row>
    <row r="137" spans="1:14">
      <c r="A137" s="27"/>
      <c r="B137" s="160"/>
      <c r="C137" s="51"/>
      <c r="D137" s="27"/>
      <c r="E137" s="27"/>
      <c r="F137" s="113"/>
    </row>
    <row r="138" spans="1:14">
      <c r="A138" s="27"/>
      <c r="B138" s="160"/>
      <c r="C138" s="51"/>
      <c r="D138" s="35">
        <f>SUM(D127:D137)</f>
        <v>4043319.2199999997</v>
      </c>
      <c r="E138" s="35">
        <f>SUM(E127:E137)</f>
        <v>4043319.22</v>
      </c>
      <c r="F138" s="113">
        <f>D138-E138</f>
        <v>0</v>
      </c>
    </row>
    <row r="139" spans="1:14">
      <c r="A139" s="27"/>
      <c r="B139" s="160"/>
      <c r="C139" s="51"/>
      <c r="D139" s="35"/>
      <c r="E139" s="35"/>
      <c r="F139" s="113"/>
    </row>
    <row r="140" spans="1:14">
      <c r="A140" s="371" t="s">
        <v>273</v>
      </c>
      <c r="B140" s="160"/>
      <c r="C140" s="113"/>
      <c r="D140" s="113"/>
      <c r="E140" s="113"/>
      <c r="F140" s="113"/>
    </row>
    <row r="141" spans="1:14">
      <c r="A141" s="605" t="s">
        <v>25</v>
      </c>
      <c r="B141" s="606"/>
      <c r="C141" s="365" t="s">
        <v>45</v>
      </c>
      <c r="D141" s="21" t="s">
        <v>26</v>
      </c>
      <c r="E141" s="22" t="s">
        <v>27</v>
      </c>
      <c r="F141" s="113"/>
      <c r="H141" s="145">
        <v>6513113</v>
      </c>
    </row>
    <row r="142" spans="1:14">
      <c r="A142" s="151" t="s">
        <v>92</v>
      </c>
      <c r="B142" s="152"/>
      <c r="C142" s="52" t="s">
        <v>198</v>
      </c>
      <c r="D142" s="329">
        <v>0</v>
      </c>
      <c r="E142" s="364">
        <f>-((894555*0.49)-D143)</f>
        <v>45243.049999999988</v>
      </c>
      <c r="F142" s="113"/>
      <c r="H142" s="145">
        <f>H141*0.49</f>
        <v>3191425.37</v>
      </c>
    </row>
    <row r="143" spans="1:14">
      <c r="A143" s="151" t="s">
        <v>157</v>
      </c>
      <c r="B143" s="152"/>
      <c r="C143" s="52" t="s">
        <v>198</v>
      </c>
      <c r="D143" s="336">
        <v>483575</v>
      </c>
      <c r="E143" s="155"/>
      <c r="F143" s="113"/>
    </row>
    <row r="144" spans="1:14">
      <c r="A144" s="170" t="s">
        <v>199</v>
      </c>
      <c r="B144" s="171"/>
      <c r="C144" s="57" t="s">
        <v>198</v>
      </c>
      <c r="D144" s="25"/>
      <c r="E144" s="337">
        <f>-(E142-D143)</f>
        <v>438331.95</v>
      </c>
      <c r="F144" s="113"/>
      <c r="H144" s="145">
        <v>6945032</v>
      </c>
    </row>
    <row r="145" spans="1:8">
      <c r="A145" s="27"/>
      <c r="B145" s="160"/>
      <c r="C145" s="51"/>
      <c r="D145" s="27"/>
      <c r="E145" s="27"/>
      <c r="F145" s="113"/>
      <c r="H145" s="145">
        <f>H144-H142</f>
        <v>3753606.63</v>
      </c>
    </row>
    <row r="146" spans="1:8">
      <c r="A146" s="27"/>
      <c r="B146" s="160"/>
      <c r="C146" s="51"/>
      <c r="D146" s="35">
        <f>SUM(D142:D145)</f>
        <v>483575</v>
      </c>
      <c r="E146" s="35">
        <f>SUM(E142:E145)</f>
        <v>483575</v>
      </c>
      <c r="F146" s="113"/>
      <c r="H146" s="145">
        <f>H145-H142</f>
        <v>562181.25999999978</v>
      </c>
    </row>
    <row r="147" spans="1:8">
      <c r="A147" s="27"/>
      <c r="B147" s="160"/>
      <c r="C147" s="51"/>
      <c r="D147" s="35"/>
      <c r="E147" s="35"/>
      <c r="F147" s="113"/>
    </row>
    <row r="148" spans="1:8">
      <c r="A148" s="27"/>
      <c r="B148" s="160"/>
      <c r="C148" s="51"/>
      <c r="D148" s="35"/>
      <c r="E148" s="35"/>
      <c r="F148" s="113"/>
    </row>
    <row r="149" spans="1:8">
      <c r="A149" s="27"/>
      <c r="C149" s="72"/>
      <c r="D149" s="35"/>
      <c r="E149" s="35"/>
    </row>
    <row r="151" spans="1:8">
      <c r="D151" s="156">
        <f>D68+D83+D91+D100+D107+D114+D122+D35+D41+D50+D58+D138+D146+D75</f>
        <v>46689993.467171066</v>
      </c>
      <c r="E151" s="156">
        <f>E68+E83+E91+E100+E107+E114+E122+E35+E41+E50+E58+E138+E146+E75</f>
        <v>46689993.467171066</v>
      </c>
    </row>
    <row r="154" spans="1:8">
      <c r="C154" s="156" t="s">
        <v>266</v>
      </c>
    </row>
    <row r="156" spans="1:8">
      <c r="C156" s="145" t="s">
        <v>193</v>
      </c>
      <c r="D156" s="329">
        <f>D38+D127</f>
        <v>4671400.0199999996</v>
      </c>
      <c r="E156" s="145">
        <v>0</v>
      </c>
    </row>
    <row r="157" spans="1:8">
      <c r="C157" s="159" t="s">
        <v>231</v>
      </c>
      <c r="D157" s="380">
        <f>D62+D55+D31+D128</f>
        <v>32277736.029999997</v>
      </c>
      <c r="E157" s="145">
        <v>0</v>
      </c>
    </row>
    <row r="158" spans="1:8">
      <c r="C158" s="159" t="s">
        <v>7</v>
      </c>
      <c r="D158" s="380">
        <f>D45</f>
        <v>6262957</v>
      </c>
      <c r="E158" s="145">
        <v>0</v>
      </c>
    </row>
    <row r="159" spans="1:8">
      <c r="C159" s="159" t="s">
        <v>278</v>
      </c>
      <c r="D159" s="380">
        <f>D72</f>
        <v>1231351</v>
      </c>
      <c r="E159" s="329">
        <f>E33+E39+E56+E144+E135</f>
        <v>34372134.739999995</v>
      </c>
    </row>
    <row r="160" spans="1:8">
      <c r="C160" s="159" t="s">
        <v>74</v>
      </c>
      <c r="D160" s="159"/>
      <c r="E160" s="329">
        <f>E47</f>
        <v>6262957</v>
      </c>
    </row>
    <row r="161" spans="1:6">
      <c r="C161" s="159" t="s">
        <v>279</v>
      </c>
      <c r="D161" s="159">
        <v>0</v>
      </c>
      <c r="E161" s="329">
        <f>+E134</f>
        <v>112799</v>
      </c>
    </row>
    <row r="162" spans="1:6">
      <c r="C162" s="159" t="s">
        <v>196</v>
      </c>
      <c r="D162" s="329">
        <f>+D95+D104+D118+D178+D191+D89</f>
        <v>1295038.0275312499</v>
      </c>
      <c r="E162" s="329">
        <f>E66+E112+E136+E79</f>
        <v>62399.481039819082</v>
      </c>
    </row>
    <row r="163" spans="1:6">
      <c r="C163" s="159" t="s">
        <v>157</v>
      </c>
      <c r="D163" s="329">
        <f>D87+D111+D46+D143+D129+D63+D64+D32+D81</f>
        <v>1945619.6285085953</v>
      </c>
      <c r="E163" s="329">
        <f>E81+E119+E131+E132+E180+E192+E105+E96+E87</f>
        <v>4608692.8175312504</v>
      </c>
    </row>
    <row r="164" spans="1:6">
      <c r="C164" s="149" t="s">
        <v>233</v>
      </c>
      <c r="D164" s="329">
        <f>D65+D88+D80</f>
        <v>12963.76113122172</v>
      </c>
      <c r="E164" s="329">
        <f>E80+E88+E98+E120+E133+E65+E181+E193</f>
        <v>1178171.1535999998</v>
      </c>
      <c r="F164" s="145">
        <f>+E164-D164</f>
        <v>1165207.3924687782</v>
      </c>
    </row>
    <row r="165" spans="1:6">
      <c r="C165" s="149" t="s">
        <v>386</v>
      </c>
      <c r="D165" s="145">
        <f>D142</f>
        <v>0</v>
      </c>
      <c r="E165" s="329">
        <f>E73+E142</f>
        <v>1276594.05</v>
      </c>
    </row>
    <row r="166" spans="1:6">
      <c r="C166" s="149" t="s">
        <v>429</v>
      </c>
      <c r="D166" s="329">
        <f>D179</f>
        <v>274690</v>
      </c>
    </row>
    <row r="167" spans="1:6">
      <c r="C167" s="149" t="s">
        <v>20</v>
      </c>
      <c r="E167" s="329">
        <f>E130+E97</f>
        <v>98007.225000000006</v>
      </c>
    </row>
    <row r="168" spans="1:6">
      <c r="D168" s="156">
        <f>SUM(D156:D167)</f>
        <v>47971755.467171066</v>
      </c>
      <c r="E168" s="156">
        <f>SUM(E156:E167)</f>
        <v>47971755.467171066</v>
      </c>
    </row>
    <row r="170" spans="1:6">
      <c r="D170" s="145">
        <f>D151-D168</f>
        <v>-1281762</v>
      </c>
      <c r="E170" s="145">
        <f>E151-E168</f>
        <v>-1281762</v>
      </c>
    </row>
    <row r="173" spans="1:6">
      <c r="D173" s="145">
        <f>D168+'Diario 2015 (a)'!C15+'Diarios Cxc Cxp relac (c)'!D38</f>
        <v>69945073.507764027</v>
      </c>
    </row>
    <row r="175" spans="1:6">
      <c r="A175" s="160"/>
      <c r="B175" s="160"/>
      <c r="C175" s="113"/>
      <c r="D175" s="113"/>
      <c r="E175" s="113"/>
      <c r="F175" s="113"/>
    </row>
    <row r="176" spans="1:6">
      <c r="A176" s="371" t="s">
        <v>421</v>
      </c>
      <c r="B176" s="160"/>
      <c r="C176" s="113"/>
      <c r="D176" s="113"/>
      <c r="E176" s="113"/>
      <c r="F176" s="113"/>
    </row>
    <row r="177" spans="1:9">
      <c r="A177" s="605" t="s">
        <v>25</v>
      </c>
      <c r="B177" s="606"/>
      <c r="C177" s="365" t="s">
        <v>45</v>
      </c>
      <c r="D177" s="21" t="s">
        <v>26</v>
      </c>
      <c r="E177" s="22" t="s">
        <v>27</v>
      </c>
      <c r="F177" s="113"/>
    </row>
    <row r="178" spans="1:9">
      <c r="A178" s="151" t="s">
        <v>196</v>
      </c>
      <c r="B178" s="152"/>
      <c r="C178" s="52" t="s">
        <v>204</v>
      </c>
      <c r="D178" s="336">
        <f>SUM(E180:E181)-D179</f>
        <v>593830</v>
      </c>
      <c r="E178" s="155"/>
      <c r="F178" s="113"/>
    </row>
    <row r="179" spans="1:9">
      <c r="A179" s="52" t="s">
        <v>423</v>
      </c>
      <c r="B179" s="160"/>
      <c r="C179" s="52" t="s">
        <v>423</v>
      </c>
      <c r="D179" s="336">
        <f>'Variación Patrimonio'!E145</f>
        <v>274690</v>
      </c>
      <c r="E179" s="155"/>
      <c r="F179" s="113"/>
    </row>
    <row r="180" spans="1:9">
      <c r="A180" s="151" t="s">
        <v>420</v>
      </c>
      <c r="B180" s="152"/>
      <c r="C180" s="52"/>
      <c r="D180" s="153"/>
      <c r="E180" s="339">
        <f>-'Variación Patrimonio'!E147</f>
        <v>860421</v>
      </c>
      <c r="F180" s="113"/>
    </row>
    <row r="181" spans="1:9">
      <c r="A181" s="607" t="s">
        <v>233</v>
      </c>
      <c r="B181" s="608"/>
      <c r="C181" s="57" t="s">
        <v>158</v>
      </c>
      <c r="D181" s="25"/>
      <c r="E181" s="337">
        <f>-'Variación Patrimonio'!E148</f>
        <v>8099</v>
      </c>
      <c r="F181" s="113"/>
    </row>
    <row r="182" spans="1:9">
      <c r="A182" s="377"/>
      <c r="B182" s="377"/>
      <c r="C182" s="55"/>
      <c r="D182" s="376"/>
      <c r="E182" s="376"/>
      <c r="F182" s="113"/>
    </row>
    <row r="183" spans="1:9">
      <c r="A183" s="377"/>
      <c r="B183" s="377"/>
      <c r="C183" s="55"/>
      <c r="D183" s="376">
        <f>SUM(D178:D182)</f>
        <v>868520</v>
      </c>
      <c r="E183" s="376">
        <f>SUM(E178:E182)</f>
        <v>868520</v>
      </c>
      <c r="F183" s="113"/>
    </row>
    <row r="184" spans="1:9">
      <c r="A184" s="377"/>
      <c r="B184" s="377"/>
      <c r="C184" s="55"/>
      <c r="D184" s="376"/>
      <c r="E184" s="376"/>
      <c r="F184" s="113"/>
    </row>
    <row r="185" spans="1:9">
      <c r="A185" s="377"/>
      <c r="B185" s="377"/>
      <c r="C185" s="55"/>
      <c r="D185" s="376"/>
      <c r="E185" s="376"/>
      <c r="F185" s="113"/>
    </row>
    <row r="186" spans="1:9" hidden="1">
      <c r="A186" s="27"/>
      <c r="B186" s="160"/>
      <c r="C186" s="51"/>
      <c r="D186" s="35">
        <f>SUM(D178:D185)</f>
        <v>1737040</v>
      </c>
      <c r="E186" s="35">
        <f>SUM(E178:E185)</f>
        <v>1737040</v>
      </c>
      <c r="F186" s="113"/>
      <c r="H186" s="145">
        <f>D64-E81+D87+D111+D63</f>
        <v>785555.55240000004</v>
      </c>
      <c r="I186" s="145" t="s">
        <v>304</v>
      </c>
    </row>
    <row r="187" spans="1:9" hidden="1">
      <c r="A187" s="160"/>
      <c r="B187" s="160"/>
      <c r="C187" s="113"/>
      <c r="D187" s="113"/>
      <c r="E187" s="113"/>
      <c r="F187" s="113"/>
      <c r="H187" s="145">
        <f>D129+D143-E132-'Diarios Cxc Cxp relac (c)'!E37</f>
        <v>268279.21999999997</v>
      </c>
      <c r="I187" s="145" t="s">
        <v>305</v>
      </c>
    </row>
    <row r="188" spans="1:9" hidden="1">
      <c r="A188" s="160"/>
      <c r="B188" s="160"/>
      <c r="C188" s="113"/>
      <c r="D188" s="113"/>
      <c r="E188" s="113"/>
      <c r="F188" s="113"/>
    </row>
    <row r="189" spans="1:9">
      <c r="A189" s="371" t="s">
        <v>422</v>
      </c>
      <c r="B189" s="160"/>
      <c r="C189" s="113"/>
      <c r="D189" s="113"/>
      <c r="E189" s="113"/>
      <c r="F189" s="113"/>
    </row>
    <row r="190" spans="1:9">
      <c r="A190" s="605" t="s">
        <v>25</v>
      </c>
      <c r="B190" s="606"/>
      <c r="C190" s="365" t="s">
        <v>45</v>
      </c>
      <c r="D190" s="21" t="s">
        <v>26</v>
      </c>
      <c r="E190" s="22" t="s">
        <v>27</v>
      </c>
      <c r="F190" s="113"/>
    </row>
    <row r="191" spans="1:9">
      <c r="A191" s="151" t="s">
        <v>196</v>
      </c>
      <c r="B191" s="152"/>
      <c r="C191" s="52" t="s">
        <v>204</v>
      </c>
      <c r="D191" s="336">
        <f>SUM(E192:E193)</f>
        <v>413242</v>
      </c>
      <c r="E191" s="155"/>
      <c r="F191" s="113"/>
    </row>
    <row r="192" spans="1:9">
      <c r="A192" s="151" t="s">
        <v>420</v>
      </c>
      <c r="B192" s="152"/>
      <c r="C192" s="52"/>
      <c r="D192" s="153"/>
      <c r="E192" s="339">
        <f>-'Variación Patrimonio'!E172</f>
        <v>144335</v>
      </c>
      <c r="F192" s="113"/>
    </row>
    <row r="193" spans="1:6">
      <c r="A193" s="607" t="s">
        <v>233</v>
      </c>
      <c r="B193" s="608"/>
      <c r="C193" s="57" t="s">
        <v>158</v>
      </c>
      <c r="D193" s="25"/>
      <c r="E193" s="337">
        <f>-'Variación Patrimonio'!E173</f>
        <v>268907</v>
      </c>
      <c r="F193" s="113"/>
    </row>
    <row r="194" spans="1:6">
      <c r="A194" s="27"/>
      <c r="B194" s="160"/>
      <c r="C194" s="51"/>
      <c r="D194" s="27"/>
      <c r="E194" s="27"/>
      <c r="F194" s="113"/>
    </row>
    <row r="195" spans="1:6">
      <c r="A195" s="27"/>
      <c r="B195" s="160"/>
      <c r="C195" s="51"/>
      <c r="D195" s="35">
        <f>SUM(D191:D194)</f>
        <v>413242</v>
      </c>
      <c r="E195" s="35">
        <f>SUM(E191:E194)</f>
        <v>413242</v>
      </c>
      <c r="F195" s="113"/>
    </row>
    <row r="196" spans="1:6">
      <c r="A196" s="160"/>
      <c r="B196" s="160"/>
      <c r="C196" s="113"/>
      <c r="D196" s="113"/>
      <c r="E196" s="113"/>
      <c r="F196" s="113"/>
    </row>
    <row r="197" spans="1:6">
      <c r="A197" s="160"/>
      <c r="B197" s="160"/>
      <c r="C197" s="113"/>
      <c r="D197" s="113"/>
      <c r="E197" s="113"/>
      <c r="F197" s="113"/>
    </row>
    <row r="198" spans="1:6">
      <c r="A198" s="160"/>
      <c r="B198" s="160"/>
      <c r="C198" s="113"/>
      <c r="D198" s="113">
        <f>D151+D183+D195</f>
        <v>47971755.467171066</v>
      </c>
      <c r="E198" s="113">
        <f>E151+E183+E195</f>
        <v>47971755.467171066</v>
      </c>
      <c r="F198" s="113"/>
    </row>
    <row r="199" spans="1:6">
      <c r="A199" s="160"/>
      <c r="B199" s="160"/>
      <c r="C199" s="113"/>
      <c r="D199" s="113"/>
      <c r="E199" s="113"/>
      <c r="F199" s="113"/>
    </row>
  </sheetData>
  <mergeCells count="50">
    <mergeCell ref="A177:B177"/>
    <mergeCell ref="A181:B181"/>
    <mergeCell ref="A190:B190"/>
    <mergeCell ref="A193:B193"/>
    <mergeCell ref="A126:B126"/>
    <mergeCell ref="A136:B136"/>
    <mergeCell ref="A141:B141"/>
    <mergeCell ref="M7:M8"/>
    <mergeCell ref="A30:B30"/>
    <mergeCell ref="C7:C8"/>
    <mergeCell ref="D7:D8"/>
    <mergeCell ref="E7:E8"/>
    <mergeCell ref="F7:F8"/>
    <mergeCell ref="G7:G8"/>
    <mergeCell ref="H7:H8"/>
    <mergeCell ref="A61:B61"/>
    <mergeCell ref="I7:I8"/>
    <mergeCell ref="J7:J8"/>
    <mergeCell ref="K7:K8"/>
    <mergeCell ref="L7:L8"/>
    <mergeCell ref="A31:B31"/>
    <mergeCell ref="A33:B33"/>
    <mergeCell ref="A37:B37"/>
    <mergeCell ref="A38:B38"/>
    <mergeCell ref="A39:B39"/>
    <mergeCell ref="A66:B66"/>
    <mergeCell ref="A78:B78"/>
    <mergeCell ref="A79:B79"/>
    <mergeCell ref="A81:B81"/>
    <mergeCell ref="A86:B86"/>
    <mergeCell ref="A71:B71"/>
    <mergeCell ref="A72:B72"/>
    <mergeCell ref="A73:B73"/>
    <mergeCell ref="A80:B80"/>
    <mergeCell ref="A110:B110"/>
    <mergeCell ref="A112:B112"/>
    <mergeCell ref="A117:B117"/>
    <mergeCell ref="A120:B120"/>
    <mergeCell ref="A44:B44"/>
    <mergeCell ref="A48:B48"/>
    <mergeCell ref="A54:B54"/>
    <mergeCell ref="A55:B55"/>
    <mergeCell ref="A56:B56"/>
    <mergeCell ref="A87:B87"/>
    <mergeCell ref="A89:B89"/>
    <mergeCell ref="A94:B94"/>
    <mergeCell ref="A98:B98"/>
    <mergeCell ref="A103:B103"/>
    <mergeCell ref="A105:B105"/>
    <mergeCell ref="A62:B62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2" workbookViewId="0">
      <selection activeCell="E33" sqref="E33"/>
    </sheetView>
  </sheetViews>
  <sheetFormatPr baseColWidth="10" defaultRowHeight="14.4"/>
  <cols>
    <col min="2" max="2" width="34.44140625" bestFit="1" customWidth="1"/>
    <col min="3" max="3" width="22.88671875" customWidth="1"/>
    <col min="4" max="4" width="16.6640625" customWidth="1"/>
    <col min="5" max="5" width="17.6640625" customWidth="1"/>
  </cols>
  <sheetData>
    <row r="1" spans="1:6">
      <c r="A1" s="26" t="s">
        <v>177</v>
      </c>
      <c r="B1" s="27"/>
      <c r="C1" s="72"/>
      <c r="D1" s="51"/>
      <c r="E1" s="51"/>
    </row>
    <row r="2" spans="1:6">
      <c r="A2" s="27"/>
      <c r="B2" s="27"/>
      <c r="C2" s="72"/>
      <c r="D2" s="51"/>
      <c r="E2" s="51"/>
    </row>
    <row r="3" spans="1:6">
      <c r="A3" s="27"/>
      <c r="B3" s="37" t="s">
        <v>0</v>
      </c>
      <c r="C3" s="73" t="s">
        <v>45</v>
      </c>
      <c r="D3" s="83" t="s">
        <v>1</v>
      </c>
      <c r="E3" s="83" t="s">
        <v>2</v>
      </c>
    </row>
    <row r="4" spans="1:6" s="96" customFormat="1">
      <c r="A4" s="27"/>
      <c r="B4" s="39" t="s">
        <v>155</v>
      </c>
      <c r="C4" s="52" t="s">
        <v>182</v>
      </c>
      <c r="D4" s="54">
        <v>0</v>
      </c>
      <c r="E4" s="362">
        <v>4733</v>
      </c>
    </row>
    <row r="5" spans="1:6" s="96" customFormat="1">
      <c r="A5" s="27"/>
      <c r="B5" s="39" t="s">
        <v>412</v>
      </c>
      <c r="C5" s="52" t="s">
        <v>265</v>
      </c>
      <c r="D5" s="333"/>
      <c r="E5" s="332">
        <v>2603205</v>
      </c>
    </row>
    <row r="6" spans="1:6" s="96" customFormat="1">
      <c r="A6" s="27"/>
      <c r="B6" s="39" t="s">
        <v>5</v>
      </c>
      <c r="C6" s="52" t="s">
        <v>416</v>
      </c>
      <c r="D6" s="333"/>
      <c r="E6" s="332">
        <v>886844</v>
      </c>
    </row>
    <row r="7" spans="1:6" s="96" customFormat="1">
      <c r="A7" s="27"/>
      <c r="B7" s="39" t="s">
        <v>290</v>
      </c>
      <c r="C7" s="52" t="s">
        <v>148</v>
      </c>
      <c r="D7" s="333"/>
      <c r="E7" s="332">
        <v>40694</v>
      </c>
    </row>
    <row r="8" spans="1:6" s="96" customFormat="1">
      <c r="A8" s="27"/>
      <c r="B8" s="39" t="s">
        <v>5</v>
      </c>
      <c r="C8" s="52" t="s">
        <v>219</v>
      </c>
      <c r="D8" s="333"/>
      <c r="E8" s="332">
        <v>1077232</v>
      </c>
    </row>
    <row r="9" spans="1:6" s="96" customFormat="1">
      <c r="A9" s="27"/>
      <c r="B9" s="39" t="s">
        <v>412</v>
      </c>
      <c r="C9" s="52" t="s">
        <v>148</v>
      </c>
      <c r="D9" s="333"/>
      <c r="E9" s="332">
        <v>3437161</v>
      </c>
    </row>
    <row r="10" spans="1:6" s="96" customFormat="1">
      <c r="A10" s="27"/>
      <c r="B10" s="39" t="s">
        <v>5</v>
      </c>
      <c r="C10" s="52" t="s">
        <v>410</v>
      </c>
      <c r="D10" s="333"/>
      <c r="E10" s="332">
        <v>74539</v>
      </c>
    </row>
    <row r="11" spans="1:6" s="96" customFormat="1">
      <c r="A11" s="27"/>
      <c r="B11" s="39" t="s">
        <v>5</v>
      </c>
      <c r="C11" s="52" t="s">
        <v>218</v>
      </c>
      <c r="D11" s="333"/>
      <c r="E11" s="332">
        <v>633374</v>
      </c>
      <c r="F11" s="96" t="s">
        <v>347</v>
      </c>
    </row>
    <row r="12" spans="1:6" s="96" customFormat="1">
      <c r="A12" s="27"/>
      <c r="B12" s="39" t="s">
        <v>5</v>
      </c>
      <c r="C12" s="334" t="s">
        <v>416</v>
      </c>
      <c r="D12" s="333"/>
      <c r="E12" s="332">
        <v>269135</v>
      </c>
    </row>
    <row r="13" spans="1:6" s="96" customFormat="1">
      <c r="A13" s="27"/>
      <c r="B13" s="39" t="s">
        <v>153</v>
      </c>
      <c r="C13" s="334" t="s">
        <v>265</v>
      </c>
      <c r="D13" s="150">
        <v>4733</v>
      </c>
      <c r="E13" s="333"/>
    </row>
    <row r="14" spans="1:6" s="96" customFormat="1">
      <c r="A14" s="27"/>
      <c r="B14" s="39" t="s">
        <v>7</v>
      </c>
      <c r="C14" s="52" t="s">
        <v>416</v>
      </c>
      <c r="D14" s="142">
        <v>269135</v>
      </c>
      <c r="E14" s="52"/>
    </row>
    <row r="15" spans="1:6" s="96" customFormat="1">
      <c r="A15" s="27"/>
      <c r="B15" s="39" t="s">
        <v>153</v>
      </c>
      <c r="C15" s="52" t="s">
        <v>217</v>
      </c>
      <c r="D15" s="142">
        <v>36270</v>
      </c>
      <c r="E15" s="52"/>
    </row>
    <row r="16" spans="1:6" s="96" customFormat="1">
      <c r="A16" s="27"/>
      <c r="B16" s="39" t="s">
        <v>153</v>
      </c>
      <c r="C16" s="52" t="s">
        <v>217</v>
      </c>
      <c r="D16" s="142">
        <v>2566935</v>
      </c>
      <c r="E16" s="52"/>
    </row>
    <row r="17" spans="1:6" s="96" customFormat="1">
      <c r="A17" s="27"/>
      <c r="B17" s="39" t="s">
        <v>413</v>
      </c>
      <c r="C17" s="52" t="s">
        <v>217</v>
      </c>
      <c r="D17" s="142">
        <v>3477855</v>
      </c>
      <c r="E17" s="52"/>
    </row>
    <row r="18" spans="1:6" s="96" customFormat="1">
      <c r="A18" s="27"/>
      <c r="B18" s="39" t="s">
        <v>424</v>
      </c>
      <c r="C18" s="52" t="s">
        <v>144</v>
      </c>
      <c r="D18" s="142">
        <v>886844</v>
      </c>
      <c r="E18" s="52"/>
    </row>
    <row r="19" spans="1:6" s="96" customFormat="1">
      <c r="A19" s="27"/>
      <c r="B19" s="39" t="s">
        <v>153</v>
      </c>
      <c r="C19" s="52" t="s">
        <v>217</v>
      </c>
      <c r="D19" s="142">
        <v>74539</v>
      </c>
      <c r="E19" s="52"/>
    </row>
    <row r="20" spans="1:6" s="96" customFormat="1">
      <c r="A20" s="27"/>
      <c r="B20" s="39" t="s">
        <v>414</v>
      </c>
      <c r="C20" s="52" t="s">
        <v>217</v>
      </c>
      <c r="D20" s="142">
        <v>125748</v>
      </c>
      <c r="E20" s="52"/>
    </row>
    <row r="21" spans="1:6" s="96" customFormat="1">
      <c r="A21" s="27"/>
      <c r="B21" s="39" t="s">
        <v>413</v>
      </c>
      <c r="C21" s="52" t="s">
        <v>415</v>
      </c>
      <c r="D21" s="142">
        <v>507600</v>
      </c>
      <c r="E21" s="52"/>
    </row>
    <row r="22" spans="1:6" s="96" customFormat="1">
      <c r="A22" s="27"/>
      <c r="B22" s="39" t="s">
        <v>7</v>
      </c>
      <c r="C22" s="52" t="s">
        <v>219</v>
      </c>
      <c r="D22" s="142">
        <v>901340</v>
      </c>
      <c r="E22" s="52"/>
      <c r="F22" s="96" t="s">
        <v>347</v>
      </c>
    </row>
    <row r="23" spans="1:6" s="96" customFormat="1">
      <c r="A23" s="27"/>
      <c r="B23" s="42" t="s">
        <v>430</v>
      </c>
      <c r="C23" s="52" t="s">
        <v>219</v>
      </c>
      <c r="D23" s="378">
        <v>175918</v>
      </c>
      <c r="E23" s="57"/>
      <c r="F23" s="96" t="s">
        <v>425</v>
      </c>
    </row>
    <row r="24" spans="1:6">
      <c r="A24" s="27"/>
      <c r="B24" s="27"/>
      <c r="C24" s="72"/>
      <c r="D24" s="58">
        <f>SUM(D4:D23)</f>
        <v>9026917</v>
      </c>
      <c r="E24" s="58">
        <f>SUM(E4:E23)</f>
        <v>9026917</v>
      </c>
    </row>
    <row r="26" spans="1:6">
      <c r="E26" s="89">
        <f>E24-D24</f>
        <v>0</v>
      </c>
    </row>
    <row r="27" spans="1:6">
      <c r="B27" s="167" t="s">
        <v>266</v>
      </c>
      <c r="C27" s="134"/>
      <c r="D27" s="134"/>
      <c r="E27" s="134"/>
    </row>
    <row r="28" spans="1:6">
      <c r="B28" s="134"/>
      <c r="C28" s="134"/>
      <c r="D28" s="134"/>
      <c r="E28" s="134"/>
    </row>
    <row r="29" spans="1:6">
      <c r="B29" s="134" t="s">
        <v>7</v>
      </c>
      <c r="C29" s="134"/>
      <c r="D29" s="379">
        <f>D13+D14+D15+D16+D19+D20+D22+D18</f>
        <v>4865544</v>
      </c>
      <c r="E29" s="134"/>
    </row>
    <row r="30" spans="1:6">
      <c r="B30" s="134" t="s">
        <v>84</v>
      </c>
      <c r="C30" s="134"/>
      <c r="D30" s="379">
        <f>D21+D17</f>
        <v>3985455</v>
      </c>
      <c r="E30" s="134"/>
    </row>
    <row r="31" spans="1:6">
      <c r="B31" s="134" t="s">
        <v>80</v>
      </c>
      <c r="C31" s="134"/>
      <c r="D31" s="89">
        <v>0</v>
      </c>
      <c r="E31" s="134"/>
    </row>
    <row r="32" spans="1:6">
      <c r="B32" s="134" t="s">
        <v>282</v>
      </c>
      <c r="C32" s="134"/>
      <c r="D32" s="379">
        <f>D23</f>
        <v>175918</v>
      </c>
      <c r="E32" s="134"/>
    </row>
    <row r="33" spans="2:5">
      <c r="B33" s="134" t="s">
        <v>155</v>
      </c>
      <c r="C33" s="134"/>
      <c r="D33" s="134"/>
      <c r="E33" s="379">
        <f>E5+E8+E9+E10+E11+E4+E12+E6</f>
        <v>8986223</v>
      </c>
    </row>
    <row r="34" spans="2:5" s="134" customFormat="1">
      <c r="B34" s="134" t="s">
        <v>294</v>
      </c>
      <c r="E34" s="379">
        <f>E7</f>
        <v>40694</v>
      </c>
    </row>
    <row r="35" spans="2:5" s="134" customFormat="1">
      <c r="B35" s="134" t="s">
        <v>68</v>
      </c>
      <c r="E35" s="89">
        <f>E21</f>
        <v>0</v>
      </c>
    </row>
    <row r="36" spans="2:5">
      <c r="B36" s="134" t="s">
        <v>283</v>
      </c>
      <c r="C36" s="134"/>
      <c r="D36" s="134"/>
      <c r="E36" s="89">
        <f>E20+E22</f>
        <v>0</v>
      </c>
    </row>
    <row r="37" spans="2:5">
      <c r="B37" s="134" t="s">
        <v>157</v>
      </c>
      <c r="C37" s="134"/>
      <c r="D37" s="134"/>
      <c r="E37" s="89">
        <f>E23</f>
        <v>0</v>
      </c>
    </row>
    <row r="38" spans="2:5">
      <c r="B38" s="134"/>
      <c r="C38" s="134"/>
      <c r="D38" s="173">
        <f>SUM(D29:D37)</f>
        <v>9026917</v>
      </c>
      <c r="E38" s="173">
        <f>SUM(E29:E37)</f>
        <v>9026917</v>
      </c>
    </row>
    <row r="39" spans="2:5">
      <c r="B39" s="134"/>
      <c r="C39" s="134"/>
      <c r="D39" s="134"/>
      <c r="E39" s="134"/>
    </row>
    <row r="40" spans="2:5">
      <c r="B40" s="134"/>
      <c r="C40" s="134"/>
      <c r="D40" s="89">
        <f>D24-D38</f>
        <v>0</v>
      </c>
      <c r="E40" s="89">
        <f>E24-E38</f>
        <v>0</v>
      </c>
    </row>
  </sheetData>
  <conditionalFormatting sqref="E19:E2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3" workbookViewId="0">
      <selection activeCell="E29" sqref="E29"/>
    </sheetView>
  </sheetViews>
  <sheetFormatPr baseColWidth="10" defaultRowHeight="14.4"/>
  <cols>
    <col min="2" max="2" width="39.44140625" bestFit="1" customWidth="1"/>
    <col min="3" max="3" width="18.88671875" bestFit="1" customWidth="1"/>
  </cols>
  <sheetData>
    <row r="1" spans="1:6">
      <c r="A1" s="26" t="s">
        <v>297</v>
      </c>
      <c r="B1" s="27"/>
      <c r="C1" s="51"/>
      <c r="D1" s="51"/>
      <c r="E1" s="51"/>
    </row>
    <row r="2" spans="1:6">
      <c r="A2" s="27"/>
      <c r="B2" s="27"/>
      <c r="C2" s="51"/>
      <c r="D2" s="51"/>
      <c r="E2" s="51"/>
    </row>
    <row r="3" spans="1:6">
      <c r="A3" s="27"/>
      <c r="B3" s="36" t="s">
        <v>0</v>
      </c>
      <c r="C3" s="73" t="s">
        <v>45</v>
      </c>
      <c r="D3" s="82" t="s">
        <v>1</v>
      </c>
      <c r="E3" s="83" t="s">
        <v>2</v>
      </c>
    </row>
    <row r="4" spans="1:6">
      <c r="A4" s="27"/>
      <c r="B4" s="345" t="s">
        <v>298</v>
      </c>
      <c r="C4" s="342" t="s">
        <v>151</v>
      </c>
      <c r="D4" s="54">
        <v>7761</v>
      </c>
      <c r="E4" s="54"/>
    </row>
    <row r="5" spans="1:6" s="96" customFormat="1">
      <c r="A5" s="27"/>
      <c r="B5" s="40" t="s">
        <v>299</v>
      </c>
      <c r="C5" s="76" t="s">
        <v>426</v>
      </c>
      <c r="D5" s="55"/>
      <c r="E5" s="52">
        <f>D4</f>
        <v>7761</v>
      </c>
    </row>
    <row r="6" spans="1:6" s="96" customFormat="1">
      <c r="A6" s="27"/>
      <c r="B6" s="341"/>
      <c r="C6" s="342"/>
      <c r="D6" s="334"/>
      <c r="E6" s="52"/>
      <c r="F6" s="343"/>
    </row>
    <row r="7" spans="1:6" s="96" customFormat="1">
      <c r="A7" s="27"/>
      <c r="B7" s="344" t="s">
        <v>298</v>
      </c>
      <c r="C7" s="76" t="s">
        <v>151</v>
      </c>
      <c r="D7" s="52">
        <v>89615</v>
      </c>
      <c r="E7" s="52"/>
    </row>
    <row r="8" spans="1:6" s="96" customFormat="1">
      <c r="A8" s="27"/>
      <c r="B8" s="40" t="s">
        <v>299</v>
      </c>
      <c r="C8" s="76" t="s">
        <v>427</v>
      </c>
      <c r="D8" s="55"/>
      <c r="E8" s="52">
        <f>D7</f>
        <v>89615</v>
      </c>
    </row>
    <row r="9" spans="1:6" s="96" customFormat="1">
      <c r="A9" s="27"/>
      <c r="B9" s="40"/>
      <c r="C9" s="76"/>
      <c r="D9" s="55"/>
      <c r="E9" s="52"/>
    </row>
    <row r="10" spans="1:6" s="96" customFormat="1">
      <c r="A10" s="27"/>
      <c r="B10" s="344" t="s">
        <v>298</v>
      </c>
      <c r="C10" s="76" t="s">
        <v>151</v>
      </c>
      <c r="D10" s="55">
        <v>88898</v>
      </c>
      <c r="E10" s="52"/>
    </row>
    <row r="11" spans="1:6" s="96" customFormat="1">
      <c r="A11" s="27"/>
      <c r="B11" s="40" t="s">
        <v>73</v>
      </c>
      <c r="C11" s="52" t="s">
        <v>204</v>
      </c>
      <c r="D11" s="55"/>
      <c r="E11" s="52"/>
    </row>
    <row r="12" spans="1:6" s="96" customFormat="1">
      <c r="A12" s="27"/>
      <c r="B12" s="40" t="s">
        <v>6</v>
      </c>
      <c r="C12" s="52" t="s">
        <v>204</v>
      </c>
      <c r="D12" s="55"/>
      <c r="E12" s="52">
        <v>11306</v>
      </c>
    </row>
    <row r="13" spans="1:6">
      <c r="A13" s="27"/>
      <c r="B13" s="40" t="s">
        <v>90</v>
      </c>
      <c r="C13" s="76"/>
      <c r="D13" s="55"/>
      <c r="E13" s="52">
        <v>77592</v>
      </c>
    </row>
    <row r="14" spans="1:6" s="134" customFormat="1">
      <c r="A14" s="27"/>
      <c r="B14" s="40"/>
      <c r="C14" s="76"/>
      <c r="D14" s="55"/>
      <c r="E14" s="52"/>
    </row>
    <row r="15" spans="1:6" s="134" customFormat="1">
      <c r="A15" s="27"/>
      <c r="B15" s="344" t="s">
        <v>298</v>
      </c>
      <c r="C15" s="76" t="s">
        <v>151</v>
      </c>
      <c r="D15" s="52">
        <v>85390</v>
      </c>
      <c r="E15" s="52"/>
    </row>
    <row r="16" spans="1:6" s="134" customFormat="1">
      <c r="A16" s="27"/>
      <c r="B16" s="40" t="s">
        <v>299</v>
      </c>
      <c r="C16" s="76" t="s">
        <v>295</v>
      </c>
      <c r="D16" s="55"/>
      <c r="E16" s="52">
        <f>D15</f>
        <v>85390</v>
      </c>
    </row>
    <row r="17" spans="1:5" s="134" customFormat="1">
      <c r="A17" s="27"/>
      <c r="B17" s="40"/>
      <c r="C17" s="76"/>
      <c r="D17" s="55"/>
      <c r="E17" s="52"/>
    </row>
    <row r="18" spans="1:5">
      <c r="A18" s="27"/>
      <c r="B18" s="39" t="s">
        <v>300</v>
      </c>
      <c r="C18" s="76" t="s">
        <v>151</v>
      </c>
      <c r="D18" s="55">
        <v>96986</v>
      </c>
      <c r="E18" s="52"/>
    </row>
    <row r="19" spans="1:5">
      <c r="A19" s="27"/>
      <c r="B19" s="40" t="s">
        <v>90</v>
      </c>
      <c r="C19" s="76" t="s">
        <v>267</v>
      </c>
      <c r="D19" s="55"/>
      <c r="E19" s="52">
        <f>+D18</f>
        <v>96986</v>
      </c>
    </row>
    <row r="20" spans="1:5">
      <c r="A20" s="27"/>
      <c r="B20" s="40"/>
      <c r="C20" s="76"/>
      <c r="D20" s="55"/>
      <c r="E20" s="52"/>
    </row>
    <row r="21" spans="1:5">
      <c r="A21" s="27"/>
      <c r="B21" s="39" t="s">
        <v>300</v>
      </c>
      <c r="C21" s="76" t="s">
        <v>267</v>
      </c>
      <c r="D21" s="55">
        <v>7818.58</v>
      </c>
      <c r="E21" s="52"/>
    </row>
    <row r="22" spans="1:5">
      <c r="A22" s="27"/>
      <c r="B22" s="41" t="s">
        <v>388</v>
      </c>
      <c r="C22" s="79" t="s">
        <v>151</v>
      </c>
      <c r="D22" s="56"/>
      <c r="E22" s="57">
        <v>7818.58</v>
      </c>
    </row>
    <row r="23" spans="1:5">
      <c r="A23" s="27"/>
      <c r="B23" s="27"/>
      <c r="C23" s="72"/>
      <c r="D23" s="58">
        <f>SUM(D4:D22)</f>
        <v>376468.58</v>
      </c>
      <c r="E23" s="58">
        <f>SUM(E4:E22)</f>
        <v>376468.58</v>
      </c>
    </row>
    <row r="26" spans="1:5">
      <c r="B26" t="s">
        <v>300</v>
      </c>
      <c r="D26" s="379">
        <f>D4+D18+D21+D7+D10+D15</f>
        <v>376468.58</v>
      </c>
    </row>
    <row r="27" spans="1:5">
      <c r="B27" s="188" t="s">
        <v>90</v>
      </c>
      <c r="E27" s="379">
        <f>E5+E19+E16+E13+E8</f>
        <v>357344</v>
      </c>
    </row>
    <row r="28" spans="1:5">
      <c r="B28" s="188" t="s">
        <v>388</v>
      </c>
      <c r="E28" s="379">
        <f>E22</f>
        <v>7818.58</v>
      </c>
    </row>
    <row r="29" spans="1:5">
      <c r="B29" s="188" t="s">
        <v>73</v>
      </c>
      <c r="E29" s="379">
        <f>E11</f>
        <v>0</v>
      </c>
    </row>
    <row r="30" spans="1:5">
      <c r="B30" s="188" t="s">
        <v>6</v>
      </c>
      <c r="E30" s="379">
        <f>E12</f>
        <v>11306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ESF - ERI</vt:lpstr>
      <vt:lpstr>EF Informe</vt:lpstr>
      <vt:lpstr>PyG Informe</vt:lpstr>
      <vt:lpstr>Estado de Cambios en el Patr.</vt:lpstr>
      <vt:lpstr>Variación Patrimonio</vt:lpstr>
      <vt:lpstr>Diario 2015 (a)</vt:lpstr>
      <vt:lpstr>Diarios Var.Inversión -Patr (b)</vt:lpstr>
      <vt:lpstr>Diarios Cxc Cxp relac (c)</vt:lpstr>
      <vt:lpstr>Ventas-Compras (d)</vt:lpstr>
      <vt:lpstr>Asientos - para Consolidado</vt:lpstr>
      <vt:lpstr>PNC</vt:lpstr>
      <vt:lpstr>Hoja2</vt:lpstr>
      <vt:lpstr>Planilla Final</vt:lpstr>
      <vt:lpstr>Participaciones</vt:lpstr>
      <vt:lpstr>ESF2017</vt:lpstr>
      <vt:lpstr>ERI2017</vt:lpstr>
      <vt:lpstr>ECP2017</vt:lpstr>
      <vt:lpstr>EFE2017</vt:lpstr>
      <vt:lpstr>'Asientos - para Consolidado'!Área_de_impresión</vt:lpstr>
      <vt:lpstr>'ESF - ERI'!Área_de_impresión</vt:lpstr>
      <vt:lpstr>PNC!Área_de_impresión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 Rafael Hungría Cortez</dc:creator>
  <cp:lastModifiedBy>Karina Villafuerte Echeverría</cp:lastModifiedBy>
  <cp:lastPrinted>2018-07-18T16:56:18Z</cp:lastPrinted>
  <dcterms:created xsi:type="dcterms:W3CDTF">2015-04-08T16:45:18Z</dcterms:created>
  <dcterms:modified xsi:type="dcterms:W3CDTF">2019-04-17T15:22:32Z</dcterms:modified>
</cp:coreProperties>
</file>