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Telconet y subsidiarias 2018\"/>
    </mc:Choice>
  </mc:AlternateContent>
  <xr:revisionPtr revIDLastSave="0" documentId="13_ncr:1_{298D3F99-0F96-412C-8044-3707703E13CF}" xr6:coauthVersionLast="43" xr6:coauthVersionMax="43" xr10:uidLastSave="{00000000-0000-0000-0000-000000000000}"/>
  <bookViews>
    <workbookView xWindow="-120" yWindow="-120" windowWidth="20730" windowHeight="11160" tabRatio="711" activeTab="2" xr2:uid="{00000000-000D-0000-FFFF-FFFF00000000}"/>
  </bookViews>
  <sheets>
    <sheet name="Resumen" sheetId="5" r:id="rId1"/>
    <sheet name="MS" sheetId="6" r:id="rId2"/>
    <sheet name="CGA" sheetId="7" r:id="rId3"/>
    <sheet name="Diferencias" sheetId="8" r:id="rId4"/>
    <sheet name="Patrimonio" sheetId="1" r:id="rId5"/>
    <sheet name="Balance" sheetId="2" r:id="rId6"/>
    <sheet name="Resultados" sheetId="3" r:id="rId7"/>
    <sheet name="Linkotel" sheetId="4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5" l="1"/>
  <c r="O13" i="5" s="1"/>
  <c r="M13" i="5"/>
  <c r="N43" i="8"/>
  <c r="N44" i="8"/>
  <c r="N45" i="8"/>
  <c r="N46" i="8"/>
  <c r="N47" i="8"/>
  <c r="N48" i="8"/>
  <c r="N49" i="8"/>
  <c r="N50" i="8"/>
  <c r="N51" i="8"/>
  <c r="N52" i="8"/>
  <c r="N42" i="8"/>
  <c r="M43" i="8"/>
  <c r="C48" i="8"/>
  <c r="D48" i="8"/>
  <c r="E48" i="8"/>
  <c r="F48" i="8"/>
  <c r="G48" i="8"/>
  <c r="H48" i="8"/>
  <c r="I48" i="8"/>
  <c r="J48" i="8"/>
  <c r="K48" i="8"/>
  <c r="L48" i="8"/>
  <c r="M48" i="8"/>
  <c r="B48" i="8"/>
  <c r="N13" i="5"/>
  <c r="C42" i="8"/>
  <c r="D42" i="8"/>
  <c r="E42" i="8"/>
  <c r="F42" i="8"/>
  <c r="G42" i="8"/>
  <c r="H42" i="8"/>
  <c r="I42" i="8"/>
  <c r="J42" i="8"/>
  <c r="K42" i="8"/>
  <c r="L42" i="8"/>
  <c r="M42" i="8"/>
  <c r="C43" i="8"/>
  <c r="D43" i="8"/>
  <c r="E43" i="8"/>
  <c r="F43" i="8"/>
  <c r="G43" i="8"/>
  <c r="H43" i="8"/>
  <c r="I43" i="8"/>
  <c r="J43" i="8"/>
  <c r="K43" i="8"/>
  <c r="L43" i="8"/>
  <c r="C44" i="8"/>
  <c r="D44" i="8"/>
  <c r="E44" i="8"/>
  <c r="F44" i="8"/>
  <c r="G44" i="8"/>
  <c r="H44" i="8"/>
  <c r="I44" i="8"/>
  <c r="J44" i="8"/>
  <c r="K44" i="8"/>
  <c r="L44" i="8"/>
  <c r="M44" i="8"/>
  <c r="C45" i="8"/>
  <c r="D45" i="8"/>
  <c r="E45" i="8"/>
  <c r="F45" i="8"/>
  <c r="G45" i="8"/>
  <c r="H45" i="8"/>
  <c r="I45" i="8"/>
  <c r="J45" i="8"/>
  <c r="K45" i="8"/>
  <c r="L45" i="8"/>
  <c r="M45" i="8"/>
  <c r="C46" i="8"/>
  <c r="D46" i="8"/>
  <c r="E46" i="8"/>
  <c r="F46" i="8"/>
  <c r="G46" i="8"/>
  <c r="H46" i="8"/>
  <c r="I46" i="8"/>
  <c r="J46" i="8"/>
  <c r="K46" i="8"/>
  <c r="L46" i="8"/>
  <c r="M46" i="8"/>
  <c r="C47" i="8"/>
  <c r="D47" i="8"/>
  <c r="E47" i="8"/>
  <c r="F47" i="8"/>
  <c r="G47" i="8"/>
  <c r="H47" i="8"/>
  <c r="I47" i="8"/>
  <c r="J47" i="8"/>
  <c r="K47" i="8"/>
  <c r="L47" i="8"/>
  <c r="M47" i="8"/>
  <c r="C49" i="8"/>
  <c r="D49" i="8"/>
  <c r="E49" i="8"/>
  <c r="F49" i="8"/>
  <c r="G49" i="8"/>
  <c r="H49" i="8"/>
  <c r="I49" i="8"/>
  <c r="J49" i="8"/>
  <c r="K49" i="8"/>
  <c r="L49" i="8"/>
  <c r="M49" i="8"/>
  <c r="C50" i="8"/>
  <c r="D50" i="8"/>
  <c r="E50" i="8"/>
  <c r="F50" i="8"/>
  <c r="G50" i="8"/>
  <c r="H50" i="8"/>
  <c r="I50" i="8"/>
  <c r="J50" i="8"/>
  <c r="K50" i="8"/>
  <c r="L50" i="8"/>
  <c r="M50" i="8"/>
  <c r="C51" i="8"/>
  <c r="D51" i="8"/>
  <c r="E51" i="8"/>
  <c r="F51" i="8"/>
  <c r="G51" i="8"/>
  <c r="H51" i="8"/>
  <c r="I51" i="8"/>
  <c r="J51" i="8"/>
  <c r="K51" i="8"/>
  <c r="L51" i="8"/>
  <c r="M51" i="8"/>
  <c r="C52" i="8"/>
  <c r="D52" i="8"/>
  <c r="E52" i="8"/>
  <c r="F52" i="8"/>
  <c r="G52" i="8"/>
  <c r="H52" i="8"/>
  <c r="I52" i="8"/>
  <c r="J52" i="8"/>
  <c r="K52" i="8"/>
  <c r="L52" i="8"/>
  <c r="M52" i="8"/>
  <c r="B46" i="8"/>
  <c r="B45" i="8"/>
  <c r="B44" i="8"/>
  <c r="B43" i="8"/>
  <c r="B52" i="8"/>
  <c r="B51" i="8"/>
  <c r="B50" i="8"/>
  <c r="B49" i="8"/>
  <c r="B47" i="8"/>
  <c r="C24" i="8" l="1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N25" i="8"/>
  <c r="C26" i="8"/>
  <c r="D26" i="8"/>
  <c r="E26" i="8"/>
  <c r="F26" i="8"/>
  <c r="G26" i="8"/>
  <c r="H26" i="8"/>
  <c r="I26" i="8"/>
  <c r="J26" i="8"/>
  <c r="K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C28" i="8"/>
  <c r="D28" i="8"/>
  <c r="E28" i="8"/>
  <c r="F28" i="8"/>
  <c r="G28" i="8"/>
  <c r="H28" i="8"/>
  <c r="I28" i="8"/>
  <c r="J28" i="8"/>
  <c r="K28" i="8"/>
  <c r="L28" i="8"/>
  <c r="M28" i="8"/>
  <c r="N28" i="8"/>
  <c r="C29" i="8"/>
  <c r="D29" i="8"/>
  <c r="E29" i="8"/>
  <c r="F29" i="8"/>
  <c r="G29" i="8"/>
  <c r="H29" i="8"/>
  <c r="I29" i="8"/>
  <c r="J29" i="8"/>
  <c r="K29" i="8"/>
  <c r="L29" i="8"/>
  <c r="M29" i="8"/>
  <c r="N29" i="8"/>
  <c r="C30" i="8"/>
  <c r="D30" i="8"/>
  <c r="E30" i="8"/>
  <c r="F30" i="8"/>
  <c r="G30" i="8"/>
  <c r="H30" i="8"/>
  <c r="I30" i="8"/>
  <c r="J30" i="8"/>
  <c r="K30" i="8"/>
  <c r="L30" i="8"/>
  <c r="M30" i="8"/>
  <c r="N30" i="8"/>
  <c r="C31" i="8"/>
  <c r="D31" i="8"/>
  <c r="E31" i="8"/>
  <c r="F31" i="8"/>
  <c r="G31" i="8"/>
  <c r="H31" i="8"/>
  <c r="I31" i="8"/>
  <c r="J31" i="8"/>
  <c r="K31" i="8"/>
  <c r="L31" i="8"/>
  <c r="M31" i="8"/>
  <c r="N31" i="8"/>
  <c r="C32" i="8"/>
  <c r="D32" i="8"/>
  <c r="E32" i="8"/>
  <c r="F32" i="8"/>
  <c r="G32" i="8"/>
  <c r="H32" i="8"/>
  <c r="I32" i="8"/>
  <c r="J32" i="8"/>
  <c r="K32" i="8"/>
  <c r="L32" i="8"/>
  <c r="M32" i="8"/>
  <c r="N32" i="8"/>
  <c r="C33" i="8"/>
  <c r="D33" i="8"/>
  <c r="E33" i="8"/>
  <c r="F33" i="8"/>
  <c r="G33" i="8"/>
  <c r="H33" i="8"/>
  <c r="I33" i="8"/>
  <c r="J33" i="8"/>
  <c r="K33" i="8"/>
  <c r="L33" i="8"/>
  <c r="M33" i="8"/>
  <c r="N33" i="8"/>
  <c r="C34" i="8"/>
  <c r="D34" i="8"/>
  <c r="E34" i="8"/>
  <c r="F34" i="8"/>
  <c r="G34" i="8"/>
  <c r="H34" i="8"/>
  <c r="I34" i="8"/>
  <c r="J34" i="8"/>
  <c r="K34" i="8"/>
  <c r="L34" i="8"/>
  <c r="M34" i="8"/>
  <c r="N34" i="8"/>
  <c r="C35" i="8"/>
  <c r="D35" i="8"/>
  <c r="E35" i="8"/>
  <c r="F35" i="8"/>
  <c r="G35" i="8"/>
  <c r="H35" i="8"/>
  <c r="I35" i="8"/>
  <c r="J35" i="8"/>
  <c r="K35" i="8"/>
  <c r="L35" i="8"/>
  <c r="M35" i="8"/>
  <c r="N35" i="8"/>
  <c r="C36" i="8"/>
  <c r="D36" i="8"/>
  <c r="E36" i="8"/>
  <c r="F36" i="8"/>
  <c r="G36" i="8"/>
  <c r="H36" i="8"/>
  <c r="I36" i="8"/>
  <c r="J36" i="8"/>
  <c r="K36" i="8"/>
  <c r="K11" i="5" s="1"/>
  <c r="O11" i="5" s="1"/>
  <c r="L36" i="8"/>
  <c r="N11" i="5" s="1"/>
  <c r="M36" i="8"/>
  <c r="M11" i="5" s="1"/>
  <c r="N36" i="8"/>
  <c r="C37" i="8"/>
  <c r="D37" i="8"/>
  <c r="E37" i="8"/>
  <c r="F37" i="8"/>
  <c r="G37" i="8"/>
  <c r="H37" i="8"/>
  <c r="I37" i="8"/>
  <c r="J37" i="8"/>
  <c r="K37" i="8"/>
  <c r="L37" i="8"/>
  <c r="M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C39" i="8"/>
  <c r="D39" i="8"/>
  <c r="E39" i="8"/>
  <c r="F39" i="8"/>
  <c r="G39" i="8"/>
  <c r="H39" i="8"/>
  <c r="I39" i="8"/>
  <c r="J39" i="8"/>
  <c r="K39" i="8"/>
  <c r="L39" i="8"/>
  <c r="M39" i="8"/>
  <c r="N39" i="8"/>
  <c r="C40" i="8"/>
  <c r="D40" i="8"/>
  <c r="E40" i="8"/>
  <c r="F40" i="8"/>
  <c r="G40" i="8"/>
  <c r="H40" i="8"/>
  <c r="I40" i="8"/>
  <c r="J40" i="8"/>
  <c r="K40" i="8"/>
  <c r="L40" i="8"/>
  <c r="M40" i="8"/>
  <c r="N40" i="8"/>
  <c r="C41" i="8"/>
  <c r="D41" i="8"/>
  <c r="E41" i="8"/>
  <c r="F41" i="8"/>
  <c r="G41" i="8"/>
  <c r="H41" i="8"/>
  <c r="I41" i="8"/>
  <c r="J41" i="8"/>
  <c r="K41" i="8"/>
  <c r="L41" i="8"/>
  <c r="M41" i="8"/>
  <c r="N41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24" i="8"/>
  <c r="C5" i="8"/>
  <c r="D5" i="8"/>
  <c r="E5" i="8"/>
  <c r="F5" i="8"/>
  <c r="G5" i="8"/>
  <c r="H5" i="8"/>
  <c r="I5" i="8"/>
  <c r="J5" i="8"/>
  <c r="K5" i="8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M7" i="5" s="1"/>
  <c r="O7" i="5" s="1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5" i="8"/>
  <c r="G7" i="5"/>
  <c r="G13" i="5"/>
  <c r="G10" i="5"/>
  <c r="G11" i="5"/>
  <c r="G12" i="5" s="1"/>
  <c r="G14" i="5" s="1"/>
  <c r="G6" i="5"/>
  <c r="G8" i="5" s="1"/>
  <c r="N71" i="7"/>
  <c r="R71" i="7" s="1"/>
  <c r="N68" i="7"/>
  <c r="R68" i="7" s="1"/>
  <c r="R67" i="7"/>
  <c r="N67" i="7"/>
  <c r="R64" i="7"/>
  <c r="N64" i="7"/>
  <c r="Q61" i="7"/>
  <c r="B61" i="7"/>
  <c r="N61" i="7" s="1"/>
  <c r="Q60" i="7"/>
  <c r="L60" i="7"/>
  <c r="D60" i="7"/>
  <c r="B60" i="7"/>
  <c r="N60" i="7" s="1"/>
  <c r="M58" i="7"/>
  <c r="M62" i="7" s="1"/>
  <c r="M65" i="7" s="1"/>
  <c r="M69" i="7" s="1"/>
  <c r="M72" i="7" s="1"/>
  <c r="L58" i="7"/>
  <c r="L62" i="7" s="1"/>
  <c r="L65" i="7" s="1"/>
  <c r="L69" i="7" s="1"/>
  <c r="L72" i="7" s="1"/>
  <c r="K58" i="7"/>
  <c r="K62" i="7" s="1"/>
  <c r="K65" i="7" s="1"/>
  <c r="K69" i="7" s="1"/>
  <c r="K72" i="7" s="1"/>
  <c r="J58" i="7"/>
  <c r="J62" i="7" s="1"/>
  <c r="J65" i="7" s="1"/>
  <c r="J69" i="7" s="1"/>
  <c r="J72" i="7" s="1"/>
  <c r="I58" i="7"/>
  <c r="I62" i="7" s="1"/>
  <c r="I65" i="7" s="1"/>
  <c r="I69" i="7" s="1"/>
  <c r="I72" i="7" s="1"/>
  <c r="H58" i="7"/>
  <c r="H62" i="7" s="1"/>
  <c r="H65" i="7" s="1"/>
  <c r="H69" i="7" s="1"/>
  <c r="H72" i="7" s="1"/>
  <c r="G58" i="7"/>
  <c r="G62" i="7" s="1"/>
  <c r="G65" i="7" s="1"/>
  <c r="G69" i="7" s="1"/>
  <c r="G72" i="7" s="1"/>
  <c r="F58" i="7"/>
  <c r="F62" i="7" s="1"/>
  <c r="F65" i="7" s="1"/>
  <c r="F69" i="7" s="1"/>
  <c r="F72" i="7" s="1"/>
  <c r="E58" i="7"/>
  <c r="E62" i="7" s="1"/>
  <c r="E65" i="7" s="1"/>
  <c r="E69" i="7" s="1"/>
  <c r="E72" i="7" s="1"/>
  <c r="D58" i="7"/>
  <c r="D62" i="7" s="1"/>
  <c r="D65" i="7" s="1"/>
  <c r="D69" i="7" s="1"/>
  <c r="D72" i="7" s="1"/>
  <c r="C58" i="7"/>
  <c r="C62" i="7" s="1"/>
  <c r="C65" i="7" s="1"/>
  <c r="C69" i="7" s="1"/>
  <c r="C72" i="7" s="1"/>
  <c r="B58" i="7"/>
  <c r="B62" i="7" s="1"/>
  <c r="B65" i="7" s="1"/>
  <c r="B69" i="7" s="1"/>
  <c r="Q57" i="7"/>
  <c r="N57" i="7"/>
  <c r="P56" i="7"/>
  <c r="P77" i="7" s="1"/>
  <c r="P79" i="7" s="1"/>
  <c r="N56" i="7"/>
  <c r="N58" i="7" s="1"/>
  <c r="N62" i="7" s="1"/>
  <c r="N65" i="7" s="1"/>
  <c r="N69" i="7" s="1"/>
  <c r="N72" i="7" s="1"/>
  <c r="H53" i="7"/>
  <c r="M52" i="7"/>
  <c r="M75" i="7" s="1"/>
  <c r="L52" i="7"/>
  <c r="I52" i="7"/>
  <c r="I75" i="7" s="1"/>
  <c r="H52" i="7"/>
  <c r="H75" i="7" s="1"/>
  <c r="E52" i="7"/>
  <c r="E75" i="7" s="1"/>
  <c r="C52" i="7"/>
  <c r="C75" i="7" s="1"/>
  <c r="Q51" i="7"/>
  <c r="R51" i="7" s="1"/>
  <c r="K50" i="7"/>
  <c r="K52" i="7" s="1"/>
  <c r="K75" i="7" s="1"/>
  <c r="G50" i="7"/>
  <c r="G52" i="7" s="1"/>
  <c r="G75" i="7" s="1"/>
  <c r="F50" i="7"/>
  <c r="F52" i="7" s="1"/>
  <c r="D50" i="7"/>
  <c r="D52" i="7" s="1"/>
  <c r="Q49" i="7"/>
  <c r="P49" i="7"/>
  <c r="N49" i="7"/>
  <c r="P48" i="7"/>
  <c r="R48" i="7" s="1"/>
  <c r="S48" i="7" s="1"/>
  <c r="N48" i="7"/>
  <c r="Q47" i="7"/>
  <c r="Q42" i="7" s="1"/>
  <c r="P47" i="7"/>
  <c r="J47" i="7"/>
  <c r="J52" i="7" s="1"/>
  <c r="J75" i="7" s="1"/>
  <c r="P46" i="7"/>
  <c r="N46" i="7"/>
  <c r="P45" i="7"/>
  <c r="N45" i="7"/>
  <c r="P44" i="7"/>
  <c r="N44" i="7"/>
  <c r="R43" i="7"/>
  <c r="N43" i="7"/>
  <c r="P42" i="7"/>
  <c r="N42" i="7"/>
  <c r="Q41" i="7"/>
  <c r="M41" i="7"/>
  <c r="L41" i="7"/>
  <c r="K41" i="7"/>
  <c r="J41" i="7"/>
  <c r="I41" i="7"/>
  <c r="H41" i="7"/>
  <c r="G41" i="7"/>
  <c r="F41" i="7"/>
  <c r="E41" i="7"/>
  <c r="D41" i="7"/>
  <c r="C41" i="7"/>
  <c r="B41" i="7"/>
  <c r="N41" i="7" s="1"/>
  <c r="R40" i="7"/>
  <c r="N40" i="7"/>
  <c r="R39" i="7"/>
  <c r="N39" i="7"/>
  <c r="R38" i="7"/>
  <c r="N38" i="7"/>
  <c r="P37" i="7"/>
  <c r="N37" i="7"/>
  <c r="R37" i="7" s="1"/>
  <c r="P36" i="7"/>
  <c r="N36" i="7"/>
  <c r="R36" i="7" s="1"/>
  <c r="R35" i="7"/>
  <c r="N35" i="7"/>
  <c r="R34" i="7"/>
  <c r="N34" i="7"/>
  <c r="R33" i="7"/>
  <c r="N33" i="7"/>
  <c r="R32" i="7"/>
  <c r="N32" i="7"/>
  <c r="R31" i="7"/>
  <c r="N31" i="7"/>
  <c r="R30" i="7"/>
  <c r="N30" i="7"/>
  <c r="R29" i="7"/>
  <c r="N29" i="7"/>
  <c r="P28" i="7"/>
  <c r="N28" i="7"/>
  <c r="R28" i="7" s="1"/>
  <c r="P27" i="7"/>
  <c r="N27" i="7"/>
  <c r="R27" i="7" s="1"/>
  <c r="R26" i="7"/>
  <c r="N26" i="7"/>
  <c r="R25" i="7"/>
  <c r="N25" i="7"/>
  <c r="R24" i="7"/>
  <c r="N24" i="7"/>
  <c r="M23" i="7"/>
  <c r="M53" i="7" s="1"/>
  <c r="K23" i="7"/>
  <c r="J23" i="7"/>
  <c r="I23" i="7"/>
  <c r="I53" i="7" s="1"/>
  <c r="H23" i="7"/>
  <c r="G23" i="7"/>
  <c r="G53" i="7" s="1"/>
  <c r="E23" i="7"/>
  <c r="E53" i="7" s="1"/>
  <c r="D23" i="7"/>
  <c r="C23" i="7"/>
  <c r="C53" i="7" s="1"/>
  <c r="B23" i="7"/>
  <c r="R22" i="7"/>
  <c r="N22" i="7"/>
  <c r="R21" i="7"/>
  <c r="N21" i="7"/>
  <c r="Q20" i="7"/>
  <c r="P20" i="7"/>
  <c r="R20" i="7" s="1"/>
  <c r="N20" i="7"/>
  <c r="N19" i="7"/>
  <c r="R19" i="7" s="1"/>
  <c r="Q18" i="7"/>
  <c r="P18" i="7"/>
  <c r="N18" i="7"/>
  <c r="R17" i="7"/>
  <c r="N17" i="7"/>
  <c r="N16" i="7"/>
  <c r="R16" i="7" s="1"/>
  <c r="N15" i="7"/>
  <c r="R15" i="7" s="1"/>
  <c r="V15" i="7" s="1"/>
  <c r="Q14" i="7"/>
  <c r="R14" i="7" s="1"/>
  <c r="N14" i="7"/>
  <c r="N13" i="7"/>
  <c r="R13" i="7" s="1"/>
  <c r="R12" i="7"/>
  <c r="N12" i="7"/>
  <c r="F11" i="7"/>
  <c r="N11" i="7" s="1"/>
  <c r="R11" i="7" s="1"/>
  <c r="Q10" i="7"/>
  <c r="N10" i="7"/>
  <c r="Q9" i="7"/>
  <c r="R9" i="7" s="1"/>
  <c r="N9" i="7"/>
  <c r="Q8" i="7"/>
  <c r="L8" i="7"/>
  <c r="L23" i="7" s="1"/>
  <c r="L53" i="7" s="1"/>
  <c r="F8" i="7"/>
  <c r="F23" i="7" s="1"/>
  <c r="F53" i="7" s="1"/>
  <c r="R7" i="7"/>
  <c r="N7" i="7"/>
  <c r="N6" i="7"/>
  <c r="R6" i="7" s="1"/>
  <c r="R5" i="7"/>
  <c r="N5" i="7"/>
  <c r="R42" i="7" l="1"/>
  <c r="S42" i="7" s="1"/>
  <c r="R18" i="7"/>
  <c r="Q72" i="7"/>
  <c r="Q50" i="7" s="1"/>
  <c r="R10" i="7"/>
  <c r="P41" i="7"/>
  <c r="M6" i="5"/>
  <c r="M10" i="5"/>
  <c r="M12" i="5" s="1"/>
  <c r="M14" i="5" s="1"/>
  <c r="N10" i="5"/>
  <c r="N12" i="5" s="1"/>
  <c r="N14" i="5" s="1"/>
  <c r="K10" i="5"/>
  <c r="L10" i="5"/>
  <c r="L12" i="5" s="1"/>
  <c r="L14" i="5" s="1"/>
  <c r="R44" i="7"/>
  <c r="S44" i="7" s="1"/>
  <c r="R46" i="7"/>
  <c r="S46" i="7" s="1"/>
  <c r="R49" i="7"/>
  <c r="S49" i="7" s="1"/>
  <c r="R57" i="7"/>
  <c r="R60" i="7"/>
  <c r="R61" i="7"/>
  <c r="Q77" i="7"/>
  <c r="Q79" i="7" s="1"/>
  <c r="Q23" i="7"/>
  <c r="R45" i="7"/>
  <c r="S45" i="7" s="1"/>
  <c r="G77" i="7"/>
  <c r="K77" i="7"/>
  <c r="D53" i="7"/>
  <c r="D75" i="7"/>
  <c r="D77" i="7"/>
  <c r="D78" i="7"/>
  <c r="H77" i="7"/>
  <c r="H78" i="7" s="1"/>
  <c r="J53" i="7"/>
  <c r="R41" i="7"/>
  <c r="Q52" i="7"/>
  <c r="F75" i="7"/>
  <c r="E77" i="7"/>
  <c r="I77" i="7"/>
  <c r="M77" i="7"/>
  <c r="C77" i="7"/>
  <c r="C78" i="7" s="1"/>
  <c r="L77" i="7"/>
  <c r="N23" i="7"/>
  <c r="K53" i="7"/>
  <c r="L75" i="7"/>
  <c r="B72" i="7"/>
  <c r="B50" i="7"/>
  <c r="F77" i="7"/>
  <c r="J78" i="7"/>
  <c r="J77" i="7"/>
  <c r="N47" i="7"/>
  <c r="R47" i="7" s="1"/>
  <c r="S47" i="7" s="1"/>
  <c r="R56" i="7"/>
  <c r="P23" i="7"/>
  <c r="P72" i="7"/>
  <c r="N8" i="7"/>
  <c r="R8" i="7" s="1"/>
  <c r="R58" i="7" l="1"/>
  <c r="R62" i="7" s="1"/>
  <c r="R65" i="7" s="1"/>
  <c r="R69" i="7" s="1"/>
  <c r="R72" i="7" s="1"/>
  <c r="R23" i="7"/>
  <c r="K12" i="5"/>
  <c r="O10" i="5"/>
  <c r="M8" i="5"/>
  <c r="O8" i="5" s="1"/>
  <c r="O6" i="5"/>
  <c r="Q53" i="7"/>
  <c r="Q73" i="7"/>
  <c r="P50" i="7"/>
  <c r="B77" i="7"/>
  <c r="H79" i="7"/>
  <c r="L78" i="7"/>
  <c r="L79" i="7" s="1"/>
  <c r="I78" i="7"/>
  <c r="I79" i="7" s="1"/>
  <c r="K78" i="7"/>
  <c r="K79" i="7" s="1"/>
  <c r="F78" i="7"/>
  <c r="F79" i="7" s="1"/>
  <c r="J79" i="7"/>
  <c r="N50" i="7"/>
  <c r="B52" i="7"/>
  <c r="C79" i="7"/>
  <c r="M78" i="7"/>
  <c r="M79" i="7" s="1"/>
  <c r="E78" i="7"/>
  <c r="E79" i="7" s="1"/>
  <c r="D79" i="7"/>
  <c r="G78" i="7"/>
  <c r="G79" i="7" s="1"/>
  <c r="K14" i="5" l="1"/>
  <c r="O14" i="5" s="1"/>
  <c r="O12" i="5"/>
  <c r="R50" i="7"/>
  <c r="S50" i="7" s="1"/>
  <c r="S51" i="7" s="1"/>
  <c r="N77" i="7"/>
  <c r="B78" i="7"/>
  <c r="N78" i="7" s="1"/>
  <c r="R78" i="7" s="1"/>
  <c r="R52" i="7"/>
  <c r="N52" i="7"/>
  <c r="B75" i="7"/>
  <c r="B53" i="7"/>
  <c r="P52" i="7"/>
  <c r="P53" i="7" s="1"/>
  <c r="Q54" i="7" s="1"/>
  <c r="T50" i="7"/>
  <c r="B79" i="7" l="1"/>
  <c r="R75" i="7"/>
  <c r="R53" i="7"/>
  <c r="S52" i="7"/>
  <c r="N75" i="7"/>
  <c r="N53" i="7"/>
  <c r="N79" i="7"/>
  <c r="R77" i="7"/>
  <c r="R79" i="7" s="1"/>
  <c r="E73" i="6" l="1"/>
  <c r="N67" i="6"/>
  <c r="Q67" i="6" s="1"/>
  <c r="N65" i="6"/>
  <c r="Q65" i="6" s="1"/>
  <c r="N64" i="6"/>
  <c r="Q64" i="6" s="1"/>
  <c r="F63" i="6"/>
  <c r="F66" i="6" s="1"/>
  <c r="F68" i="6" s="1"/>
  <c r="N62" i="6"/>
  <c r="Q62" i="6" s="1"/>
  <c r="J61" i="6"/>
  <c r="J63" i="6" s="1"/>
  <c r="J66" i="6" s="1"/>
  <c r="J68" i="6" s="1"/>
  <c r="F61" i="6"/>
  <c r="P60" i="6"/>
  <c r="B60" i="6"/>
  <c r="N60" i="6" s="1"/>
  <c r="P59" i="6"/>
  <c r="M59" i="6"/>
  <c r="L59" i="6"/>
  <c r="D59" i="6"/>
  <c r="B59" i="6"/>
  <c r="B61" i="6" s="1"/>
  <c r="B63" i="6" s="1"/>
  <c r="B66" i="6" s="1"/>
  <c r="M58" i="6"/>
  <c r="M61" i="6" s="1"/>
  <c r="M63" i="6" s="1"/>
  <c r="M66" i="6" s="1"/>
  <c r="M68" i="6" s="1"/>
  <c r="L58" i="6"/>
  <c r="L61" i="6" s="1"/>
  <c r="L63" i="6" s="1"/>
  <c r="L66" i="6" s="1"/>
  <c r="L68" i="6" s="1"/>
  <c r="K58" i="6"/>
  <c r="K61" i="6" s="1"/>
  <c r="K63" i="6" s="1"/>
  <c r="K66" i="6" s="1"/>
  <c r="K68" i="6" s="1"/>
  <c r="J58" i="6"/>
  <c r="I58" i="6"/>
  <c r="I61" i="6" s="1"/>
  <c r="I63" i="6" s="1"/>
  <c r="I66" i="6" s="1"/>
  <c r="I68" i="6" s="1"/>
  <c r="H58" i="6"/>
  <c r="H61" i="6" s="1"/>
  <c r="H63" i="6" s="1"/>
  <c r="H66" i="6" s="1"/>
  <c r="H68" i="6" s="1"/>
  <c r="G58" i="6"/>
  <c r="G61" i="6" s="1"/>
  <c r="G63" i="6" s="1"/>
  <c r="G66" i="6" s="1"/>
  <c r="G68" i="6" s="1"/>
  <c r="F58" i="6"/>
  <c r="E58" i="6"/>
  <c r="E61" i="6" s="1"/>
  <c r="E63" i="6" s="1"/>
  <c r="E66" i="6" s="1"/>
  <c r="E68" i="6" s="1"/>
  <c r="D58" i="6"/>
  <c r="D61" i="6" s="1"/>
  <c r="D63" i="6" s="1"/>
  <c r="D66" i="6" s="1"/>
  <c r="D68" i="6" s="1"/>
  <c r="C58" i="6"/>
  <c r="C61" i="6" s="1"/>
  <c r="C63" i="6" s="1"/>
  <c r="C66" i="6" s="1"/>
  <c r="C68" i="6" s="1"/>
  <c r="B58" i="6"/>
  <c r="P57" i="6"/>
  <c r="P68" i="6" s="1"/>
  <c r="N57" i="6"/>
  <c r="Q57" i="6" s="1"/>
  <c r="O56" i="6"/>
  <c r="O68" i="6" s="1"/>
  <c r="N56" i="6"/>
  <c r="M52" i="6"/>
  <c r="L52" i="6"/>
  <c r="K52" i="6"/>
  <c r="K71" i="6" s="1"/>
  <c r="I52" i="6"/>
  <c r="I71" i="6" s="1"/>
  <c r="H52" i="6"/>
  <c r="H71" i="6" s="1"/>
  <c r="E52" i="6"/>
  <c r="E71" i="6" s="1"/>
  <c r="D52" i="6"/>
  <c r="C52" i="6"/>
  <c r="Q51" i="6"/>
  <c r="P50" i="6"/>
  <c r="P52" i="6" s="1"/>
  <c r="O50" i="6"/>
  <c r="K50" i="6"/>
  <c r="G50" i="6"/>
  <c r="G52" i="6" s="1"/>
  <c r="G71" i="6" s="1"/>
  <c r="F50" i="6"/>
  <c r="F52" i="6" s="1"/>
  <c r="D50" i="6"/>
  <c r="Q49" i="6"/>
  <c r="N49" i="6"/>
  <c r="N48" i="6"/>
  <c r="Q48" i="6" s="1"/>
  <c r="Q47" i="6"/>
  <c r="N47" i="6"/>
  <c r="O46" i="6"/>
  <c r="N46" i="6"/>
  <c r="J46" i="6"/>
  <c r="J52" i="6" s="1"/>
  <c r="N45" i="6"/>
  <c r="Q45" i="6" s="1"/>
  <c r="Q44" i="6"/>
  <c r="O44" i="6"/>
  <c r="N44" i="6"/>
  <c r="O43" i="6"/>
  <c r="Q43" i="6" s="1"/>
  <c r="N43" i="6"/>
  <c r="O42" i="6"/>
  <c r="N42" i="6"/>
  <c r="P41" i="6"/>
  <c r="O41" i="6"/>
  <c r="K41" i="6"/>
  <c r="J41" i="6"/>
  <c r="I41" i="6"/>
  <c r="H41" i="6"/>
  <c r="G41" i="6"/>
  <c r="G53" i="6" s="1"/>
  <c r="F41" i="6"/>
  <c r="F53" i="6" s="1"/>
  <c r="E41" i="6"/>
  <c r="D41" i="6"/>
  <c r="B41" i="6"/>
  <c r="N40" i="6"/>
  <c r="Q40" i="6" s="1"/>
  <c r="N39" i="6"/>
  <c r="Q39" i="6" s="1"/>
  <c r="N38" i="6"/>
  <c r="Q38" i="6" s="1"/>
  <c r="N37" i="6"/>
  <c r="Q37" i="6" s="1"/>
  <c r="O36" i="6"/>
  <c r="N36" i="6"/>
  <c r="Q36" i="6" s="1"/>
  <c r="Q35" i="6"/>
  <c r="N35" i="6"/>
  <c r="N34" i="6"/>
  <c r="Q34" i="6" s="1"/>
  <c r="Q33" i="6"/>
  <c r="N33" i="6"/>
  <c r="N32" i="6"/>
  <c r="Q32" i="6" s="1"/>
  <c r="M32" i="6"/>
  <c r="L32" i="6"/>
  <c r="N31" i="6"/>
  <c r="Q31" i="6" s="1"/>
  <c r="O30" i="6"/>
  <c r="M30" i="6"/>
  <c r="M41" i="6" s="1"/>
  <c r="L30" i="6"/>
  <c r="N29" i="6"/>
  <c r="Q29" i="6" s="1"/>
  <c r="O28" i="6"/>
  <c r="C28" i="6"/>
  <c r="N28" i="6" s="1"/>
  <c r="Q28" i="6" s="1"/>
  <c r="Q27" i="6"/>
  <c r="L27" i="6"/>
  <c r="N27" i="6" s="1"/>
  <c r="N26" i="6"/>
  <c r="Q26" i="6" s="1"/>
  <c r="N25" i="6"/>
  <c r="Q25" i="6" s="1"/>
  <c r="N24" i="6"/>
  <c r="Q24" i="6" s="1"/>
  <c r="O23" i="6"/>
  <c r="K23" i="6"/>
  <c r="K53" i="6" s="1"/>
  <c r="J23" i="6"/>
  <c r="J53" i="6" s="1"/>
  <c r="I23" i="6"/>
  <c r="I53" i="6" s="1"/>
  <c r="H23" i="6"/>
  <c r="H53" i="6" s="1"/>
  <c r="G23" i="6"/>
  <c r="F23" i="6"/>
  <c r="E23" i="6"/>
  <c r="E53" i="6" s="1"/>
  <c r="C23" i="6"/>
  <c r="B23" i="6"/>
  <c r="N22" i="6"/>
  <c r="Q22" i="6" s="1"/>
  <c r="N21" i="6"/>
  <c r="Q21" i="6" s="1"/>
  <c r="P20" i="6"/>
  <c r="O20" i="6"/>
  <c r="N20" i="6"/>
  <c r="Q20" i="6" s="1"/>
  <c r="N19" i="6"/>
  <c r="Q19" i="6" s="1"/>
  <c r="N18" i="6"/>
  <c r="Q18" i="6" s="1"/>
  <c r="N17" i="6"/>
  <c r="Q17" i="6" s="1"/>
  <c r="Q16" i="6"/>
  <c r="N16" i="6"/>
  <c r="N15" i="6"/>
  <c r="Q15" i="6" s="1"/>
  <c r="N14" i="6"/>
  <c r="Q14" i="6" s="1"/>
  <c r="N13" i="6"/>
  <c r="Q13" i="6" s="1"/>
  <c r="Q12" i="6"/>
  <c r="N12" i="6"/>
  <c r="N11" i="6"/>
  <c r="Q11" i="6" s="1"/>
  <c r="F11" i="6"/>
  <c r="M10" i="6"/>
  <c r="P9" i="6"/>
  <c r="D9" i="6"/>
  <c r="P8" i="6"/>
  <c r="P23" i="6" s="1"/>
  <c r="L8" i="6"/>
  <c r="L23" i="6" s="1"/>
  <c r="F8" i="6"/>
  <c r="N7" i="6"/>
  <c r="Q7" i="6" s="1"/>
  <c r="N6" i="6"/>
  <c r="Q6" i="6" s="1"/>
  <c r="N5" i="6"/>
  <c r="Q5" i="6" s="1"/>
  <c r="P69" i="6" l="1"/>
  <c r="Q60" i="6"/>
  <c r="P73" i="6"/>
  <c r="P75" i="6" s="1"/>
  <c r="R32" i="6"/>
  <c r="B68" i="6"/>
  <c r="B50" i="6"/>
  <c r="J73" i="6"/>
  <c r="J74" i="6"/>
  <c r="C78" i="6"/>
  <c r="C73" i="6"/>
  <c r="C74" i="6" s="1"/>
  <c r="D73" i="6"/>
  <c r="H73" i="6"/>
  <c r="L73" i="6"/>
  <c r="L53" i="6"/>
  <c r="P53" i="6"/>
  <c r="F71" i="6"/>
  <c r="D71" i="6"/>
  <c r="O52" i="6"/>
  <c r="O53" i="6" s="1"/>
  <c r="G73" i="6"/>
  <c r="K73" i="6"/>
  <c r="K74" i="6" s="1"/>
  <c r="N59" i="6"/>
  <c r="Q59" i="6" s="1"/>
  <c r="F73" i="6"/>
  <c r="C41" i="6"/>
  <c r="C71" i="6" s="1"/>
  <c r="Q42" i="6"/>
  <c r="E75" i="6"/>
  <c r="E74" i="6"/>
  <c r="M23" i="6"/>
  <c r="M53" i="6" s="1"/>
  <c r="N10" i="6"/>
  <c r="Q10" i="6" s="1"/>
  <c r="N41" i="6"/>
  <c r="J71" i="6"/>
  <c r="I73" i="6"/>
  <c r="N8" i="6"/>
  <c r="Q8" i="6" s="1"/>
  <c r="R13" i="6" s="1"/>
  <c r="D23" i="6"/>
  <c r="D53" i="6" s="1"/>
  <c r="N9" i="6"/>
  <c r="Q9" i="6" s="1"/>
  <c r="Q23" i="6" s="1"/>
  <c r="N30" i="6"/>
  <c r="Q30" i="6" s="1"/>
  <c r="Q41" i="6" s="1"/>
  <c r="Q46" i="6"/>
  <c r="M71" i="6"/>
  <c r="N58" i="6"/>
  <c r="N61" i="6" s="1"/>
  <c r="N63" i="6" s="1"/>
  <c r="N66" i="6" s="1"/>
  <c r="N68" i="6" s="1"/>
  <c r="Q56" i="6"/>
  <c r="Q58" i="6" s="1"/>
  <c r="M73" i="6"/>
  <c r="M74" i="6" s="1"/>
  <c r="L41" i="6"/>
  <c r="L71" i="6" s="1"/>
  <c r="O73" i="6"/>
  <c r="O75" i="6" s="1"/>
  <c r="B52" i="6" l="1"/>
  <c r="N50" i="6"/>
  <c r="I75" i="6"/>
  <c r="F74" i="6"/>
  <c r="F75" i="6" s="1"/>
  <c r="L74" i="6"/>
  <c r="L75" i="6" s="1"/>
  <c r="D74" i="6"/>
  <c r="D75" i="6" s="1"/>
  <c r="B73" i="6"/>
  <c r="M75" i="6"/>
  <c r="G74" i="6"/>
  <c r="G75" i="6" s="1"/>
  <c r="I74" i="6"/>
  <c r="Q61" i="6"/>
  <c r="Q63" i="6" s="1"/>
  <c r="Q66" i="6" s="1"/>
  <c r="Q68" i="6" s="1"/>
  <c r="K75" i="6"/>
  <c r="P54" i="6"/>
  <c r="N23" i="6"/>
  <c r="C53" i="6"/>
  <c r="H74" i="6"/>
  <c r="H75" i="6" s="1"/>
  <c r="C75" i="6"/>
  <c r="J75" i="6"/>
  <c r="N73" i="6" l="1"/>
  <c r="Q50" i="6"/>
  <c r="Q52" i="6" s="1"/>
  <c r="N52" i="6"/>
  <c r="N71" i="6" s="1"/>
  <c r="B74" i="6"/>
  <c r="N74" i="6" s="1"/>
  <c r="Q74" i="6" s="1"/>
  <c r="B71" i="6"/>
  <c r="B53" i="6"/>
  <c r="R52" i="6" l="1"/>
  <c r="Q71" i="6"/>
  <c r="Q53" i="6"/>
  <c r="N75" i="6"/>
  <c r="Q73" i="6"/>
  <c r="Q75" i="6" s="1"/>
  <c r="B75" i="6"/>
  <c r="N53" i="6"/>
  <c r="C6" i="5" l="1"/>
  <c r="C7" i="5"/>
  <c r="C10" i="5"/>
  <c r="C11" i="5"/>
  <c r="D11" i="5"/>
  <c r="D10" i="5"/>
  <c r="D7" i="5"/>
  <c r="D6" i="5"/>
  <c r="E6" i="5" s="1"/>
  <c r="I6" i="5" s="1"/>
  <c r="H6" i="5" s="1"/>
  <c r="E7" i="5" l="1"/>
  <c r="I7" i="5" s="1"/>
  <c r="H7" i="5" s="1"/>
  <c r="D12" i="5"/>
  <c r="E10" i="5"/>
  <c r="I10" i="5" s="1"/>
  <c r="H10" i="5" s="1"/>
  <c r="E11" i="5"/>
  <c r="I11" i="5" s="1"/>
  <c r="H11" i="5" s="1"/>
  <c r="D8" i="5"/>
  <c r="C8" i="5"/>
  <c r="C12" i="5"/>
  <c r="E25" i="1"/>
  <c r="E24" i="1"/>
  <c r="E23" i="1"/>
  <c r="E22" i="1"/>
  <c r="E21" i="1"/>
  <c r="E20" i="1"/>
  <c r="E19" i="1"/>
  <c r="E18" i="1"/>
  <c r="E17" i="1"/>
  <c r="E16" i="1"/>
  <c r="C26" i="1"/>
  <c r="D26" i="1"/>
  <c r="C71" i="4"/>
  <c r="B71" i="4"/>
  <c r="D70" i="4"/>
  <c r="D69" i="4"/>
  <c r="D68" i="4"/>
  <c r="D67" i="4"/>
  <c r="D66" i="4"/>
  <c r="D65" i="4"/>
  <c r="D64" i="4"/>
  <c r="D63" i="4"/>
  <c r="D62" i="4"/>
  <c r="D61" i="4"/>
  <c r="D60" i="4"/>
  <c r="D71" i="4" s="1"/>
  <c r="C58" i="4"/>
  <c r="B58" i="4"/>
  <c r="D57" i="4"/>
  <c r="D55" i="4"/>
  <c r="D56" i="4"/>
  <c r="C51" i="4"/>
  <c r="B51" i="4"/>
  <c r="C39" i="4"/>
  <c r="B39" i="4"/>
  <c r="C21" i="4"/>
  <c r="B2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0" i="4"/>
  <c r="D41" i="4"/>
  <c r="D42" i="4"/>
  <c r="D43" i="4"/>
  <c r="D44" i="4"/>
  <c r="D45" i="4"/>
  <c r="D46" i="4"/>
  <c r="D47" i="4"/>
  <c r="D48" i="4"/>
  <c r="D49" i="4"/>
  <c r="D50" i="4"/>
  <c r="D3" i="4"/>
  <c r="E26" i="1" l="1"/>
  <c r="E8" i="5"/>
  <c r="I8" i="5" s="1"/>
  <c r="H8" i="5" s="1"/>
  <c r="E12" i="5"/>
  <c r="I12" i="5" s="1"/>
  <c r="H12" i="5" s="1"/>
  <c r="D21" i="4"/>
  <c r="D39" i="4"/>
  <c r="D58" i="4"/>
  <c r="D51" i="4"/>
  <c r="C34" i="3"/>
  <c r="B34" i="3"/>
  <c r="C22" i="3"/>
  <c r="C28" i="3" s="1"/>
  <c r="C16" i="3"/>
  <c r="B16" i="3"/>
  <c r="B22" i="3" s="1"/>
  <c r="B28" i="3" s="1"/>
  <c r="C11" i="3"/>
  <c r="B11" i="3"/>
  <c r="C6" i="3"/>
  <c r="B6" i="3"/>
  <c r="D32" i="3"/>
  <c r="D30" i="3"/>
  <c r="D34" i="3" s="1"/>
  <c r="D26" i="3"/>
  <c r="D20" i="3"/>
  <c r="D18" i="3"/>
  <c r="D14" i="3"/>
  <c r="D13" i="3"/>
  <c r="D9" i="3"/>
  <c r="D4" i="3"/>
  <c r="D3" i="3"/>
  <c r="D6" i="3" s="1"/>
  <c r="D11" i="3" s="1"/>
  <c r="D16" i="3" s="1"/>
  <c r="D22" i="3" s="1"/>
  <c r="D28" i="3" s="1"/>
  <c r="B54" i="2"/>
  <c r="C53" i="2"/>
  <c r="B53" i="2"/>
  <c r="C41" i="2"/>
  <c r="C54" i="2" s="1"/>
  <c r="B41" i="2"/>
  <c r="D52" i="2"/>
  <c r="D51" i="2"/>
  <c r="D50" i="2"/>
  <c r="D49" i="2"/>
  <c r="D48" i="2"/>
  <c r="D47" i="2"/>
  <c r="D46" i="2"/>
  <c r="D53" i="2" s="1"/>
  <c r="D45" i="2"/>
  <c r="D44" i="2"/>
  <c r="D40" i="2"/>
  <c r="D39" i="2"/>
  <c r="D38" i="2"/>
  <c r="D37" i="2"/>
  <c r="D36" i="2"/>
  <c r="D35" i="2"/>
  <c r="D34" i="2"/>
  <c r="D33" i="2"/>
  <c r="D32" i="2"/>
  <c r="D31" i="2"/>
  <c r="D41" i="2" s="1"/>
  <c r="D54" i="2" s="1"/>
  <c r="B27" i="2"/>
  <c r="C25" i="2"/>
  <c r="B25" i="2"/>
  <c r="D24" i="2"/>
  <c r="D23" i="2"/>
  <c r="C13" i="2"/>
  <c r="C27" i="2" s="1"/>
  <c r="B13" i="2"/>
  <c r="D22" i="2"/>
  <c r="D21" i="2"/>
  <c r="D20" i="2"/>
  <c r="D19" i="2"/>
  <c r="D18" i="2"/>
  <c r="D17" i="2"/>
  <c r="D16" i="2"/>
  <c r="D25" i="2" s="1"/>
  <c r="D12" i="2"/>
  <c r="D11" i="2"/>
  <c r="D10" i="2"/>
  <c r="D9" i="2"/>
  <c r="D8" i="2"/>
  <c r="D7" i="2"/>
  <c r="D6" i="2"/>
  <c r="D5" i="2"/>
  <c r="D4" i="2"/>
  <c r="E12" i="1"/>
  <c r="E11" i="1"/>
  <c r="E10" i="1"/>
  <c r="E9" i="1"/>
  <c r="E8" i="1"/>
  <c r="E7" i="1"/>
  <c r="E6" i="1"/>
  <c r="E5" i="1"/>
  <c r="E4" i="1"/>
  <c r="D13" i="1"/>
  <c r="C56" i="2" s="1"/>
  <c r="D13" i="5" s="1"/>
  <c r="C13" i="1"/>
  <c r="B56" i="2" s="1"/>
  <c r="B58" i="2" l="1"/>
  <c r="B59" i="2" s="1"/>
  <c r="C13" i="5"/>
  <c r="C14" i="5" s="1"/>
  <c r="D14" i="5"/>
  <c r="E13" i="1"/>
  <c r="D13" i="2"/>
  <c r="D27" i="2" s="1"/>
  <c r="D56" i="2"/>
  <c r="D58" i="2" s="1"/>
  <c r="C58" i="2"/>
  <c r="C59" i="2" s="1"/>
  <c r="E14" i="5" l="1"/>
  <c r="I14" i="5" s="1"/>
  <c r="H14" i="5" s="1"/>
  <c r="E13" i="5"/>
  <c r="I13" i="5" s="1"/>
  <c r="H13" i="5" s="1"/>
  <c r="D59" i="2"/>
</calcChain>
</file>

<file path=xl/sharedStrings.xml><?xml version="1.0" encoding="utf-8"?>
<sst xmlns="http://schemas.openxmlformats.org/spreadsheetml/2006/main" count="487" uniqueCount="187">
  <si>
    <t>Comparativo de versión propia y la de los Auditores externos</t>
  </si>
  <si>
    <t>Capital pagado</t>
  </si>
  <si>
    <t>Aportes para futura capitalización</t>
  </si>
  <si>
    <t>Reserva Legal</t>
  </si>
  <si>
    <t>Reserva Facultativa</t>
  </si>
  <si>
    <t>Otros resultados integrales</t>
  </si>
  <si>
    <t>Reserva de Capital</t>
  </si>
  <si>
    <t>Adopción de NIIF</t>
  </si>
  <si>
    <t>Resultados acumulados</t>
  </si>
  <si>
    <t>Participación no controladora</t>
  </si>
  <si>
    <t>Nosotros</t>
  </si>
  <si>
    <t>Los Auditores</t>
  </si>
  <si>
    <t>Diferencia</t>
  </si>
  <si>
    <t>ACTIVO CORRIENTE</t>
  </si>
  <si>
    <t>Efectivo y Equivalentes de efectivo</t>
  </si>
  <si>
    <t>Activos Financieros a valor razonable</t>
  </si>
  <si>
    <t>Inversiones mantenidas hasta el vencimiento</t>
  </si>
  <si>
    <t>Clientes</t>
  </si>
  <si>
    <t>Compañías relacionadas</t>
  </si>
  <si>
    <t>Impuestos por recuperar</t>
  </si>
  <si>
    <t>Otras cuentas por cobrar</t>
  </si>
  <si>
    <t>Anticipos a proveedores</t>
  </si>
  <si>
    <t>Inventarios</t>
  </si>
  <si>
    <t>Total del activo corriente</t>
  </si>
  <si>
    <t>ACTIVO NO CORRIENTE</t>
  </si>
  <si>
    <t>Propiedad y equipos, neto</t>
  </si>
  <si>
    <t>Propiedades de Inversión</t>
  </si>
  <si>
    <t>Activos Intangibles</t>
  </si>
  <si>
    <t>Inversiones en derechos fiduciarios</t>
  </si>
  <si>
    <t>Inversiones en asociadas</t>
  </si>
  <si>
    <t>Otros activos</t>
  </si>
  <si>
    <t>Total del activo no corriente</t>
  </si>
  <si>
    <t>Impuesto diferido</t>
  </si>
  <si>
    <t>PASIVO CORRIENTE</t>
  </si>
  <si>
    <t>Sobregiros Bancarios</t>
  </si>
  <si>
    <t>Porción corriente de las obligaciones financieras</t>
  </si>
  <si>
    <t>Porción corriente de valores emitidos</t>
  </si>
  <si>
    <t>Proveedores</t>
  </si>
  <si>
    <t>Compañias relacionadas</t>
  </si>
  <si>
    <t>Otros impuestos por pagar</t>
  </si>
  <si>
    <t>Otras cuentas por pagar</t>
  </si>
  <si>
    <t>Beneficios Sociales</t>
  </si>
  <si>
    <t>Ingresos diferidos</t>
  </si>
  <si>
    <t>Total pasivos corrientes</t>
  </si>
  <si>
    <t>PASIVO NO CORRIENTE</t>
  </si>
  <si>
    <t>Obligaciones Financieras</t>
  </si>
  <si>
    <t>Valores emitidos</t>
  </si>
  <si>
    <t>Jubilación Patronal y Bonifcación por desahucio</t>
  </si>
  <si>
    <t>Provisiones</t>
  </si>
  <si>
    <t>Total pasivos no corrientes</t>
  </si>
  <si>
    <t>Total pasivos</t>
  </si>
  <si>
    <t>PATRIMONIO (según estado adjunto)</t>
  </si>
  <si>
    <t>Pasivos del contrato</t>
  </si>
  <si>
    <t>Pasivo contingente</t>
  </si>
  <si>
    <t>Total del activo</t>
  </si>
  <si>
    <t xml:space="preserve">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</si>
  <si>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</si>
  <si>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</si>
  <si>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</si>
  <si>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</si>
  <si>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</si>
  <si>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</si>
  <si>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</si>
  <si>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</si>
  <si>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</si>
  <si>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</si>
  <si>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</si>
  <si>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</si>
  <si>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</si>
  <si>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</si>
  <si>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</si>
  <si>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Resultado integral del año Controladora</t>
  </si>
  <si>
    <t>Resultado integral del año No controlador</t>
  </si>
  <si>
    <t>Cuentas</t>
  </si>
  <si>
    <t>Efectivo y equivalentes de efectivo</t>
  </si>
  <si>
    <t>Activos financieros a valor razonable</t>
  </si>
  <si>
    <t>Cuentas por cobrar comerciales</t>
  </si>
  <si>
    <t>Cuentas por cobrar relacionadas</t>
  </si>
  <si>
    <t>Cuentas por cobrar relacionadas L/P</t>
  </si>
  <si>
    <t>Otras cuentas por cobrar L/P</t>
  </si>
  <si>
    <t>Propiedades y equipos</t>
  </si>
  <si>
    <t>Propiedades de inversión</t>
  </si>
  <si>
    <t>Activos intangibles</t>
  </si>
  <si>
    <t>Activos por Impuestos diferidos</t>
  </si>
  <si>
    <t>Total activos</t>
  </si>
  <si>
    <t>Sobregiros bancarios</t>
  </si>
  <si>
    <t>Porcion corriente de valores emitidos</t>
  </si>
  <si>
    <t>Cuentas por pagar a proveedores</t>
  </si>
  <si>
    <t>Cuentas por pagar relacionadas</t>
  </si>
  <si>
    <t>Pasivos de contrato</t>
  </si>
  <si>
    <t>Beneficios sociales</t>
  </si>
  <si>
    <t>Obligaciones financieras</t>
  </si>
  <si>
    <t>Cuentas por pagar a proveedores L/P</t>
  </si>
  <si>
    <t>Cuentas por pagar relacionadas L/P</t>
  </si>
  <si>
    <t>Otras cuentas por pagar L/P</t>
  </si>
  <si>
    <t>Beneficios sociales L/P</t>
  </si>
  <si>
    <t>Capital Social</t>
  </si>
  <si>
    <t>Aporte para futuras capitalizaciones</t>
  </si>
  <si>
    <t>Reserva legal</t>
  </si>
  <si>
    <t>Reserva facultativa</t>
  </si>
  <si>
    <t>Reserva de capital</t>
  </si>
  <si>
    <t>Superávit por revaluación</t>
  </si>
  <si>
    <t>Ajuste de Primera Adopcion NIIF</t>
  </si>
  <si>
    <t>Utilidades Acumuladas</t>
  </si>
  <si>
    <t>Total patrimonio</t>
  </si>
  <si>
    <t>Acciones suscritas por cobrar</t>
  </si>
  <si>
    <t>Resultados acumulados (Utilidades o pérdidas)</t>
  </si>
  <si>
    <t>Linkotel</t>
  </si>
  <si>
    <t>Telconet Panamá</t>
  </si>
  <si>
    <t>Cable Andino Inc.</t>
  </si>
  <si>
    <t>Total</t>
  </si>
  <si>
    <t xml:space="preserve">Linkotel </t>
  </si>
  <si>
    <t xml:space="preserve">Telconet Panamá </t>
  </si>
  <si>
    <t>Cable Andino Corpoandino</t>
  </si>
  <si>
    <t>Transtelco</t>
  </si>
  <si>
    <t>Netspeed</t>
  </si>
  <si>
    <t>Cerinsa</t>
  </si>
  <si>
    <t>Econocompu</t>
  </si>
  <si>
    <t>Smartcities</t>
  </si>
  <si>
    <t>Inmob. Leonor3</t>
  </si>
  <si>
    <t>Telsoterra</t>
  </si>
  <si>
    <t>Comparativo de la Plantilla</t>
  </si>
  <si>
    <t>Activos corrientes</t>
  </si>
  <si>
    <t>Activos no corrientes</t>
  </si>
  <si>
    <t>Pasivos corrientes</t>
  </si>
  <si>
    <t>Pasivos no corrientes</t>
  </si>
  <si>
    <t>Pasivos totales</t>
  </si>
  <si>
    <t>Patrimonio</t>
  </si>
  <si>
    <t>Diferencia (2) - (1)</t>
  </si>
  <si>
    <t>Total pasivos y patrimonio</t>
  </si>
  <si>
    <t>Auditores (2)</t>
  </si>
  <si>
    <t>CGA      (1)</t>
  </si>
  <si>
    <t>Libros</t>
  </si>
  <si>
    <t>Ajustes</t>
  </si>
  <si>
    <t>Suman</t>
  </si>
  <si>
    <t>TELCONET S.A. Y SUBSIDIARIAS</t>
  </si>
  <si>
    <t xml:space="preserve">PLANILLA   DE  AJUSTES - PARA CONSOLIDADO </t>
  </si>
  <si>
    <t xml:space="preserve">AJUSTES 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</si>
  <si>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</si>
  <si>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</si>
  <si>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</si>
  <si>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</si>
  <si>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</si>
  <si>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</si>
  <si>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</si>
  <si>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</si>
  <si>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Inmob. Leonor3
31/12/2018</t>
  </si>
  <si>
    <t>Telsoterra
31/12/2018</t>
  </si>
  <si>
    <t>Linkotel 31/12/2018</t>
  </si>
  <si>
    <t>Telconet Panamá 31/12/2018</t>
  </si>
  <si>
    <t xml:space="preserve">Débitos </t>
  </si>
  <si>
    <t xml:space="preserve">Créditos </t>
  </si>
  <si>
    <t>Saldos
Consolidados
al 31.12.2018</t>
  </si>
  <si>
    <t>Ingresos por ventas</t>
  </si>
  <si>
    <t>Costo de venta</t>
  </si>
  <si>
    <t>Utilidad bruta</t>
  </si>
  <si>
    <t xml:space="preserve"> </t>
  </si>
  <si>
    <t>Gastos de administración y ventas</t>
  </si>
  <si>
    <t>Otros ingresos, neto</t>
  </si>
  <si>
    <t>Utilidad operacional</t>
  </si>
  <si>
    <t>Gastos financieros, neto</t>
  </si>
  <si>
    <t>Utilidad antes de IR</t>
  </si>
  <si>
    <t>Impuesto a las ganancias</t>
  </si>
  <si>
    <t xml:space="preserve">Utilidad  del Ejercicio </t>
  </si>
  <si>
    <t>(Pérdidas) ganancias actuariales</t>
  </si>
  <si>
    <t>Resultado correspondiente a la controladora</t>
  </si>
  <si>
    <t>Resultado correspondiente a la PNC</t>
  </si>
  <si>
    <t>Notas</t>
  </si>
  <si>
    <t>Aje 1</t>
  </si>
  <si>
    <t>Aje 5</t>
  </si>
  <si>
    <t>Aje 1 y 2</t>
  </si>
  <si>
    <t>Aje 1 y 3</t>
  </si>
  <si>
    <t>Aje 1, 3 y 4</t>
  </si>
  <si>
    <t>Aje 1,3,4 y 5</t>
  </si>
  <si>
    <t>Aje 4</t>
  </si>
  <si>
    <t>Aje 2</t>
  </si>
  <si>
    <t>Diferencia originada en</t>
  </si>
  <si>
    <t>TELCONET Y SUBSIDIARIAS</t>
  </si>
  <si>
    <t>DETALLE DE DIFERENCIAS EN LIBROS ENTRE INFORME DE AUDITORES Y CGA</t>
  </si>
  <si>
    <t>Cifras en US dólares</t>
  </si>
  <si>
    <t>ANALISIS DE DIFERENCIAS EN CONSOLIDACION</t>
  </si>
  <si>
    <t>Cifras en miles de US dólares</t>
  </si>
  <si>
    <t>Detalle de diferencias en libros</t>
  </si>
  <si>
    <t>Diferencias en el Patrimonio</t>
  </si>
  <si>
    <t>CGA</t>
  </si>
  <si>
    <t>Auditoria</t>
  </si>
  <si>
    <t>SUMAN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</si>
</sst>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#,##0.00;[Red]#,##0.00"/>
    <numFmt numFmtId="165" formatCode="_ * #,##0_ ;_ * \-#,##0_ ;_ * &quot;-&quot;??_ ;_ @_ "/>
    <numFmt numFmtId="166" formatCode="_(* #,##0_);_(* \(#,##0\);_(* &quot;-&quot;_);_(@_)"/>
    <numFmt numFmtId="167" formatCode="_(* #,##0.00_);_(* \(#,##0.00\);_(* &quot;-&quot;??_);_(@_)"/>
    <numFmt numFmtId="168" formatCode="_(* #,##0_);_(* \(#,##0\);_(* &quot;-&quot;??_);_(@_)"/>
    <numFmt numFmtId="169" formatCode="_-* #,##0.00_-;\-* #,##0.00_-;_-* &quot;-&quot;??_-;_-@_-"/>
    <numFmt numFmtId="170" formatCode="_-* #,##0_-;\-* #,##0_-;_-* &quot;-&quot;??_-;_-@_-"/>
    <numFmt numFmtId="171" formatCode="#,##0;[Red]#,##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color theme="1"/>
      <name val="Arial"/>
      <family val="2"/>
    </font>
    <font>
      <sz val="12"/>
      <name val="Times New Roman"/>
      <family val="1"/>
    </font>
    <font>
      <sz val="7.5"/>
      <name val="Arial"/>
      <family val="2"/>
    </font>
    <font>
      <b/>
      <sz val="7.5"/>
      <color theme="0"/>
      <name val="Arial"/>
      <family val="2"/>
    </font>
    <font>
      <sz val="7.5"/>
      <color rgb="FF000000"/>
      <name val="Arial"/>
      <family val="2"/>
    </font>
    <font>
      <sz val="7.5"/>
      <color theme="0"/>
      <name val="Arial"/>
      <family val="2"/>
    </font>
    <font>
      <b/>
      <sz val="7.5"/>
      <color theme="1"/>
      <name val="Arial"/>
      <family val="2"/>
    </font>
    <font>
      <b/>
      <u/>
      <sz val="7.5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9.5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6" fillId="0" borderId="0"/>
    <xf numFmtId="169" fontId="3" fillId="0" borderId="0" applyFont="0" applyFill="0" applyBorder="0" applyAlignment="0" applyProtection="0"/>
    <xf numFmtId="0" fontId="2" fillId="0" borderId="0"/>
    <xf numFmtId="167" fontId="14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5" fontId="0" fillId="0" borderId="3" xfId="4" applyNumberFormat="1" applyFont="1" applyBorder="1"/>
    <xf numFmtId="165" fontId="0" fillId="0" borderId="2" xfId="4" applyNumberFormat="1" applyFont="1" applyBorder="1"/>
    <xf numFmtId="165" fontId="0" fillId="0" borderId="1" xfId="0" applyNumberFormat="1" applyBorder="1"/>
    <xf numFmtId="165" fontId="0" fillId="0" borderId="1" xfId="4" applyNumberFormat="1" applyFon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7" xfId="4" applyNumberFormat="1" applyFont="1" applyBorder="1"/>
    <xf numFmtId="165" fontId="0" fillId="2" borderId="2" xfId="4" applyNumberFormat="1" applyFont="1" applyFill="1" applyBorder="1"/>
    <xf numFmtId="0" fontId="0" fillId="0" borderId="1" xfId="0" applyFill="1" applyBorder="1" applyAlignment="1">
      <alignment horizontal="center" wrapText="1"/>
    </xf>
    <xf numFmtId="9" fontId="4" fillId="0" borderId="0" xfId="5" applyFont="1" applyAlignment="1">
      <alignment horizontal="left" vertical="center"/>
    </xf>
    <xf numFmtId="0" fontId="5" fillId="0" borderId="0" xfId="0" applyFont="1"/>
    <xf numFmtId="166" fontId="5" fillId="0" borderId="0" xfId="0" applyNumberFormat="1" applyFont="1"/>
    <xf numFmtId="0" fontId="4" fillId="0" borderId="0" xfId="6" applyFont="1" applyAlignment="1">
      <alignment vertical="center"/>
    </xf>
    <xf numFmtId="168" fontId="5" fillId="0" borderId="0" xfId="4" applyNumberFormat="1" applyFont="1"/>
    <xf numFmtId="0" fontId="7" fillId="0" borderId="0" xfId="7" applyFont="1" applyAlignment="1">
      <alignment vertical="center"/>
    </xf>
    <xf numFmtId="0" fontId="8" fillId="3" borderId="3" xfId="9" applyFont="1" applyFill="1" applyBorder="1" applyAlignment="1">
      <alignment horizontal="center" vertical="center" wrapText="1"/>
    </xf>
    <xf numFmtId="170" fontId="8" fillId="3" borderId="3" xfId="8" applyNumberFormat="1" applyFont="1" applyFill="1" applyBorder="1" applyAlignment="1">
      <alignment horizontal="center" vertical="center" wrapText="1"/>
    </xf>
    <xf numFmtId="168" fontId="7" fillId="4" borderId="1" xfId="4" applyNumberFormat="1" applyFont="1" applyFill="1" applyBorder="1" applyAlignment="1">
      <alignment horizontal="left" vertical="center" wrapText="1"/>
    </xf>
    <xf numFmtId="168" fontId="7" fillId="5" borderId="1" xfId="4" applyNumberFormat="1" applyFont="1" applyFill="1" applyBorder="1" applyAlignment="1">
      <alignment horizontal="right" vertical="center"/>
    </xf>
    <xf numFmtId="168" fontId="5" fillId="5" borderId="1" xfId="4" applyNumberFormat="1" applyFont="1" applyFill="1" applyBorder="1" applyAlignment="1">
      <alignment horizontal="right"/>
    </xf>
    <xf numFmtId="168" fontId="7" fillId="6" borderId="1" xfId="4" applyNumberFormat="1" applyFont="1" applyFill="1" applyBorder="1" applyAlignment="1">
      <alignment horizontal="right" vertical="center"/>
    </xf>
    <xf numFmtId="168" fontId="9" fillId="5" borderId="1" xfId="4" applyNumberFormat="1" applyFont="1" applyFill="1" applyBorder="1" applyAlignment="1">
      <alignment horizontal="right"/>
    </xf>
    <xf numFmtId="168" fontId="8" fillId="7" borderId="1" xfId="4" applyNumberFormat="1" applyFont="1" applyFill="1" applyBorder="1" applyAlignment="1">
      <alignment horizontal="left" vertical="center" wrapText="1"/>
    </xf>
    <xf numFmtId="168" fontId="8" fillId="7" borderId="7" xfId="4" applyNumberFormat="1" applyFont="1" applyFill="1" applyBorder="1" applyAlignment="1">
      <alignment horizontal="right" vertical="center"/>
    </xf>
    <xf numFmtId="168" fontId="10" fillId="7" borderId="7" xfId="4" applyNumberFormat="1" applyFont="1" applyFill="1" applyBorder="1" applyAlignment="1">
      <alignment horizontal="right" vertical="center"/>
    </xf>
    <xf numFmtId="168" fontId="10" fillId="7" borderId="1" xfId="4" applyNumberFormat="1" applyFont="1" applyFill="1" applyBorder="1" applyAlignment="1">
      <alignment horizontal="right" vertical="center"/>
    </xf>
    <xf numFmtId="168" fontId="7" fillId="6" borderId="10" xfId="4" applyNumberFormat="1" applyFont="1" applyFill="1" applyBorder="1" applyAlignment="1">
      <alignment horizontal="right" vertical="center"/>
    </xf>
    <xf numFmtId="168" fontId="7" fillId="5" borderId="1" xfId="4" applyNumberFormat="1" applyFont="1" applyFill="1" applyBorder="1" applyAlignment="1">
      <alignment horizontal="right" wrapText="1"/>
    </xf>
    <xf numFmtId="168" fontId="10" fillId="8" borderId="7" xfId="4" applyNumberFormat="1" applyFont="1" applyFill="1" applyBorder="1" applyAlignment="1">
      <alignment horizontal="right" vertical="center"/>
    </xf>
    <xf numFmtId="0" fontId="4" fillId="0" borderId="0" xfId="9" applyFont="1" applyAlignment="1">
      <alignment horizontal="left" vertical="center" wrapText="1"/>
    </xf>
    <xf numFmtId="43" fontId="7" fillId="0" borderId="0" xfId="4" applyFont="1" applyAlignment="1">
      <alignment horizontal="right" vertical="center" wrapText="1"/>
    </xf>
    <xf numFmtId="171" fontId="7" fillId="0" borderId="0" xfId="4" applyNumberFormat="1" applyFont="1" applyAlignment="1">
      <alignment horizontal="right" vertical="center" wrapText="1"/>
    </xf>
    <xf numFmtId="171" fontId="4" fillId="0" borderId="0" xfId="5" applyNumberFormat="1" applyFont="1" applyAlignment="1">
      <alignment horizontal="right" vertical="center" wrapText="1"/>
    </xf>
    <xf numFmtId="171" fontId="7" fillId="0" borderId="0" xfId="5" applyNumberFormat="1" applyFont="1" applyAlignment="1">
      <alignment horizontal="center" vertical="center" wrapText="1"/>
    </xf>
    <xf numFmtId="171" fontId="5" fillId="0" borderId="0" xfId="0" applyNumberFormat="1" applyFont="1" applyAlignment="1">
      <alignment horizontal="center"/>
    </xf>
    <xf numFmtId="171" fontId="8" fillId="3" borderId="3" xfId="8" applyNumberFormat="1" applyFont="1" applyFill="1" applyBorder="1" applyAlignment="1">
      <alignment horizontal="center" vertical="center" wrapText="1"/>
    </xf>
    <xf numFmtId="171" fontId="10" fillId="3" borderId="3" xfId="8" applyNumberFormat="1" applyFont="1" applyFill="1" applyBorder="1" applyAlignment="1">
      <alignment horizontal="center" vertical="center" wrapText="1"/>
    </xf>
    <xf numFmtId="168" fontId="7" fillId="9" borderId="1" xfId="4" applyNumberFormat="1" applyFont="1" applyFill="1" applyBorder="1" applyAlignment="1">
      <alignment horizontal="center" vertical="center"/>
    </xf>
    <xf numFmtId="168" fontId="5" fillId="9" borderId="1" xfId="4" applyNumberFormat="1" applyFont="1" applyFill="1" applyBorder="1" applyAlignment="1">
      <alignment horizontal="center"/>
    </xf>
    <xf numFmtId="171" fontId="7" fillId="0" borderId="7" xfId="5" applyNumberFormat="1" applyFont="1" applyBorder="1" applyAlignment="1">
      <alignment horizontal="right" vertical="center"/>
    </xf>
    <xf numFmtId="171" fontId="7" fillId="0" borderId="7" xfId="5" applyNumberFormat="1" applyFont="1" applyBorder="1" applyAlignment="1">
      <alignment horizontal="center" vertical="center"/>
    </xf>
    <xf numFmtId="171" fontId="7" fillId="0" borderId="7" xfId="8" applyNumberFormat="1" applyFont="1" applyBorder="1" applyAlignment="1">
      <alignment horizontal="center" vertical="center"/>
    </xf>
    <xf numFmtId="171" fontId="7" fillId="0" borderId="1" xfId="5" applyNumberFormat="1" applyFont="1" applyBorder="1" applyAlignment="1">
      <alignment horizontal="center" vertical="center"/>
    </xf>
    <xf numFmtId="171" fontId="7" fillId="0" borderId="1" xfId="5" applyNumberFormat="1" applyFont="1" applyBorder="1" applyAlignment="1">
      <alignment horizontal="right" vertical="center"/>
    </xf>
    <xf numFmtId="171" fontId="7" fillId="0" borderId="10" xfId="8" applyNumberFormat="1" applyFont="1" applyBorder="1" applyAlignment="1">
      <alignment horizontal="center" vertical="center"/>
    </xf>
    <xf numFmtId="168" fontId="4" fillId="4" borderId="1" xfId="4" applyNumberFormat="1" applyFont="1" applyFill="1" applyBorder="1" applyAlignment="1">
      <alignment horizontal="left" vertical="center" wrapText="1"/>
    </xf>
    <xf numFmtId="168" fontId="4" fillId="9" borderId="1" xfId="4" applyNumberFormat="1" applyFont="1" applyFill="1" applyBorder="1" applyAlignment="1">
      <alignment horizontal="center" vertical="center"/>
    </xf>
    <xf numFmtId="171" fontId="4" fillId="0" borderId="7" xfId="5" applyNumberFormat="1" applyFont="1" applyBorder="1" applyAlignment="1">
      <alignment horizontal="center" vertical="center"/>
    </xf>
    <xf numFmtId="0" fontId="11" fillId="0" borderId="0" xfId="0" applyFont="1"/>
    <xf numFmtId="171" fontId="7" fillId="0" borderId="1" xfId="8" applyNumberFormat="1" applyFont="1" applyBorder="1" applyAlignment="1">
      <alignment horizontal="center" vertical="center"/>
    </xf>
    <xf numFmtId="168" fontId="7" fillId="9" borderId="1" xfId="4" quotePrefix="1" applyNumberFormat="1" applyFont="1" applyFill="1" applyBorder="1" applyAlignment="1">
      <alignment horizontal="center" vertical="center"/>
    </xf>
    <xf numFmtId="171" fontId="4" fillId="0" borderId="1" xfId="5" applyNumberFormat="1" applyFont="1" applyBorder="1" applyAlignment="1">
      <alignment horizontal="center" vertical="center"/>
    </xf>
    <xf numFmtId="166" fontId="11" fillId="0" borderId="0" xfId="0" applyNumberFormat="1" applyFont="1"/>
    <xf numFmtId="171" fontId="4" fillId="0" borderId="1" xfId="8" applyNumberFormat="1" applyFont="1" applyBorder="1" applyAlignment="1">
      <alignment horizontal="center" vertical="center"/>
    </xf>
    <xf numFmtId="0" fontId="8" fillId="7" borderId="1" xfId="9" applyFont="1" applyFill="1" applyBorder="1" applyAlignment="1">
      <alignment horizontal="left" vertical="center" wrapText="1"/>
    </xf>
    <xf numFmtId="171" fontId="8" fillId="7" borderId="1" xfId="8" applyNumberFormat="1" applyFont="1" applyFill="1" applyBorder="1" applyAlignment="1">
      <alignment horizontal="center" vertical="center"/>
    </xf>
    <xf numFmtId="171" fontId="10" fillId="7" borderId="1" xfId="8" applyNumberFormat="1" applyFont="1" applyFill="1" applyBorder="1" applyAlignment="1">
      <alignment horizontal="center" vertical="center"/>
    </xf>
    <xf numFmtId="171" fontId="4" fillId="0" borderId="0" xfId="8" applyNumberFormat="1" applyFont="1" applyAlignment="1">
      <alignment vertical="center"/>
    </xf>
    <xf numFmtId="171" fontId="4" fillId="0" borderId="0" xfId="4" applyNumberFormat="1" applyFont="1" applyAlignment="1">
      <alignment vertical="center"/>
    </xf>
    <xf numFmtId="0" fontId="12" fillId="0" borderId="0" xfId="9" applyFont="1" applyAlignment="1">
      <alignment horizontal="left" vertical="center"/>
    </xf>
    <xf numFmtId="171" fontId="5" fillId="0" borderId="0" xfId="0" applyNumberFormat="1" applyFont="1"/>
    <xf numFmtId="0" fontId="7" fillId="0" borderId="0" xfId="9" applyFont="1" applyAlignment="1">
      <alignment horizontal="left" vertical="center"/>
    </xf>
    <xf numFmtId="171" fontId="7" fillId="0" borderId="0" xfId="5" applyNumberFormat="1" applyFont="1" applyAlignment="1">
      <alignment horizontal="right" vertical="center"/>
    </xf>
    <xf numFmtId="171" fontId="5" fillId="0" borderId="0" xfId="4" applyNumberFormat="1" applyFont="1"/>
    <xf numFmtId="43" fontId="5" fillId="0" borderId="0" xfId="0" applyNumberFormat="1" applyFont="1"/>
    <xf numFmtId="168" fontId="5" fillId="0" borderId="0" xfId="0" applyNumberFormat="1" applyFont="1"/>
    <xf numFmtId="9" fontId="13" fillId="0" borderId="0" xfId="5" applyFont="1" applyAlignment="1">
      <alignment horizontal="left" vertical="center"/>
    </xf>
    <xf numFmtId="0" fontId="14" fillId="0" borderId="0" xfId="0" applyFont="1"/>
    <xf numFmtId="166" fontId="14" fillId="0" borderId="0" xfId="0" applyNumberFormat="1" applyFont="1"/>
    <xf numFmtId="0" fontId="13" fillId="0" borderId="0" xfId="6" applyFont="1" applyAlignment="1">
      <alignment vertical="center"/>
    </xf>
    <xf numFmtId="168" fontId="14" fillId="0" borderId="0" xfId="4" applyNumberFormat="1" applyFont="1"/>
    <xf numFmtId="0" fontId="2" fillId="0" borderId="0" xfId="7" applyFont="1" applyAlignment="1">
      <alignment vertical="center"/>
    </xf>
    <xf numFmtId="0" fontId="15" fillId="3" borderId="3" xfId="9" applyFont="1" applyFill="1" applyBorder="1" applyAlignment="1">
      <alignment horizontal="center" vertical="center" wrapText="1"/>
    </xf>
    <xf numFmtId="170" fontId="15" fillId="3" borderId="3" xfId="8" applyNumberFormat="1" applyFont="1" applyFill="1" applyBorder="1" applyAlignment="1">
      <alignment horizontal="center" vertical="center" wrapText="1"/>
    </xf>
    <xf numFmtId="0" fontId="13" fillId="0" borderId="1" xfId="9" applyFont="1" applyBorder="1" applyAlignment="1">
      <alignment horizontal="left" vertical="center" wrapText="1"/>
    </xf>
    <xf numFmtId="171" fontId="2" fillId="0" borderId="1" xfId="4" applyNumberFormat="1" applyFont="1" applyBorder="1" applyAlignment="1">
      <alignment horizontal="right" vertical="center"/>
    </xf>
    <xf numFmtId="171" fontId="14" fillId="0" borderId="0" xfId="4" applyNumberFormat="1" applyFont="1" applyAlignment="1">
      <alignment horizontal="right"/>
    </xf>
    <xf numFmtId="171" fontId="2" fillId="0" borderId="0" xfId="4" applyNumberFormat="1" applyFont="1" applyAlignment="1">
      <alignment horizontal="right" vertical="center"/>
    </xf>
    <xf numFmtId="171" fontId="14" fillId="0" borderId="1" xfId="4" applyNumberFormat="1" applyFont="1" applyBorder="1" applyAlignment="1">
      <alignment horizontal="right"/>
    </xf>
    <xf numFmtId="171" fontId="16" fillId="0" borderId="1" xfId="4" applyNumberFormat="1" applyFont="1" applyBorder="1" applyAlignment="1">
      <alignment horizontal="right" vertical="center"/>
    </xf>
    <xf numFmtId="171" fontId="2" fillId="10" borderId="1" xfId="4" applyNumberFormat="1" applyFont="1" applyFill="1" applyBorder="1" applyAlignment="1">
      <alignment horizontal="right" vertical="center"/>
    </xf>
    <xf numFmtId="171" fontId="2" fillId="0" borderId="3" xfId="4" applyNumberFormat="1" applyFont="1" applyBorder="1" applyAlignment="1">
      <alignment horizontal="right" vertical="center"/>
    </xf>
    <xf numFmtId="0" fontId="15" fillId="7" borderId="1" xfId="9" applyFont="1" applyFill="1" applyBorder="1" applyAlignment="1">
      <alignment horizontal="left" vertical="center" wrapText="1"/>
    </xf>
    <xf numFmtId="171" fontId="15" fillId="7" borderId="1" xfId="4" applyNumberFormat="1" applyFont="1" applyFill="1" applyBorder="1" applyAlignment="1">
      <alignment horizontal="right" vertical="center"/>
    </xf>
    <xf numFmtId="171" fontId="17" fillId="7" borderId="1" xfId="4" applyNumberFormat="1" applyFont="1" applyFill="1" applyBorder="1" applyAlignment="1">
      <alignment horizontal="right" vertical="center"/>
    </xf>
    <xf numFmtId="171" fontId="14" fillId="0" borderId="0" xfId="0" applyNumberFormat="1" applyFont="1"/>
    <xf numFmtId="171" fontId="2" fillId="0" borderId="10" xfId="4" applyNumberFormat="1" applyFont="1" applyBorder="1" applyAlignment="1">
      <alignment horizontal="right" vertical="center"/>
    </xf>
    <xf numFmtId="171" fontId="14" fillId="0" borderId="10" xfId="4" applyNumberFormat="1" applyFont="1" applyBorder="1" applyAlignment="1">
      <alignment horizontal="right"/>
    </xf>
    <xf numFmtId="171" fontId="2" fillId="10" borderId="10" xfId="4" applyNumberFormat="1" applyFont="1" applyFill="1" applyBorder="1" applyAlignment="1">
      <alignment horizontal="right" vertical="center"/>
    </xf>
    <xf numFmtId="171" fontId="2" fillId="0" borderId="1" xfId="4" applyNumberFormat="1" applyFont="1" applyBorder="1" applyAlignment="1">
      <alignment horizontal="right" wrapText="1"/>
    </xf>
    <xf numFmtId="43" fontId="14" fillId="0" borderId="0" xfId="4" applyFont="1"/>
    <xf numFmtId="0" fontId="13" fillId="0" borderId="0" xfId="9" applyFont="1" applyAlignment="1">
      <alignment horizontal="left" vertical="center" wrapText="1"/>
    </xf>
    <xf numFmtId="171" fontId="2" fillId="0" borderId="0" xfId="4" applyNumberFormat="1" applyFont="1" applyAlignment="1">
      <alignment horizontal="right" vertical="center" wrapText="1"/>
    </xf>
    <xf numFmtId="171" fontId="16" fillId="0" borderId="0" xfId="4" applyNumberFormat="1" applyFont="1" applyAlignment="1">
      <alignment horizontal="right" vertical="center" wrapText="1"/>
    </xf>
    <xf numFmtId="171" fontId="13" fillId="0" borderId="0" xfId="5" applyNumberFormat="1" applyFont="1" applyAlignment="1">
      <alignment horizontal="right" vertical="center" wrapText="1"/>
    </xf>
    <xf numFmtId="171" fontId="2" fillId="0" borderId="0" xfId="5" applyNumberFormat="1" applyFont="1" applyAlignment="1">
      <alignment horizontal="center" vertical="center" wrapText="1"/>
    </xf>
    <xf numFmtId="171" fontId="16" fillId="0" borderId="0" xfId="5" applyNumberFormat="1" applyFont="1" applyAlignment="1">
      <alignment horizontal="center" vertical="center" wrapText="1"/>
    </xf>
    <xf numFmtId="171" fontId="14" fillId="0" borderId="0" xfId="0" applyNumberFormat="1" applyFont="1" applyAlignment="1">
      <alignment horizontal="center"/>
    </xf>
    <xf numFmtId="171" fontId="15" fillId="3" borderId="3" xfId="8" applyNumberFormat="1" applyFont="1" applyFill="1" applyBorder="1" applyAlignment="1">
      <alignment horizontal="center" vertical="center" wrapText="1"/>
    </xf>
    <xf numFmtId="171" fontId="17" fillId="3" borderId="3" xfId="8" applyNumberFormat="1" applyFont="1" applyFill="1" applyBorder="1" applyAlignment="1">
      <alignment horizontal="center" vertical="center" wrapText="1"/>
    </xf>
    <xf numFmtId="0" fontId="13" fillId="0" borderId="7" xfId="9" applyFont="1" applyBorder="1" applyAlignment="1">
      <alignment horizontal="left" vertical="center" wrapText="1"/>
    </xf>
    <xf numFmtId="171" fontId="2" fillId="0" borderId="7" xfId="5" applyNumberFormat="1" applyFont="1" applyBorder="1" applyAlignment="1">
      <alignment horizontal="center" vertical="center"/>
    </xf>
    <xf numFmtId="171" fontId="14" fillId="0" borderId="7" xfId="10" applyNumberFormat="1" applyBorder="1" applyAlignment="1">
      <alignment horizontal="center"/>
    </xf>
    <xf numFmtId="171" fontId="16" fillId="0" borderId="7" xfId="5" applyNumberFormat="1" applyFont="1" applyBorder="1" applyAlignment="1">
      <alignment horizontal="center" vertical="center"/>
    </xf>
    <xf numFmtId="171" fontId="2" fillId="0" borderId="7" xfId="5" applyNumberFormat="1" applyFont="1" applyBorder="1" applyAlignment="1">
      <alignment horizontal="right" vertical="center"/>
    </xf>
    <xf numFmtId="171" fontId="2" fillId="0" borderId="7" xfId="8" applyNumberFormat="1" applyFont="1" applyBorder="1" applyAlignment="1">
      <alignment horizontal="center" vertical="center"/>
    </xf>
    <xf numFmtId="171" fontId="2" fillId="0" borderId="10" xfId="5" applyNumberFormat="1" applyFont="1" applyBorder="1" applyAlignment="1">
      <alignment horizontal="center" vertical="center"/>
    </xf>
    <xf numFmtId="171" fontId="14" fillId="0" borderId="10" xfId="10" applyNumberFormat="1" applyBorder="1" applyAlignment="1">
      <alignment horizontal="center"/>
    </xf>
    <xf numFmtId="171" fontId="16" fillId="0" borderId="1" xfId="5" applyNumberFormat="1" applyFont="1" applyBorder="1" applyAlignment="1">
      <alignment horizontal="center" vertical="center"/>
    </xf>
    <xf numFmtId="171" fontId="2" fillId="0" borderId="1" xfId="5" applyNumberFormat="1" applyFont="1" applyBorder="1" applyAlignment="1">
      <alignment horizontal="center" vertical="center"/>
    </xf>
    <xf numFmtId="171" fontId="2" fillId="0" borderId="1" xfId="5" applyNumberFormat="1" applyFont="1" applyBorder="1" applyAlignment="1">
      <alignment horizontal="right" vertical="center"/>
    </xf>
    <xf numFmtId="171" fontId="2" fillId="0" borderId="10" xfId="8" applyNumberFormat="1" applyFont="1" applyBorder="1" applyAlignment="1">
      <alignment horizontal="center" vertical="center"/>
    </xf>
    <xf numFmtId="171" fontId="13" fillId="0" borderId="7" xfId="5" applyNumberFormat="1" applyFont="1" applyBorder="1" applyAlignment="1">
      <alignment horizontal="center" vertical="center"/>
    </xf>
    <xf numFmtId="0" fontId="18" fillId="0" borderId="1" xfId="9" applyFont="1" applyBorder="1" applyAlignment="1">
      <alignment horizontal="left" vertical="center" wrapText="1"/>
    </xf>
    <xf numFmtId="171" fontId="14" fillId="0" borderId="1" xfId="10" applyNumberFormat="1" applyBorder="1" applyAlignment="1">
      <alignment horizontal="center"/>
    </xf>
    <xf numFmtId="171" fontId="2" fillId="0" borderId="1" xfId="8" applyNumberFormat="1" applyFont="1" applyBorder="1" applyAlignment="1">
      <alignment horizontal="center" vertical="center"/>
    </xf>
    <xf numFmtId="171" fontId="19" fillId="0" borderId="1" xfId="5" applyNumberFormat="1" applyFont="1" applyBorder="1" applyAlignment="1">
      <alignment horizontal="center" vertical="center"/>
    </xf>
    <xf numFmtId="0" fontId="13" fillId="0" borderId="1" xfId="9" applyFont="1" applyBorder="1" applyAlignment="1">
      <alignment horizontal="left" vertical="center"/>
    </xf>
    <xf numFmtId="171" fontId="2" fillId="2" borderId="10" xfId="5" quotePrefix="1" applyNumberFormat="1" applyFont="1" applyFill="1" applyBorder="1" applyAlignment="1">
      <alignment horizontal="center" vertical="center"/>
    </xf>
    <xf numFmtId="171" fontId="19" fillId="0" borderId="10" xfId="5" applyNumberFormat="1" applyFont="1" applyBorder="1" applyAlignment="1">
      <alignment horizontal="center" vertical="center"/>
    </xf>
    <xf numFmtId="171" fontId="16" fillId="0" borderId="1" xfId="8" applyNumberFormat="1" applyFont="1" applyBorder="1" applyAlignment="1">
      <alignment horizontal="center" vertical="center"/>
    </xf>
    <xf numFmtId="171" fontId="13" fillId="0" borderId="1" xfId="8" applyNumberFormat="1" applyFont="1" applyBorder="1" applyAlignment="1">
      <alignment horizontal="center" vertical="center"/>
    </xf>
    <xf numFmtId="171" fontId="15" fillId="7" borderId="1" xfId="8" applyNumberFormat="1" applyFont="1" applyFill="1" applyBorder="1" applyAlignment="1">
      <alignment horizontal="center" vertical="center"/>
    </xf>
    <xf numFmtId="171" fontId="17" fillId="7" borderId="1" xfId="8" applyNumberFormat="1" applyFont="1" applyFill="1" applyBorder="1" applyAlignment="1">
      <alignment horizontal="center" vertical="center"/>
    </xf>
    <xf numFmtId="171" fontId="13" fillId="0" borderId="0" xfId="8" applyNumberFormat="1" applyFont="1" applyAlignment="1">
      <alignment vertical="center"/>
    </xf>
    <xf numFmtId="171" fontId="13" fillId="0" borderId="0" xfId="4" applyNumberFormat="1" applyFont="1" applyAlignment="1">
      <alignment vertical="center"/>
    </xf>
    <xf numFmtId="171" fontId="20" fillId="0" borderId="0" xfId="8" applyNumberFormat="1" applyFont="1" applyAlignment="1">
      <alignment horizontal="center" vertical="center"/>
    </xf>
    <xf numFmtId="0" fontId="18" fillId="0" borderId="0" xfId="9" applyFont="1" applyAlignment="1">
      <alignment horizontal="left" vertical="center"/>
    </xf>
    <xf numFmtId="0" fontId="2" fillId="0" borderId="0" xfId="9" applyAlignment="1">
      <alignment horizontal="left" vertical="center"/>
    </xf>
    <xf numFmtId="171" fontId="2" fillId="0" borderId="0" xfId="5" applyNumberFormat="1" applyFont="1" applyAlignment="1">
      <alignment horizontal="right" vertical="center"/>
    </xf>
    <xf numFmtId="0" fontId="21" fillId="0" borderId="0" xfId="0" applyFont="1"/>
    <xf numFmtId="171" fontId="14" fillId="0" borderId="0" xfId="4" applyNumberFormat="1" applyFont="1"/>
    <xf numFmtId="43" fontId="14" fillId="0" borderId="0" xfId="0" applyNumberFormat="1" applyFont="1"/>
    <xf numFmtId="168" fontId="14" fillId="0" borderId="0" xfId="0" applyNumberFormat="1" applyFont="1"/>
    <xf numFmtId="165" fontId="0" fillId="0" borderId="2" xfId="0" applyNumberFormat="1" applyBorder="1"/>
    <xf numFmtId="165" fontId="0" fillId="0" borderId="0" xfId="4" applyNumberFormat="1" applyFont="1"/>
    <xf numFmtId="165" fontId="0" fillId="0" borderId="0" xfId="0" applyNumberFormat="1"/>
    <xf numFmtId="1" fontId="0" fillId="2" borderId="1" xfId="0" applyNumberFormat="1" applyFill="1" applyBorder="1"/>
    <xf numFmtId="0" fontId="0" fillId="2" borderId="2" xfId="0" applyFill="1" applyBorder="1"/>
    <xf numFmtId="165" fontId="0" fillId="2" borderId="7" xfId="4" applyNumberFormat="1" applyFont="1" applyFill="1" applyBorder="1"/>
    <xf numFmtId="168" fontId="7" fillId="0" borderId="1" xfId="4" applyNumberFormat="1" applyFont="1" applyFill="1" applyBorder="1" applyAlignment="1">
      <alignment horizontal="left" vertical="center" wrapText="1"/>
    </xf>
    <xf numFmtId="165" fontId="0" fillId="0" borderId="2" xfId="4" applyNumberFormat="1" applyFont="1" applyFill="1" applyBorder="1"/>
    <xf numFmtId="168" fontId="7" fillId="0" borderId="3" xfId="4" applyNumberFormat="1" applyFont="1" applyFill="1" applyBorder="1" applyAlignment="1">
      <alignment horizontal="left" vertical="center" wrapText="1"/>
    </xf>
    <xf numFmtId="165" fontId="0" fillId="0" borderId="1" xfId="4" applyNumberFormat="1" applyFont="1" applyFill="1" applyBorder="1"/>
    <xf numFmtId="0" fontId="1" fillId="0" borderId="0" xfId="0" applyFont="1" applyAlignment="1">
      <alignment horizontal="center" vertical="center" wrapText="1"/>
    </xf>
    <xf numFmtId="0" fontId="23" fillId="0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165" fontId="0" fillId="2" borderId="3" xfId="4" applyNumberFormat="1" applyFont="1" applyFill="1" applyBorder="1"/>
    <xf numFmtId="0" fontId="0" fillId="2" borderId="1" xfId="0" applyFill="1" applyBorder="1" applyAlignment="1">
      <alignment horizontal="center" wrapText="1"/>
    </xf>
    <xf numFmtId="165" fontId="0" fillId="2" borderId="2" xfId="0" applyNumberFormat="1" applyFill="1" applyBorder="1"/>
    <xf numFmtId="165" fontId="0" fillId="2" borderId="1" xfId="0" applyNumberFormat="1" applyFill="1" applyBorder="1"/>
    <xf numFmtId="165" fontId="0" fillId="2" borderId="3" xfId="0" applyNumberFormat="1" applyFill="1" applyBorder="1"/>
    <xf numFmtId="165" fontId="0" fillId="2" borderId="7" xfId="0" applyNumberFormat="1" applyFill="1" applyBorder="1"/>
    <xf numFmtId="0" fontId="22" fillId="0" borderId="4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170" fontId="8" fillId="3" borderId="8" xfId="8" applyNumberFormat="1" applyFont="1" applyFill="1" applyBorder="1" applyAlignment="1">
      <alignment horizontal="center" vertical="center" wrapText="1"/>
    </xf>
    <xf numFmtId="170" fontId="8" fillId="3" borderId="9" xfId="8" applyNumberFormat="1" applyFont="1" applyFill="1" applyBorder="1" applyAlignment="1">
      <alignment horizontal="center" vertical="center" wrapText="1"/>
    </xf>
    <xf numFmtId="170" fontId="15" fillId="3" borderId="8" xfId="8" applyNumberFormat="1" applyFont="1" applyFill="1" applyBorder="1" applyAlignment="1">
      <alignment horizontal="center" vertical="center" wrapText="1"/>
    </xf>
    <xf numFmtId="170" fontId="15" fillId="3" borderId="9" xfId="8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/>
    <xf numFmtId="171" fontId="0" fillId="0" borderId="2" xfId="0" applyNumberFormat="1" applyBorder="1"/>
    <xf numFmtId="171" fontId="1" fillId="0" borderId="1" xfId="0" applyNumberFormat="1" applyFont="1" applyBorder="1"/>
  </cellXfs>
  <cellStyles count="11">
    <cellStyle name="Comma" xfId="4" builtinId="3"/>
    <cellStyle name="Comma 2" xfId="2" xr:uid="{00000000-0005-0000-0000-000000000000}"/>
    <cellStyle name="Millares 10" xfId="3" xr:uid="{00000000-0005-0000-0000-000001000000}"/>
    <cellStyle name="Millares 67" xfId="8" xr:uid="{DB95717B-6527-4BCC-B7CC-41582E02A773}"/>
    <cellStyle name="Millares 69" xfId="10" xr:uid="{ADD90A78-0006-4A23-82BF-36BD2EF41FA2}"/>
    <cellStyle name="Normal" xfId="0" builtinId="0"/>
    <cellStyle name="Normal 10 2" xfId="9" xr:uid="{7706E76E-9278-46C5-978E-DD1B25EB3A51}"/>
    <cellStyle name="Normal 11 7" xfId="7" xr:uid="{28426DBC-E77E-4AC1-AE14-7D89E7E2AF60}"/>
    <cellStyle name="Normal 2" xfId="6" xr:uid="{A0723B07-9C30-4E8C-ABD3-1E7B8D75772A}"/>
    <cellStyle name="Normal 2 10" xfId="1" xr:uid="{00000000-0005-0000-0000-000003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Grupo%20Telconet%20y%20Subsidiarias%202018-2017%20MOORES%20STEPHE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Grupo%20Telconet%20y%20Subsidiarias%202018-2017%20v3.5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Saldos interco. 2018"/>
      <sheetName val="Inversiones 2018"/>
      <sheetName val="Participaciones 2018"/>
      <sheetName val="Planilla Final 2018"/>
      <sheetName val="Asientos_ESF"/>
      <sheetName val="Asientos_ERI"/>
      <sheetName val="ESF 2018-2017"/>
      <sheetName val="ERI 2018-2017"/>
      <sheetName val="ECP 2018-2017"/>
      <sheetName val="EFE 2018-2017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8">
          <cell r="C68">
            <v>366831.5299999998</v>
          </cell>
        </row>
      </sheetData>
      <sheetData sheetId="14">
        <row r="16">
          <cell r="E16">
            <v>0.75019999999999998</v>
          </cell>
          <cell r="G16">
            <v>0.99995475113122168</v>
          </cell>
          <cell r="I16">
            <v>0.68</v>
          </cell>
          <cell r="K16">
            <v>0.5</v>
          </cell>
          <cell r="M16">
            <v>0.75</v>
          </cell>
          <cell r="O16">
            <v>0.92800000000000005</v>
          </cell>
          <cell r="Q16">
            <v>0.6</v>
          </cell>
          <cell r="S16">
            <v>0.99995000000000001</v>
          </cell>
          <cell r="U16">
            <v>0.92500000000000004</v>
          </cell>
          <cell r="W16">
            <v>0.99</v>
          </cell>
          <cell r="Y16">
            <v>1</v>
          </cell>
        </row>
      </sheetData>
      <sheetData sheetId="15"/>
      <sheetData sheetId="16"/>
      <sheetData sheetId="17">
        <row r="33">
          <cell r="D33">
            <v>3060845</v>
          </cell>
        </row>
        <row r="34">
          <cell r="E34">
            <v>3049989</v>
          </cell>
        </row>
        <row r="35">
          <cell r="E35">
            <v>10856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Transacciones 2018"/>
      <sheetName val="Saldos interco. 2018"/>
      <sheetName val="Participaciones 2018"/>
      <sheetName val="Inversiones 2018"/>
      <sheetName val="Planilla Final 2018"/>
      <sheetName val="ESF 2018-2017"/>
      <sheetName val="ERI 2018-2017"/>
      <sheetName val="EFE 2018-2017"/>
      <sheetName val="ECP 2018-2017"/>
      <sheetName val="EFE Subs 2018-2017"/>
      <sheetName val="Planilla Final 2017"/>
      <sheetName val="Participaciones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6">
          <cell r="E36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3">
          <cell r="D33">
            <v>3060845</v>
          </cell>
        </row>
        <row r="34">
          <cell r="E34">
            <v>3049989</v>
          </cell>
        </row>
        <row r="35">
          <cell r="E35">
            <v>10856</v>
          </cell>
        </row>
      </sheetData>
      <sheetData sheetId="13">
        <row r="31">
          <cell r="D31">
            <v>1261235</v>
          </cell>
        </row>
        <row r="32">
          <cell r="D32">
            <v>5743712</v>
          </cell>
        </row>
        <row r="33">
          <cell r="D33">
            <v>7238977</v>
          </cell>
        </row>
        <row r="34">
          <cell r="D34">
            <v>282467</v>
          </cell>
        </row>
        <row r="35">
          <cell r="E35">
            <v>13532178</v>
          </cell>
        </row>
        <row r="36">
          <cell r="E36">
            <v>0</v>
          </cell>
        </row>
        <row r="37">
          <cell r="E37">
            <v>865104</v>
          </cell>
        </row>
        <row r="38">
          <cell r="E38">
            <v>129109</v>
          </cell>
        </row>
      </sheetData>
      <sheetData sheetId="14">
        <row r="16">
          <cell r="E16">
            <v>0.75019999999999998</v>
          </cell>
          <cell r="G16">
            <v>0.99995475113122168</v>
          </cell>
          <cell r="I16">
            <v>0.68</v>
          </cell>
          <cell r="K16">
            <v>0.5</v>
          </cell>
          <cell r="M16">
            <v>0.75</v>
          </cell>
          <cell r="O16">
            <v>0.92800000000000005</v>
          </cell>
          <cell r="Q16">
            <v>0.6</v>
          </cell>
          <cell r="S16">
            <v>0.99995000000000001</v>
          </cell>
          <cell r="U16">
            <v>0.92500000000000004</v>
          </cell>
          <cell r="W16">
            <v>0.99</v>
          </cell>
          <cell r="Y16">
            <v>1</v>
          </cell>
        </row>
        <row r="22">
          <cell r="AC22">
            <v>0</v>
          </cell>
        </row>
        <row r="23">
          <cell r="S23">
            <v>339.983</v>
          </cell>
        </row>
        <row r="25">
          <cell r="AC25">
            <v>0</v>
          </cell>
        </row>
      </sheetData>
      <sheetData sheetId="15">
        <row r="33">
          <cell r="B33">
            <v>3751</v>
          </cell>
        </row>
        <row r="34">
          <cell r="B34">
            <v>1104950</v>
          </cell>
        </row>
        <row r="35">
          <cell r="B35">
            <v>6800.0000000000009</v>
          </cell>
        </row>
        <row r="36">
          <cell r="B36">
            <v>500</v>
          </cell>
        </row>
        <row r="37">
          <cell r="B37">
            <v>750</v>
          </cell>
        </row>
        <row r="38">
          <cell r="B38">
            <v>4640</v>
          </cell>
        </row>
        <row r="39">
          <cell r="B39">
            <v>6000</v>
          </cell>
        </row>
        <row r="40">
          <cell r="B40">
            <v>1139.943</v>
          </cell>
        </row>
        <row r="41">
          <cell r="B41">
            <v>740</v>
          </cell>
        </row>
        <row r="42">
          <cell r="B42">
            <v>3624786</v>
          </cell>
        </row>
        <row r="44">
          <cell r="B44">
            <v>27864599.423891999</v>
          </cell>
        </row>
        <row r="45">
          <cell r="B45">
            <v>877273.35257692309</v>
          </cell>
        </row>
        <row r="46">
          <cell r="B46">
            <v>24507.5</v>
          </cell>
        </row>
        <row r="47">
          <cell r="B47">
            <v>247837.5</v>
          </cell>
        </row>
        <row r="48">
          <cell r="B48">
            <v>1695911.3355</v>
          </cell>
        </row>
        <row r="49">
          <cell r="B49">
            <v>402731.86140000005</v>
          </cell>
        </row>
        <row r="51">
          <cell r="C51">
            <v>27858699.27</v>
          </cell>
        </row>
        <row r="52">
          <cell r="C52">
            <v>1982263.02</v>
          </cell>
        </row>
        <row r="53">
          <cell r="C53">
            <v>943459.2</v>
          </cell>
        </row>
        <row r="54">
          <cell r="C54">
            <v>147840</v>
          </cell>
        </row>
        <row r="55">
          <cell r="C55">
            <v>462500</v>
          </cell>
        </row>
        <row r="56">
          <cell r="C56">
            <v>140052.15</v>
          </cell>
        </row>
        <row r="57">
          <cell r="C57">
            <v>6000</v>
          </cell>
        </row>
        <row r="58">
          <cell r="C58">
            <v>1114175.56</v>
          </cell>
        </row>
        <row r="59">
          <cell r="C59">
            <v>1834157.69</v>
          </cell>
        </row>
        <row r="60">
          <cell r="C60">
            <v>1173781.21</v>
          </cell>
        </row>
        <row r="61">
          <cell r="C61">
            <v>1193125.8899999999</v>
          </cell>
        </row>
        <row r="62">
          <cell r="B62">
            <v>989136.07363107777</v>
          </cell>
        </row>
        <row r="67">
          <cell r="B67">
            <v>1598182.88</v>
          </cell>
        </row>
        <row r="68">
          <cell r="C68">
            <v>366831.5299999998</v>
          </cell>
        </row>
        <row r="69">
          <cell r="C69">
            <v>1231351.3500000001</v>
          </cell>
        </row>
        <row r="100">
          <cell r="B100">
            <v>46283.040000000001</v>
          </cell>
        </row>
        <row r="101">
          <cell r="B101">
            <v>9527029.0566310789</v>
          </cell>
        </row>
        <row r="102">
          <cell r="B102">
            <v>24154.783039999998</v>
          </cell>
        </row>
        <row r="104">
          <cell r="B104">
            <v>27408.267</v>
          </cell>
        </row>
        <row r="105">
          <cell r="C105">
            <v>252716.93240600004</v>
          </cell>
        </row>
        <row r="106">
          <cell r="C106">
            <v>1596989.1013880994</v>
          </cell>
        </row>
        <row r="107">
          <cell r="C107">
            <v>7775169.1128769787</v>
          </cell>
        </row>
        <row r="118">
          <cell r="C118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CB24-7787-4D15-B9DB-B95415EFEA32}">
  <dimension ref="B1:Q15"/>
  <sheetViews>
    <sheetView workbookViewId="0">
      <selection activeCell="E10" sqref="E10"/>
    </sheetView>
  </sheetViews>
  <sheetFormatPr defaultRowHeight="15" x14ac:dyDescent="0.25"/>
  <cols>
    <col min="1" max="1" width="2.140625" customWidth="1"/>
    <col min="2" max="2" width="24.5703125" bestFit="1" customWidth="1"/>
    <col min="4" max="4" width="9.5703125" customWidth="1"/>
    <col min="5" max="5" width="10.28515625" customWidth="1"/>
    <col min="6" max="6" width="1.7109375" style="9" customWidth="1"/>
    <col min="7" max="7" width="11" bestFit="1" customWidth="1"/>
    <col min="10" max="10" width="2.140625" customWidth="1"/>
    <col min="11" max="11" width="9.5703125" customWidth="1"/>
    <col min="12" max="12" width="10.7109375" customWidth="1"/>
    <col min="13" max="14" width="9.5703125" customWidth="1"/>
    <col min="15" max="16" width="11" bestFit="1" customWidth="1"/>
  </cols>
  <sheetData>
    <row r="1" spans="2:17" x14ac:dyDescent="0.25">
      <c r="B1" t="s">
        <v>177</v>
      </c>
    </row>
    <row r="2" spans="2:17" ht="13.5" customHeight="1" x14ac:dyDescent="0.25">
      <c r="B2" t="s">
        <v>180</v>
      </c>
      <c r="J2" s="9"/>
    </row>
    <row r="3" spans="2:17" ht="13.5" customHeight="1" x14ac:dyDescent="0.25">
      <c r="B3" t="s">
        <v>181</v>
      </c>
      <c r="J3" s="9"/>
    </row>
    <row r="4" spans="2:17" ht="15" customHeight="1" x14ac:dyDescent="0.25">
      <c r="G4" s="169" t="s">
        <v>176</v>
      </c>
      <c r="H4" s="170"/>
      <c r="I4" s="171"/>
      <c r="J4" s="162"/>
      <c r="K4" s="172" t="s">
        <v>182</v>
      </c>
      <c r="L4" s="173"/>
      <c r="M4" s="173"/>
      <c r="N4" s="173"/>
      <c r="O4" s="174"/>
    </row>
    <row r="5" spans="2:17" ht="33" customHeight="1" x14ac:dyDescent="0.25">
      <c r="C5" s="11" t="s">
        <v>131</v>
      </c>
      <c r="D5" s="11" t="s">
        <v>130</v>
      </c>
      <c r="E5" s="11" t="s">
        <v>128</v>
      </c>
      <c r="F5" s="13"/>
      <c r="G5" s="164" t="s">
        <v>132</v>
      </c>
      <c r="H5" s="24" t="s">
        <v>133</v>
      </c>
      <c r="I5" s="24" t="s">
        <v>134</v>
      </c>
      <c r="J5" s="162"/>
      <c r="K5" s="161" t="s">
        <v>120</v>
      </c>
      <c r="L5" s="24" t="s">
        <v>109</v>
      </c>
      <c r="M5" s="24" t="s">
        <v>108</v>
      </c>
      <c r="N5" s="24" t="s">
        <v>107</v>
      </c>
      <c r="O5" s="164" t="s">
        <v>134</v>
      </c>
    </row>
    <row r="6" spans="2:17" x14ac:dyDescent="0.25">
      <c r="B6" s="12" t="s">
        <v>122</v>
      </c>
      <c r="C6" s="16">
        <f>+Balance!B13/1000</f>
        <v>77907.757140000002</v>
      </c>
      <c r="D6" s="16">
        <f>+Balance!C13/1000</f>
        <v>76994.577940000003</v>
      </c>
      <c r="E6" s="21">
        <f>+D6-C6</f>
        <v>-913.17919999999867</v>
      </c>
      <c r="G6" s="23">
        <f>91339-91569</f>
        <v>-230</v>
      </c>
      <c r="H6" s="150">
        <f>+I6-G6</f>
        <v>-683.17919999999867</v>
      </c>
      <c r="I6" s="150">
        <f>+E6</f>
        <v>-913.17919999999867</v>
      </c>
      <c r="J6" s="150"/>
      <c r="K6" s="150"/>
      <c r="L6" s="150"/>
      <c r="M6" s="150">
        <f>SUM(Diferencias!M5:M13)/1000</f>
        <v>-228.36930999999998</v>
      </c>
      <c r="N6" s="150"/>
      <c r="O6" s="165">
        <f>SUM(K6:N6)</f>
        <v>-228.36930999999998</v>
      </c>
    </row>
    <row r="7" spans="2:17" x14ac:dyDescent="0.25">
      <c r="B7" s="13" t="s">
        <v>123</v>
      </c>
      <c r="C7" s="17">
        <f>+Balance!B25/1000</f>
        <v>129643.70942000001</v>
      </c>
      <c r="D7" s="17">
        <f>+Balance!C25/1000</f>
        <v>130856.60772000001</v>
      </c>
      <c r="E7" s="17">
        <f t="shared" ref="E7:E14" si="0">+D7-C7</f>
        <v>1212.8983000000007</v>
      </c>
      <c r="G7" s="23">
        <f>165787-165766</f>
        <v>21</v>
      </c>
      <c r="H7" s="150">
        <f t="shared" ref="H7:H8" si="1">+I7-G7</f>
        <v>1191.8983000000007</v>
      </c>
      <c r="I7" s="150">
        <f t="shared" ref="I7:I8" si="2">+E7</f>
        <v>1212.8983000000007</v>
      </c>
      <c r="J7" s="150"/>
      <c r="K7" s="150"/>
      <c r="L7" s="150"/>
      <c r="M7" s="150">
        <f>+Diferencias!M16/1000</f>
        <v>20.097000000000001</v>
      </c>
      <c r="N7" s="150"/>
      <c r="O7" s="165">
        <f t="shared" ref="O7:O14" si="3">SUM(K7:N7)</f>
        <v>20.097000000000001</v>
      </c>
    </row>
    <row r="8" spans="2:17" x14ac:dyDescent="0.25">
      <c r="B8" s="15" t="s">
        <v>84</v>
      </c>
      <c r="C8" s="18">
        <f>+C6+C7</f>
        <v>207551.46656000003</v>
      </c>
      <c r="D8" s="18">
        <f>+D6+D7</f>
        <v>207851.18566000002</v>
      </c>
      <c r="E8" s="19">
        <f t="shared" si="0"/>
        <v>299.71909999998752</v>
      </c>
      <c r="G8" s="153">
        <f>+G6+G7</f>
        <v>-209</v>
      </c>
      <c r="H8" s="18">
        <f t="shared" si="1"/>
        <v>508.71909999998752</v>
      </c>
      <c r="I8" s="18">
        <f t="shared" si="2"/>
        <v>299.71909999998752</v>
      </c>
      <c r="J8" s="150"/>
      <c r="K8" s="18"/>
      <c r="L8" s="18"/>
      <c r="M8" s="18">
        <f>+M6+M7</f>
        <v>-208.27230999999998</v>
      </c>
      <c r="N8" s="18"/>
      <c r="O8" s="166">
        <f t="shared" si="3"/>
        <v>-208.27230999999998</v>
      </c>
    </row>
    <row r="9" spans="2:17" x14ac:dyDescent="0.25">
      <c r="B9" s="13"/>
      <c r="C9" s="10"/>
      <c r="D9" s="10"/>
      <c r="E9" s="17"/>
      <c r="G9" s="154"/>
      <c r="H9" s="10"/>
      <c r="I9" s="10"/>
      <c r="J9" s="10"/>
      <c r="K9" s="10"/>
      <c r="L9" s="10"/>
      <c r="M9" s="10"/>
      <c r="N9" s="10"/>
      <c r="O9" s="154"/>
    </row>
    <row r="10" spans="2:17" x14ac:dyDescent="0.25">
      <c r="B10" s="13" t="s">
        <v>124</v>
      </c>
      <c r="C10" s="17">
        <f>+Balance!B41/1000</f>
        <v>73067.160480000006</v>
      </c>
      <c r="D10" s="17">
        <f>+Balance!C41/1000</f>
        <v>70248.710030000002</v>
      </c>
      <c r="E10" s="17">
        <f t="shared" si="0"/>
        <v>-2818.4504500000039</v>
      </c>
      <c r="G10" s="23">
        <f>72277-74610</f>
        <v>-2333</v>
      </c>
      <c r="H10" s="17">
        <f t="shared" ref="H10:H14" si="4">+I10-G10</f>
        <v>-485.45045000000391</v>
      </c>
      <c r="I10" s="150">
        <f>+E10</f>
        <v>-2818.4504500000039</v>
      </c>
      <c r="J10" s="150"/>
      <c r="K10" s="150">
        <f>SUM(Diferencias!K24:K32)/1000</f>
        <v>-101.15916</v>
      </c>
      <c r="L10" s="150">
        <f>SUM(Diferencias!C24:C32)/1000</f>
        <v>-307.23401000000001</v>
      </c>
      <c r="M10" s="150">
        <f>SUM(Diferencias!M24:M32)/1000</f>
        <v>-1266.434</v>
      </c>
      <c r="N10" s="150">
        <f>SUM(Diferencias!L24:L32)/1000</f>
        <v>-658.89054999999996</v>
      </c>
      <c r="O10" s="165">
        <f t="shared" si="3"/>
        <v>-2333.7177200000001</v>
      </c>
      <c r="P10" s="151"/>
      <c r="Q10" s="152"/>
    </row>
    <row r="11" spans="2:17" x14ac:dyDescent="0.25">
      <c r="B11" s="13" t="s">
        <v>125</v>
      </c>
      <c r="C11" s="17">
        <f>+Balance!B53/1000</f>
        <v>54457.631540000002</v>
      </c>
      <c r="D11" s="17">
        <f>+Balance!C53/1000</f>
        <v>54624.325429999997</v>
      </c>
      <c r="E11" s="17">
        <f t="shared" si="0"/>
        <v>166.69388999999501</v>
      </c>
      <c r="G11" s="23">
        <f>69392-67440</f>
        <v>1952</v>
      </c>
      <c r="H11" s="17">
        <f t="shared" si="4"/>
        <v>-1785.306110000005</v>
      </c>
      <c r="I11" s="150">
        <f t="shared" ref="I11:I14" si="5">+E11</f>
        <v>166.69388999999501</v>
      </c>
      <c r="J11" s="150"/>
      <c r="K11" s="150">
        <f>+Diferencias!K36/1000</f>
        <v>99.364419999999924</v>
      </c>
      <c r="L11" s="150"/>
      <c r="M11" s="150">
        <f>SUM(Diferencias!M36)/1000</f>
        <v>1193.126</v>
      </c>
      <c r="N11" s="150">
        <f>+Diferencias!L36/1000</f>
        <v>658.89</v>
      </c>
      <c r="O11" s="165">
        <f t="shared" si="3"/>
        <v>1951.38042</v>
      </c>
      <c r="P11" s="151"/>
      <c r="Q11" s="152"/>
    </row>
    <row r="12" spans="2:17" x14ac:dyDescent="0.25">
      <c r="B12" s="12" t="s">
        <v>126</v>
      </c>
      <c r="C12" s="21">
        <f>+C10+C11</f>
        <v>127524.79202000001</v>
      </c>
      <c r="D12" s="21">
        <f>+D10+D11</f>
        <v>124873.03546</v>
      </c>
      <c r="E12" s="16">
        <f t="shared" si="0"/>
        <v>-2651.7565600000089</v>
      </c>
      <c r="G12" s="163">
        <f>+G10+G11</f>
        <v>-381</v>
      </c>
      <c r="H12" s="16">
        <f t="shared" si="4"/>
        <v>-2270.7565600000089</v>
      </c>
      <c r="I12" s="21">
        <f t="shared" si="5"/>
        <v>-2651.7565600000089</v>
      </c>
      <c r="J12" s="150"/>
      <c r="K12" s="21">
        <f>+K10+K11</f>
        <v>-1.7947400000000755</v>
      </c>
      <c r="L12" s="21">
        <f t="shared" ref="L12:N12" si="6">+L10+L11</f>
        <v>-307.23401000000001</v>
      </c>
      <c r="M12" s="21">
        <f t="shared" si="6"/>
        <v>-73.307999999999993</v>
      </c>
      <c r="N12" s="21">
        <f t="shared" si="6"/>
        <v>-5.4999999997562554E-4</v>
      </c>
      <c r="O12" s="167">
        <f t="shared" si="3"/>
        <v>-382.33730000000003</v>
      </c>
      <c r="P12" s="151"/>
      <c r="Q12" s="152"/>
    </row>
    <row r="13" spans="2:17" x14ac:dyDescent="0.25">
      <c r="B13" s="14" t="s">
        <v>127</v>
      </c>
      <c r="C13" s="22">
        <f>+Balance!B56/1000</f>
        <v>80026.673699999985</v>
      </c>
      <c r="D13" s="22">
        <f>+Balance!C56/1000</f>
        <v>82978.150049999997</v>
      </c>
      <c r="E13" s="22">
        <f t="shared" si="0"/>
        <v>2951.4763500000117</v>
      </c>
      <c r="G13" s="155">
        <f>115457-115285</f>
        <v>172</v>
      </c>
      <c r="H13" s="22">
        <f t="shared" si="4"/>
        <v>2779.4763500000117</v>
      </c>
      <c r="I13" s="20">
        <f t="shared" si="5"/>
        <v>2951.4763500000117</v>
      </c>
      <c r="J13" s="150"/>
      <c r="K13" s="20"/>
      <c r="L13" s="20">
        <f>+Diferencias!C52/1000</f>
        <v>307.23466999999806</v>
      </c>
      <c r="M13" s="20">
        <f>+Diferencias!M52/1000</f>
        <v>-134.964</v>
      </c>
      <c r="N13" s="20">
        <f>SUM(Diferencias!L52)</f>
        <v>-0.12999999988824129</v>
      </c>
      <c r="O13" s="168">
        <f t="shared" si="3"/>
        <v>172.14067000010982</v>
      </c>
      <c r="P13" s="151"/>
      <c r="Q13" s="152"/>
    </row>
    <row r="14" spans="2:17" x14ac:dyDescent="0.25">
      <c r="B14" s="14" t="s">
        <v>129</v>
      </c>
      <c r="C14" s="20">
        <f>+C12+C13</f>
        <v>207551.46571999998</v>
      </c>
      <c r="D14" s="20">
        <f>+D12+D13</f>
        <v>207851.18550999998</v>
      </c>
      <c r="E14" s="22">
        <f t="shared" si="0"/>
        <v>299.71979000000283</v>
      </c>
      <c r="G14" s="155">
        <f>+G12+G13</f>
        <v>-209</v>
      </c>
      <c r="H14" s="22">
        <f t="shared" si="4"/>
        <v>508.71979000000283</v>
      </c>
      <c r="I14" s="20">
        <f t="shared" si="5"/>
        <v>299.71979000000283</v>
      </c>
      <c r="J14" s="150"/>
      <c r="K14" s="20">
        <f>+K12+K13</f>
        <v>-1.7947400000000755</v>
      </c>
      <c r="L14" s="20">
        <f t="shared" ref="L14:N14" si="7">+L12+L13</f>
        <v>6.5999999804944309E-4</v>
      </c>
      <c r="M14" s="20">
        <f t="shared" si="7"/>
        <v>-208.27199999999999</v>
      </c>
      <c r="N14" s="20">
        <f t="shared" si="7"/>
        <v>-0.13054999988821692</v>
      </c>
      <c r="O14" s="168">
        <f t="shared" si="3"/>
        <v>-210.19662999989023</v>
      </c>
      <c r="P14" s="151"/>
      <c r="Q14" s="152"/>
    </row>
    <row r="15" spans="2:17" x14ac:dyDescent="0.25">
      <c r="J15" s="9"/>
    </row>
  </sheetData>
  <mergeCells count="2">
    <mergeCell ref="G4:I4"/>
    <mergeCell ref="K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657-2174-47BD-B58E-A54E33E63719}">
  <dimension ref="A1:U78"/>
  <sheetViews>
    <sheetView workbookViewId="0">
      <pane xSplit="1" ySplit="4" topLeftCell="J12" activePane="bottomRight" state="frozen"/>
      <selection pane="topRight" activeCell="B1" sqref="B1"/>
      <selection pane="bottomLeft" activeCell="A5" sqref="A5"/>
      <selection pane="bottomRight" activeCell="P18" sqref="P18"/>
    </sheetView>
  </sheetViews>
  <sheetFormatPr defaultColWidth="11.42578125" defaultRowHeight="9.75" x14ac:dyDescent="0.15"/>
  <cols>
    <col min="1" max="1" width="47.7109375" style="26" bestFit="1" customWidth="1"/>
    <col min="2" max="2" width="20.85546875" style="26" bestFit="1" customWidth="1"/>
    <col min="3" max="3" width="17.140625" style="26" customWidth="1"/>
    <col min="4" max="4" width="19.140625" style="26" customWidth="1"/>
    <col min="5" max="5" width="14.28515625" style="26" bestFit="1" customWidth="1"/>
    <col min="6" max="6" width="14.85546875" style="26" bestFit="1" customWidth="1"/>
    <col min="7" max="7" width="13.7109375" style="26" customWidth="1"/>
    <col min="8" max="8" width="16.28515625" style="26" customWidth="1"/>
    <col min="9" max="9" width="15" style="26" bestFit="1" customWidth="1"/>
    <col min="10" max="10" width="15.85546875" style="26" customWidth="1"/>
    <col min="11" max="11" width="15" style="26" bestFit="1" customWidth="1"/>
    <col min="12" max="12" width="14.85546875" style="26" bestFit="1" customWidth="1"/>
    <col min="13" max="13" width="15.85546875" style="26" customWidth="1"/>
    <col min="14" max="14" width="18" style="26" customWidth="1"/>
    <col min="15" max="16" width="16.42578125" style="26" bestFit="1" customWidth="1"/>
    <col min="17" max="17" width="17.42578125" style="26" customWidth="1"/>
    <col min="18" max="18" width="24.140625" style="26" bestFit="1" customWidth="1"/>
    <col min="19" max="19" width="14.42578125" style="26" customWidth="1"/>
    <col min="20" max="20" width="12" style="26" bestFit="1" customWidth="1"/>
    <col min="21" max="21" width="14" style="26" customWidth="1"/>
    <col min="22" max="22" width="13.28515625" style="26" customWidth="1"/>
    <col min="23" max="16384" width="11.42578125" style="26"/>
  </cols>
  <sheetData>
    <row r="1" spans="1:18" x14ac:dyDescent="0.15">
      <c r="A1" s="25" t="s">
        <v>135</v>
      </c>
      <c r="C1" s="27"/>
    </row>
    <row r="2" spans="1:18" x14ac:dyDescent="0.15">
      <c r="A2" s="28" t="s">
        <v>136</v>
      </c>
      <c r="C2" s="29"/>
    </row>
    <row r="3" spans="1:18" x14ac:dyDescent="0.15">
      <c r="A3" s="30"/>
      <c r="E3" s="27"/>
      <c r="O3" s="175" t="s">
        <v>137</v>
      </c>
      <c r="P3" s="176"/>
    </row>
    <row r="4" spans="1:18" ht="29.25" x14ac:dyDescent="0.15">
      <c r="A4" s="31" t="s">
        <v>73</v>
      </c>
      <c r="B4" s="32" t="s">
        <v>138</v>
      </c>
      <c r="C4" s="32" t="s">
        <v>139</v>
      </c>
      <c r="D4" s="32" t="s">
        <v>140</v>
      </c>
      <c r="E4" s="32" t="s">
        <v>141</v>
      </c>
      <c r="F4" s="32" t="s">
        <v>142</v>
      </c>
      <c r="G4" s="32" t="s">
        <v>143</v>
      </c>
      <c r="H4" s="32" t="s">
        <v>144</v>
      </c>
      <c r="I4" s="32" t="s">
        <v>145</v>
      </c>
      <c r="J4" s="32" t="s">
        <v>146</v>
      </c>
      <c r="K4" s="32" t="s">
        <v>147</v>
      </c>
      <c r="L4" s="32" t="s">
        <v>148</v>
      </c>
      <c r="M4" s="32" t="s">
        <v>149</v>
      </c>
      <c r="N4" s="32" t="s">
        <v>110</v>
      </c>
      <c r="O4" s="32" t="s">
        <v>150</v>
      </c>
      <c r="P4" s="32" t="s">
        <v>151</v>
      </c>
      <c r="Q4" s="32" t="s">
        <v>152</v>
      </c>
    </row>
    <row r="5" spans="1:18" s="29" customFormat="1" x14ac:dyDescent="0.15">
      <c r="A5" s="33" t="s">
        <v>74</v>
      </c>
      <c r="B5" s="34">
        <v>579546.81000000006</v>
      </c>
      <c r="C5" s="34">
        <v>6893.23</v>
      </c>
      <c r="D5" s="34">
        <v>1428.21</v>
      </c>
      <c r="E5" s="34">
        <v>2689.4</v>
      </c>
      <c r="F5" s="34">
        <v>3845.25</v>
      </c>
      <c r="G5" s="35">
        <v>0</v>
      </c>
      <c r="H5" s="34">
        <v>0</v>
      </c>
      <c r="I5" s="34">
        <v>10000</v>
      </c>
      <c r="J5" s="34">
        <v>0</v>
      </c>
      <c r="K5" s="34">
        <v>4025</v>
      </c>
      <c r="L5" s="34">
        <v>7531.2000000000016</v>
      </c>
      <c r="M5" s="34">
        <v>22287</v>
      </c>
      <c r="N5" s="35">
        <f>SUM(B5:M5)</f>
        <v>638246.1</v>
      </c>
      <c r="O5" s="36"/>
      <c r="P5" s="36"/>
      <c r="Q5" s="36">
        <f t="shared" ref="Q5:Q22" si="0">N5+O5-P5</f>
        <v>638246.1</v>
      </c>
    </row>
    <row r="6" spans="1:18" s="29" customFormat="1" x14ac:dyDescent="0.15">
      <c r="A6" s="33" t="s">
        <v>16</v>
      </c>
      <c r="B6" s="34">
        <v>2393444.3199999998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5">
        <v>0</v>
      </c>
      <c r="L6" s="35">
        <v>0</v>
      </c>
      <c r="M6" s="35">
        <v>0</v>
      </c>
      <c r="N6" s="35">
        <f t="shared" ref="N6:N50" si="1">SUM(B6:M6)</f>
        <v>2393444.3199999998</v>
      </c>
      <c r="O6" s="36"/>
      <c r="P6" s="36"/>
      <c r="Q6" s="36">
        <f t="shared" si="0"/>
        <v>2393444.3199999998</v>
      </c>
    </row>
    <row r="7" spans="1:18" s="29" customFormat="1" x14ac:dyDescent="0.15">
      <c r="A7" s="33" t="s">
        <v>75</v>
      </c>
      <c r="B7" s="34">
        <v>72811</v>
      </c>
      <c r="C7" s="35">
        <v>0</v>
      </c>
      <c r="D7" s="35">
        <v>0</v>
      </c>
      <c r="E7" s="35">
        <v>0</v>
      </c>
      <c r="F7" s="35">
        <v>0</v>
      </c>
      <c r="G7" s="34">
        <v>0</v>
      </c>
      <c r="H7" s="34">
        <v>0</v>
      </c>
      <c r="I7" s="34">
        <v>0</v>
      </c>
      <c r="J7" s="34">
        <v>0</v>
      </c>
      <c r="K7" s="35">
        <v>0</v>
      </c>
      <c r="L7" s="35">
        <v>0</v>
      </c>
      <c r="M7" s="35">
        <v>0</v>
      </c>
      <c r="N7" s="35">
        <f t="shared" si="1"/>
        <v>72811</v>
      </c>
      <c r="O7" s="36"/>
      <c r="P7" s="36"/>
      <c r="Q7" s="36">
        <f t="shared" si="0"/>
        <v>72811</v>
      </c>
    </row>
    <row r="8" spans="1:18" s="29" customFormat="1" x14ac:dyDescent="0.15">
      <c r="A8" s="33" t="s">
        <v>76</v>
      </c>
      <c r="B8" s="34">
        <v>7451465</v>
      </c>
      <c r="C8" s="34">
        <v>1038743.58</v>
      </c>
      <c r="D8" s="34">
        <v>206183.31</v>
      </c>
      <c r="E8" s="35">
        <v>0</v>
      </c>
      <c r="F8" s="34">
        <f>19327.4-435.11</f>
        <v>18892.29</v>
      </c>
      <c r="G8" s="34">
        <v>0</v>
      </c>
      <c r="H8" s="34">
        <v>0</v>
      </c>
      <c r="I8" s="34">
        <v>0</v>
      </c>
      <c r="J8" s="34">
        <v>0</v>
      </c>
      <c r="K8" s="34">
        <v>139585.85999999999</v>
      </c>
      <c r="L8" s="34">
        <f>135004.74-46413.87</f>
        <v>88590.87</v>
      </c>
      <c r="M8" s="37">
        <v>509744.93</v>
      </c>
      <c r="N8" s="35">
        <f t="shared" si="1"/>
        <v>9453205.839999998</v>
      </c>
      <c r="O8" s="36"/>
      <c r="P8" s="36">
        <f>72+27806+93796</f>
        <v>121674</v>
      </c>
      <c r="Q8" s="36">
        <f t="shared" si="0"/>
        <v>9331531.839999998</v>
      </c>
    </row>
    <row r="9" spans="1:18" s="29" customFormat="1" x14ac:dyDescent="0.15">
      <c r="A9" s="33" t="s">
        <v>77</v>
      </c>
      <c r="B9" s="34">
        <v>43714969</v>
      </c>
      <c r="C9" s="35">
        <v>3965966.51</v>
      </c>
      <c r="D9" s="34">
        <f>748255.29</f>
        <v>748255.29</v>
      </c>
      <c r="E9" s="34">
        <v>0</v>
      </c>
      <c r="F9" s="35">
        <v>0</v>
      </c>
      <c r="G9" s="34">
        <v>0</v>
      </c>
      <c r="H9" s="34">
        <v>0</v>
      </c>
      <c r="I9" s="34">
        <v>0</v>
      </c>
      <c r="J9" s="34">
        <v>0</v>
      </c>
      <c r="K9" s="35">
        <v>0</v>
      </c>
      <c r="L9" s="35">
        <v>0</v>
      </c>
      <c r="M9" s="35">
        <v>0</v>
      </c>
      <c r="N9" s="35">
        <f t="shared" si="1"/>
        <v>48429190.799999997</v>
      </c>
      <c r="O9" s="36"/>
      <c r="P9" s="36">
        <f>411576+87009+2334907+950362+4156571+2311504+3965967+4733</f>
        <v>14222629</v>
      </c>
      <c r="Q9" s="36">
        <f t="shared" si="0"/>
        <v>34206561.799999997</v>
      </c>
    </row>
    <row r="10" spans="1:18" s="29" customFormat="1" x14ac:dyDescent="0.15">
      <c r="A10" s="33" t="s">
        <v>20</v>
      </c>
      <c r="B10" s="34">
        <v>4870336</v>
      </c>
      <c r="C10" s="34">
        <v>0</v>
      </c>
      <c r="D10" s="35">
        <v>0</v>
      </c>
      <c r="E10" s="35">
        <v>0</v>
      </c>
      <c r="F10" s="35">
        <v>0</v>
      </c>
      <c r="G10" s="34">
        <v>0</v>
      </c>
      <c r="H10" s="34">
        <v>0</v>
      </c>
      <c r="I10" s="34">
        <v>0</v>
      </c>
      <c r="J10" s="34">
        <v>0</v>
      </c>
      <c r="K10" s="34">
        <v>559.4</v>
      </c>
      <c r="L10" s="34">
        <v>1575.41</v>
      </c>
      <c r="M10" s="37">
        <f>5793.53-4144</f>
        <v>1649.5299999999997</v>
      </c>
      <c r="N10" s="35">
        <f t="shared" si="1"/>
        <v>4874120.3400000008</v>
      </c>
      <c r="O10" s="36"/>
      <c r="P10" s="36"/>
      <c r="Q10" s="36">
        <f t="shared" si="0"/>
        <v>4874120.3400000008</v>
      </c>
    </row>
    <row r="11" spans="1:18" s="29" customFormat="1" x14ac:dyDescent="0.15">
      <c r="A11" s="33" t="s">
        <v>19</v>
      </c>
      <c r="B11" s="34">
        <v>4637.6499999999996</v>
      </c>
      <c r="C11" s="34">
        <v>0</v>
      </c>
      <c r="D11" s="34">
        <v>75998.52</v>
      </c>
      <c r="E11" s="34">
        <v>130280.91</v>
      </c>
      <c r="F11" s="34">
        <f>84834.91+68836.97</f>
        <v>153671.88</v>
      </c>
      <c r="G11" s="34">
        <v>0</v>
      </c>
      <c r="H11" s="34">
        <v>7988.59</v>
      </c>
      <c r="I11" s="34">
        <v>0</v>
      </c>
      <c r="J11" s="34">
        <v>0</v>
      </c>
      <c r="K11" s="34">
        <v>288150.11</v>
      </c>
      <c r="L11" s="34">
        <v>90076</v>
      </c>
      <c r="M11" s="35">
        <v>0</v>
      </c>
      <c r="N11" s="35">
        <f t="shared" si="1"/>
        <v>750803.66</v>
      </c>
      <c r="O11" s="36"/>
      <c r="P11" s="36"/>
      <c r="Q11" s="36">
        <f t="shared" si="0"/>
        <v>750803.66</v>
      </c>
    </row>
    <row r="12" spans="1:18" s="29" customFormat="1" x14ac:dyDescent="0.15">
      <c r="A12" s="33" t="s">
        <v>21</v>
      </c>
      <c r="B12" s="34">
        <v>501034</v>
      </c>
      <c r="C12" s="35">
        <v>4845.12</v>
      </c>
      <c r="D12" s="35">
        <v>0</v>
      </c>
      <c r="E12" s="35">
        <v>0</v>
      </c>
      <c r="F12" s="35">
        <v>0</v>
      </c>
      <c r="G12" s="34">
        <v>0</v>
      </c>
      <c r="H12" s="34">
        <v>0</v>
      </c>
      <c r="I12" s="34">
        <v>0</v>
      </c>
      <c r="J12" s="34">
        <v>0</v>
      </c>
      <c r="K12" s="34">
        <v>13778.19</v>
      </c>
      <c r="L12" s="35">
        <v>0</v>
      </c>
      <c r="M12" s="35">
        <v>0</v>
      </c>
      <c r="N12" s="35">
        <f t="shared" si="1"/>
        <v>519657.31</v>
      </c>
      <c r="O12" s="36"/>
      <c r="P12" s="36"/>
      <c r="Q12" s="36">
        <f t="shared" si="0"/>
        <v>519657.31</v>
      </c>
    </row>
    <row r="13" spans="1:18" s="29" customFormat="1" x14ac:dyDescent="0.15">
      <c r="A13" s="33" t="s">
        <v>22</v>
      </c>
      <c r="B13" s="34">
        <v>23914705.34</v>
      </c>
      <c r="C13" s="34">
        <v>0</v>
      </c>
      <c r="D13" s="35">
        <v>0</v>
      </c>
      <c r="E13" s="35">
        <v>0</v>
      </c>
      <c r="F13" s="35">
        <v>0</v>
      </c>
      <c r="G13" s="34">
        <v>0</v>
      </c>
      <c r="H13" s="34">
        <v>0</v>
      </c>
      <c r="I13" s="34">
        <v>0</v>
      </c>
      <c r="J13" s="34">
        <v>0</v>
      </c>
      <c r="K13" s="34">
        <v>496091</v>
      </c>
      <c r="L13" s="35">
        <v>0</v>
      </c>
      <c r="M13" s="37">
        <v>-203394.77</v>
      </c>
      <c r="N13" s="35">
        <f t="shared" si="1"/>
        <v>24207401.57</v>
      </c>
      <c r="O13" s="36"/>
      <c r="P13" s="36"/>
      <c r="Q13" s="36">
        <f t="shared" si="0"/>
        <v>24207401.57</v>
      </c>
      <c r="R13" s="29">
        <f>SUM(Q5:Q13)</f>
        <v>76994577.939999998</v>
      </c>
    </row>
    <row r="14" spans="1:18" s="29" customFormat="1" x14ac:dyDescent="0.15">
      <c r="A14" s="33" t="s">
        <v>78</v>
      </c>
      <c r="B14" s="34">
        <v>2077739</v>
      </c>
      <c r="C14" s="34">
        <v>0</v>
      </c>
      <c r="D14" s="35">
        <v>0</v>
      </c>
      <c r="E14" s="35">
        <v>0</v>
      </c>
      <c r="F14" s="35">
        <v>0</v>
      </c>
      <c r="G14" s="34">
        <v>0</v>
      </c>
      <c r="H14" s="34">
        <v>0</v>
      </c>
      <c r="I14" s="34">
        <v>0</v>
      </c>
      <c r="J14" s="34">
        <v>0</v>
      </c>
      <c r="K14" s="35">
        <v>0</v>
      </c>
      <c r="L14" s="35">
        <v>0</v>
      </c>
      <c r="M14" s="35">
        <v>0</v>
      </c>
      <c r="N14" s="35">
        <f t="shared" si="1"/>
        <v>2077739</v>
      </c>
      <c r="O14" s="36"/>
      <c r="P14" s="36"/>
      <c r="Q14" s="36">
        <f t="shared" si="0"/>
        <v>2077739</v>
      </c>
    </row>
    <row r="15" spans="1:18" s="29" customFormat="1" x14ac:dyDescent="0.15">
      <c r="A15" s="33" t="s">
        <v>79</v>
      </c>
      <c r="B15" s="34">
        <v>2522918</v>
      </c>
      <c r="C15" s="34">
        <v>0</v>
      </c>
      <c r="D15" s="35">
        <v>0</v>
      </c>
      <c r="E15" s="35">
        <v>0</v>
      </c>
      <c r="F15" s="35">
        <v>0</v>
      </c>
      <c r="G15" s="34">
        <v>0</v>
      </c>
      <c r="H15" s="34">
        <v>0</v>
      </c>
      <c r="I15" s="34">
        <v>0</v>
      </c>
      <c r="J15" s="34">
        <v>0</v>
      </c>
      <c r="K15" s="35">
        <v>0</v>
      </c>
      <c r="L15" s="34">
        <v>1569.48</v>
      </c>
      <c r="M15" s="35">
        <v>0</v>
      </c>
      <c r="N15" s="35">
        <f t="shared" si="1"/>
        <v>2524487.48</v>
      </c>
      <c r="O15" s="36"/>
      <c r="P15" s="36"/>
      <c r="Q15" s="36">
        <f t="shared" si="0"/>
        <v>2524487.48</v>
      </c>
    </row>
    <row r="16" spans="1:18" s="29" customFormat="1" x14ac:dyDescent="0.15">
      <c r="A16" s="33" t="s">
        <v>80</v>
      </c>
      <c r="B16" s="34">
        <v>58219865</v>
      </c>
      <c r="C16" s="34">
        <v>38399112.32</v>
      </c>
      <c r="D16" s="34">
        <v>3405286.26</v>
      </c>
      <c r="E16" s="35">
        <v>0</v>
      </c>
      <c r="F16" s="34">
        <v>218630.81</v>
      </c>
      <c r="G16" s="34">
        <v>360239.48</v>
      </c>
      <c r="H16" s="34">
        <v>0</v>
      </c>
      <c r="I16" s="34">
        <v>0</v>
      </c>
      <c r="J16" s="34">
        <v>1140</v>
      </c>
      <c r="K16" s="34">
        <v>1161179.55</v>
      </c>
      <c r="L16" s="34">
        <v>314972.68000000023</v>
      </c>
      <c r="M16" s="34">
        <v>412745</v>
      </c>
      <c r="N16" s="35">
        <f t="shared" si="1"/>
        <v>102493171.10000001</v>
      </c>
      <c r="O16" s="36">
        <v>1113036</v>
      </c>
      <c r="P16" s="36"/>
      <c r="Q16" s="36">
        <f t="shared" si="0"/>
        <v>103606207.10000001</v>
      </c>
    </row>
    <row r="17" spans="1:18" s="29" customFormat="1" x14ac:dyDescent="0.15">
      <c r="A17" s="33" t="s">
        <v>81</v>
      </c>
      <c r="B17" s="34">
        <v>624011</v>
      </c>
      <c r="C17" s="34">
        <v>0</v>
      </c>
      <c r="D17" s="35">
        <v>0</v>
      </c>
      <c r="E17" s="35">
        <v>0</v>
      </c>
      <c r="F17" s="35">
        <v>0</v>
      </c>
      <c r="G17" s="34">
        <v>0</v>
      </c>
      <c r="H17" s="34">
        <v>0</v>
      </c>
      <c r="I17" s="34">
        <v>0</v>
      </c>
      <c r="J17" s="35">
        <v>0</v>
      </c>
      <c r="K17" s="35">
        <v>0</v>
      </c>
      <c r="L17" s="35">
        <v>0</v>
      </c>
      <c r="M17" s="35">
        <v>0</v>
      </c>
      <c r="N17" s="35">
        <f t="shared" si="1"/>
        <v>624011</v>
      </c>
      <c r="O17" s="36"/>
      <c r="P17" s="36"/>
      <c r="Q17" s="36">
        <f t="shared" si="0"/>
        <v>624011</v>
      </c>
    </row>
    <row r="18" spans="1:18" s="29" customFormat="1" x14ac:dyDescent="0.15">
      <c r="A18" s="33" t="s">
        <v>82</v>
      </c>
      <c r="B18" s="34">
        <v>14218560.43</v>
      </c>
      <c r="C18" s="34">
        <v>0</v>
      </c>
      <c r="D18" s="35">
        <v>0</v>
      </c>
      <c r="E18" s="35">
        <v>0</v>
      </c>
      <c r="F18" s="35">
        <v>0</v>
      </c>
      <c r="G18" s="34">
        <v>0</v>
      </c>
      <c r="H18" s="34">
        <v>0</v>
      </c>
      <c r="I18" s="34">
        <v>0</v>
      </c>
      <c r="J18" s="35">
        <v>0</v>
      </c>
      <c r="K18" s="35">
        <v>0</v>
      </c>
      <c r="L18" s="34">
        <v>78647.520000000019</v>
      </c>
      <c r="M18" s="35">
        <v>0</v>
      </c>
      <c r="N18" s="35">
        <f t="shared" si="1"/>
        <v>14297207.949999999</v>
      </c>
      <c r="O18" s="36">
        <v>394335</v>
      </c>
      <c r="P18" s="36">
        <v>738602</v>
      </c>
      <c r="Q18" s="36">
        <f t="shared" si="0"/>
        <v>13952940.949999999</v>
      </c>
    </row>
    <row r="19" spans="1:18" s="29" customFormat="1" x14ac:dyDescent="0.15">
      <c r="A19" s="33" t="s">
        <v>28</v>
      </c>
      <c r="B19" s="34">
        <v>1422229</v>
      </c>
      <c r="C19" s="34">
        <v>0</v>
      </c>
      <c r="D19" s="35">
        <v>0</v>
      </c>
      <c r="E19" s="35">
        <v>0</v>
      </c>
      <c r="F19" s="35">
        <v>0</v>
      </c>
      <c r="G19" s="34">
        <v>0</v>
      </c>
      <c r="H19" s="34">
        <v>0</v>
      </c>
      <c r="I19" s="34">
        <v>0</v>
      </c>
      <c r="J19" s="35">
        <v>0</v>
      </c>
      <c r="K19" s="35">
        <v>0</v>
      </c>
      <c r="L19" s="35">
        <v>0</v>
      </c>
      <c r="M19" s="35">
        <v>0</v>
      </c>
      <c r="N19" s="35">
        <f t="shared" si="1"/>
        <v>1422229</v>
      </c>
      <c r="O19" s="36"/>
      <c r="P19" s="36"/>
      <c r="Q19" s="36">
        <f t="shared" si="0"/>
        <v>1422229</v>
      </c>
    </row>
    <row r="20" spans="1:18" s="29" customFormat="1" x14ac:dyDescent="0.15">
      <c r="A20" s="33" t="s">
        <v>29</v>
      </c>
      <c r="B20" s="34">
        <v>39016871</v>
      </c>
      <c r="C20" s="35">
        <v>100</v>
      </c>
      <c r="D20" s="35">
        <v>0</v>
      </c>
      <c r="E20" s="35">
        <v>0</v>
      </c>
      <c r="F20" s="35">
        <v>0</v>
      </c>
      <c r="G20" s="34">
        <v>0</v>
      </c>
      <c r="H20" s="34">
        <v>0</v>
      </c>
      <c r="I20" s="34">
        <v>0</v>
      </c>
      <c r="J20" s="35">
        <v>0</v>
      </c>
      <c r="K20" s="35">
        <v>0</v>
      </c>
      <c r="L20" s="35">
        <v>0</v>
      </c>
      <c r="M20" s="35">
        <v>0</v>
      </c>
      <c r="N20" s="35">
        <f t="shared" si="1"/>
        <v>39016971</v>
      </c>
      <c r="O20" s="36">
        <f>943459+147840+140052+366832</f>
        <v>1598183</v>
      </c>
      <c r="P20" s="36">
        <f>1982263+1114176+943459+27858699+462500+147840+140052+6000+1834158+1173781+1193126+441072</f>
        <v>37297126</v>
      </c>
      <c r="Q20" s="36">
        <f t="shared" si="0"/>
        <v>3318028</v>
      </c>
    </row>
    <row r="21" spans="1:18" s="29" customFormat="1" x14ac:dyDescent="0.15">
      <c r="A21" s="33" t="s">
        <v>83</v>
      </c>
      <c r="B21" s="34">
        <v>261500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f t="shared" si="1"/>
        <v>261500</v>
      </c>
      <c r="O21" s="36"/>
      <c r="P21" s="36"/>
      <c r="Q21" s="36">
        <f t="shared" si="0"/>
        <v>261500</v>
      </c>
    </row>
    <row r="22" spans="1:18" s="29" customFormat="1" x14ac:dyDescent="0.15">
      <c r="A22" s="33" t="s">
        <v>30</v>
      </c>
      <c r="B22" s="34">
        <v>105894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4">
        <v>2963500</v>
      </c>
      <c r="L22" s="35">
        <v>0</v>
      </c>
      <c r="M22" s="37">
        <v>71.19</v>
      </c>
      <c r="N22" s="35">
        <f t="shared" si="1"/>
        <v>3069465.19</v>
      </c>
      <c r="O22" s="36"/>
      <c r="P22" s="36"/>
      <c r="Q22" s="36">
        <f t="shared" si="0"/>
        <v>3069465.19</v>
      </c>
    </row>
    <row r="23" spans="1:18" s="29" customFormat="1" x14ac:dyDescent="0.15">
      <c r="A23" s="38" t="s">
        <v>84</v>
      </c>
      <c r="B23" s="39">
        <f t="shared" ref="B23:M23" si="2">SUM(B5:B22)</f>
        <v>201972536.55000001</v>
      </c>
      <c r="C23" s="40">
        <f t="shared" si="2"/>
        <v>43415660.759999998</v>
      </c>
      <c r="D23" s="40">
        <f t="shared" si="2"/>
        <v>4437151.59</v>
      </c>
      <c r="E23" s="40">
        <f t="shared" si="2"/>
        <v>132970.31</v>
      </c>
      <c r="F23" s="40">
        <f t="shared" si="2"/>
        <v>395040.23</v>
      </c>
      <c r="G23" s="40">
        <f t="shared" si="2"/>
        <v>360239.48</v>
      </c>
      <c r="H23" s="40">
        <f t="shared" si="2"/>
        <v>7988.59</v>
      </c>
      <c r="I23" s="40">
        <f t="shared" si="2"/>
        <v>10000</v>
      </c>
      <c r="J23" s="40">
        <f t="shared" si="2"/>
        <v>1140</v>
      </c>
      <c r="K23" s="40">
        <f t="shared" ref="K23" si="3">SUM(K5:K22)</f>
        <v>5066869.1100000003</v>
      </c>
      <c r="L23" s="40">
        <f t="shared" si="2"/>
        <v>582963.16000000027</v>
      </c>
      <c r="M23" s="40">
        <f t="shared" si="2"/>
        <v>743102.87999999989</v>
      </c>
      <c r="N23" s="40">
        <f t="shared" si="1"/>
        <v>257125662.66</v>
      </c>
      <c r="O23" s="41">
        <f>+SUM(O5:O22)</f>
        <v>3105554</v>
      </c>
      <c r="P23" s="41">
        <f>+SUM(P5:P22)</f>
        <v>52380031</v>
      </c>
      <c r="Q23" s="41">
        <f>SUM(Q5:Q22)</f>
        <v>207851185.66</v>
      </c>
    </row>
    <row r="24" spans="1:18" s="29" customFormat="1" x14ac:dyDescent="0.15">
      <c r="A24" s="33" t="s">
        <v>85</v>
      </c>
      <c r="B24" s="34">
        <v>3792926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4">
        <v>1085</v>
      </c>
      <c r="L24" s="35">
        <v>0</v>
      </c>
      <c r="M24" s="35">
        <v>0</v>
      </c>
      <c r="N24" s="35">
        <f t="shared" si="1"/>
        <v>3794011</v>
      </c>
      <c r="O24" s="36"/>
      <c r="P24" s="36"/>
      <c r="Q24" s="36">
        <f t="shared" ref="Q24:Q40" si="4">N24-O24+P24</f>
        <v>3794011</v>
      </c>
    </row>
    <row r="25" spans="1:18" s="29" customFormat="1" x14ac:dyDescent="0.15">
      <c r="A25" s="33" t="s">
        <v>35</v>
      </c>
      <c r="B25" s="34">
        <v>11469368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f t="shared" si="1"/>
        <v>11469368</v>
      </c>
      <c r="O25" s="36"/>
      <c r="P25" s="36"/>
      <c r="Q25" s="36">
        <f t="shared" si="4"/>
        <v>11469368</v>
      </c>
    </row>
    <row r="26" spans="1:18" s="29" customFormat="1" x14ac:dyDescent="0.15">
      <c r="A26" s="33" t="s">
        <v>86</v>
      </c>
      <c r="B26" s="34">
        <v>8587943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f t="shared" si="1"/>
        <v>8587943</v>
      </c>
      <c r="O26" s="36"/>
      <c r="P26" s="36"/>
      <c r="Q26" s="36">
        <f t="shared" si="4"/>
        <v>8587943</v>
      </c>
    </row>
    <row r="27" spans="1:18" s="29" customFormat="1" x14ac:dyDescent="0.15">
      <c r="A27" s="33" t="s">
        <v>87</v>
      </c>
      <c r="B27" s="34">
        <v>15777543</v>
      </c>
      <c r="C27" s="34">
        <v>809052</v>
      </c>
      <c r="D27" s="34">
        <v>38824.06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4">
        <v>45390</v>
      </c>
      <c r="L27" s="34">
        <f>11534.17+2500</f>
        <v>14034.17</v>
      </c>
      <c r="M27" s="34">
        <v>65153</v>
      </c>
      <c r="N27" s="35">
        <f t="shared" si="1"/>
        <v>16749996.23</v>
      </c>
      <c r="O27" s="36"/>
      <c r="P27" s="36"/>
      <c r="Q27" s="36">
        <f t="shared" si="4"/>
        <v>16749996.23</v>
      </c>
    </row>
    <row r="28" spans="1:18" s="29" customFormat="1" x14ac:dyDescent="0.15">
      <c r="A28" s="33" t="s">
        <v>88</v>
      </c>
      <c r="B28" s="34">
        <v>1933474</v>
      </c>
      <c r="C28" s="34">
        <f>2236854.65-1667081</f>
        <v>569773.64999999991</v>
      </c>
      <c r="D28" s="34">
        <v>673934</v>
      </c>
      <c r="E28" s="35">
        <v>0</v>
      </c>
      <c r="F28" s="34">
        <v>950362</v>
      </c>
      <c r="G28" s="35">
        <v>0</v>
      </c>
      <c r="H28" s="35">
        <v>0</v>
      </c>
      <c r="I28" s="35">
        <v>0</v>
      </c>
      <c r="J28" s="35">
        <v>0</v>
      </c>
      <c r="K28" s="34">
        <v>6330.5</v>
      </c>
      <c r="L28" s="34">
        <v>282302</v>
      </c>
      <c r="M28" s="34">
        <v>27651</v>
      </c>
      <c r="N28" s="35">
        <f t="shared" si="1"/>
        <v>4443827.1500000004</v>
      </c>
      <c r="O28" s="36">
        <f>282302+27651+673934+950362+6331+4733+27806</f>
        <v>1973119</v>
      </c>
      <c r="P28" s="36"/>
      <c r="Q28" s="36">
        <f t="shared" si="4"/>
        <v>2470708.1500000004</v>
      </c>
    </row>
    <row r="29" spans="1:18" s="29" customFormat="1" x14ac:dyDescent="0.15">
      <c r="A29" s="33" t="s">
        <v>39</v>
      </c>
      <c r="B29" s="34">
        <v>6713205</v>
      </c>
      <c r="C29" s="35">
        <v>0</v>
      </c>
      <c r="D29" s="34">
        <v>5394.4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4">
        <v>3468.99</v>
      </c>
      <c r="L29" s="34">
        <v>13582.420000000002</v>
      </c>
      <c r="M29" s="34"/>
      <c r="N29" s="35">
        <f t="shared" si="1"/>
        <v>6735650.8100000005</v>
      </c>
      <c r="O29" s="36"/>
      <c r="P29" s="36"/>
      <c r="Q29" s="36">
        <f t="shared" si="4"/>
        <v>6735650.8100000005</v>
      </c>
    </row>
    <row r="30" spans="1:18" s="29" customFormat="1" x14ac:dyDescent="0.15">
      <c r="A30" s="33" t="s">
        <v>40</v>
      </c>
      <c r="B30" s="34">
        <v>2325545</v>
      </c>
      <c r="C30" s="34">
        <v>1667081</v>
      </c>
      <c r="D30" s="34">
        <v>3599</v>
      </c>
      <c r="E30" s="34">
        <v>13780.01</v>
      </c>
      <c r="F30" s="34">
        <v>535194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4">
        <f>35544+858+4981</f>
        <v>41383</v>
      </c>
      <c r="M30" s="34">
        <f>18543-2087</f>
        <v>16456</v>
      </c>
      <c r="N30" s="35">
        <f t="shared" si="1"/>
        <v>4603038.01</v>
      </c>
      <c r="O30" s="36">
        <f>238+21+49358+5699</f>
        <v>55316</v>
      </c>
      <c r="P30" s="36"/>
      <c r="Q30" s="36">
        <f t="shared" si="4"/>
        <v>4547722.01</v>
      </c>
    </row>
    <row r="31" spans="1:18" s="29" customFormat="1" x14ac:dyDescent="0.15">
      <c r="A31" s="33" t="s">
        <v>89</v>
      </c>
      <c r="B31" s="34">
        <v>9631317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4">
        <v>36596.53</v>
      </c>
      <c r="L31" s="35">
        <v>0</v>
      </c>
      <c r="M31" s="35">
        <v>0</v>
      </c>
      <c r="N31" s="35">
        <f t="shared" si="1"/>
        <v>9667913.5299999993</v>
      </c>
      <c r="O31" s="36"/>
      <c r="P31" s="36"/>
      <c r="Q31" s="36">
        <f t="shared" si="4"/>
        <v>9667913.5299999993</v>
      </c>
    </row>
    <row r="32" spans="1:18" s="29" customFormat="1" x14ac:dyDescent="0.15">
      <c r="A32" s="33" t="s">
        <v>90</v>
      </c>
      <c r="B32" s="34">
        <v>6162582</v>
      </c>
      <c r="C32" s="35">
        <v>0</v>
      </c>
      <c r="D32" s="34">
        <v>22081.119999999999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4">
        <v>8067.18</v>
      </c>
      <c r="L32" s="34">
        <f>14395+3031</f>
        <v>17426</v>
      </c>
      <c r="M32" s="34">
        <f>15241</f>
        <v>15241</v>
      </c>
      <c r="N32" s="35">
        <f t="shared" si="1"/>
        <v>6225397.2999999998</v>
      </c>
      <c r="O32" s="36"/>
      <c r="P32" s="36"/>
      <c r="Q32" s="36">
        <f t="shared" si="4"/>
        <v>6225397.2999999998</v>
      </c>
      <c r="R32" s="29">
        <f>SUM(Q24:Q32)</f>
        <v>70248710.030000001</v>
      </c>
    </row>
    <row r="33" spans="1:17" s="29" customFormat="1" x14ac:dyDescent="0.15">
      <c r="A33" s="33" t="s">
        <v>91</v>
      </c>
      <c r="B33" s="34">
        <v>4378387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f t="shared" si="1"/>
        <v>4378387</v>
      </c>
      <c r="O33" s="36"/>
      <c r="P33" s="36"/>
      <c r="Q33" s="36">
        <f t="shared" si="4"/>
        <v>4378387</v>
      </c>
    </row>
    <row r="34" spans="1:17" s="29" customFormat="1" x14ac:dyDescent="0.15">
      <c r="A34" s="33" t="s">
        <v>46</v>
      </c>
      <c r="B34" s="34">
        <v>2447101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f t="shared" si="1"/>
        <v>2447101</v>
      </c>
      <c r="O34" s="36"/>
      <c r="P34" s="36"/>
      <c r="Q34" s="36">
        <f t="shared" si="4"/>
        <v>2447101</v>
      </c>
    </row>
    <row r="35" spans="1:17" s="29" customFormat="1" x14ac:dyDescent="0.15">
      <c r="A35" s="33" t="s">
        <v>92</v>
      </c>
      <c r="B35" s="34">
        <v>2345800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f t="shared" si="1"/>
        <v>2345800</v>
      </c>
      <c r="O35" s="36"/>
      <c r="P35" s="36"/>
      <c r="Q35" s="36">
        <f t="shared" si="4"/>
        <v>2345800</v>
      </c>
    </row>
    <row r="36" spans="1:17" s="29" customFormat="1" x14ac:dyDescent="0.15">
      <c r="A36" s="33" t="s">
        <v>93</v>
      </c>
      <c r="B36" s="34">
        <v>10628880</v>
      </c>
      <c r="C36" s="34">
        <v>7512890</v>
      </c>
      <c r="D36" s="34">
        <v>1660952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4">
        <v>4144540</v>
      </c>
      <c r="L36" s="34">
        <v>658890</v>
      </c>
      <c r="M36" s="34">
        <v>1193126</v>
      </c>
      <c r="N36" s="35">
        <f t="shared" si="1"/>
        <v>25799278</v>
      </c>
      <c r="O36" s="36">
        <f>658890+1193126+1660952+4144540+3965967+2278797+865104</f>
        <v>14767376</v>
      </c>
      <c r="P36" s="36"/>
      <c r="Q36" s="36">
        <f t="shared" si="4"/>
        <v>11031902</v>
      </c>
    </row>
    <row r="37" spans="1:17" s="29" customFormat="1" x14ac:dyDescent="0.15">
      <c r="A37" s="33" t="s">
        <v>94</v>
      </c>
      <c r="B37" s="34">
        <v>1086071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f t="shared" si="1"/>
        <v>1086071</v>
      </c>
      <c r="O37" s="36"/>
      <c r="P37" s="36"/>
      <c r="Q37" s="36">
        <f t="shared" si="4"/>
        <v>1086071</v>
      </c>
    </row>
    <row r="38" spans="1:17" s="29" customFormat="1" x14ac:dyDescent="0.15">
      <c r="A38" s="33" t="s">
        <v>95</v>
      </c>
      <c r="B38" s="34">
        <v>5909358.8300000001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4">
        <v>49648.600000000006</v>
      </c>
      <c r="M38" s="35">
        <v>0</v>
      </c>
      <c r="N38" s="35">
        <f t="shared" si="1"/>
        <v>5959007.4299999997</v>
      </c>
      <c r="O38" s="36"/>
      <c r="P38" s="36"/>
      <c r="Q38" s="36">
        <f t="shared" si="4"/>
        <v>5959007.4299999997</v>
      </c>
    </row>
    <row r="39" spans="1:17" s="29" customFormat="1" x14ac:dyDescent="0.15">
      <c r="A39" s="33" t="s">
        <v>89</v>
      </c>
      <c r="B39" s="34">
        <v>24796057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f t="shared" si="1"/>
        <v>24796057</v>
      </c>
      <c r="O39" s="36"/>
      <c r="P39" s="36"/>
      <c r="Q39" s="36">
        <f t="shared" si="4"/>
        <v>24796057</v>
      </c>
    </row>
    <row r="40" spans="1:17" s="29" customFormat="1" ht="10.5" thickBot="1" x14ac:dyDescent="0.2">
      <c r="A40" s="33" t="s">
        <v>53</v>
      </c>
      <c r="B40" s="34">
        <v>2580000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f t="shared" si="1"/>
        <v>2580000</v>
      </c>
      <c r="O40" s="36"/>
      <c r="P40" s="36"/>
      <c r="Q40" s="42">
        <f t="shared" si="4"/>
        <v>2580000</v>
      </c>
    </row>
    <row r="41" spans="1:17" s="29" customFormat="1" x14ac:dyDescent="0.15">
      <c r="A41" s="38" t="s">
        <v>50</v>
      </c>
      <c r="B41" s="39">
        <f>SUM(B24:B40)</f>
        <v>120565557.83</v>
      </c>
      <c r="C41" s="39">
        <f t="shared" ref="C41:Q41" si="5">SUM(C24:C40)</f>
        <v>10558796.65</v>
      </c>
      <c r="D41" s="39">
        <f t="shared" si="5"/>
        <v>2404784.58</v>
      </c>
      <c r="E41" s="39">
        <f t="shared" si="5"/>
        <v>13780.01</v>
      </c>
      <c r="F41" s="39">
        <f t="shared" si="5"/>
        <v>1485556</v>
      </c>
      <c r="G41" s="39">
        <f t="shared" si="5"/>
        <v>0</v>
      </c>
      <c r="H41" s="39">
        <f t="shared" si="5"/>
        <v>0</v>
      </c>
      <c r="I41" s="39">
        <f t="shared" si="5"/>
        <v>0</v>
      </c>
      <c r="J41" s="39">
        <f t="shared" si="5"/>
        <v>0</v>
      </c>
      <c r="K41" s="39">
        <f t="shared" si="5"/>
        <v>4245478.2</v>
      </c>
      <c r="L41" s="39">
        <f t="shared" si="5"/>
        <v>1077266.19</v>
      </c>
      <c r="M41" s="39">
        <f t="shared" si="5"/>
        <v>1317627</v>
      </c>
      <c r="N41" s="39">
        <f t="shared" si="5"/>
        <v>141668846.46000001</v>
      </c>
      <c r="O41" s="39">
        <f t="shared" si="5"/>
        <v>16795811</v>
      </c>
      <c r="P41" s="39">
        <f t="shared" si="5"/>
        <v>0</v>
      </c>
      <c r="Q41" s="39">
        <f t="shared" si="5"/>
        <v>124873035.46000001</v>
      </c>
    </row>
    <row r="42" spans="1:17" s="29" customFormat="1" x14ac:dyDescent="0.15">
      <c r="A42" s="33" t="s">
        <v>96</v>
      </c>
      <c r="B42" s="34">
        <v>35042687</v>
      </c>
      <c r="C42" s="43">
        <v>5000</v>
      </c>
      <c r="D42" s="43">
        <v>1105000</v>
      </c>
      <c r="E42" s="43">
        <v>10000</v>
      </c>
      <c r="F42" s="34">
        <v>1000</v>
      </c>
      <c r="G42" s="34">
        <v>1000</v>
      </c>
      <c r="H42" s="34">
        <v>5000</v>
      </c>
      <c r="I42" s="34">
        <v>10000</v>
      </c>
      <c r="J42" s="34">
        <v>800</v>
      </c>
      <c r="K42" s="35">
        <v>800</v>
      </c>
      <c r="L42" s="34">
        <v>3661400</v>
      </c>
      <c r="M42" s="34">
        <v>10000</v>
      </c>
      <c r="N42" s="35">
        <f t="shared" si="1"/>
        <v>39852687</v>
      </c>
      <c r="O42" s="36">
        <f>1104950+800+6800+3751+750+500+4640+6000+740+3624786+10000</f>
        <v>4763717</v>
      </c>
      <c r="P42" s="36"/>
      <c r="Q42" s="36">
        <f t="shared" ref="Q42:Q51" si="6">N42-O42+P42</f>
        <v>35088970</v>
      </c>
    </row>
    <row r="43" spans="1:17" s="29" customFormat="1" x14ac:dyDescent="0.15">
      <c r="A43" s="33" t="s">
        <v>97</v>
      </c>
      <c r="B43" s="34">
        <v>921</v>
      </c>
      <c r="C43" s="43">
        <v>37142894.460000001</v>
      </c>
      <c r="D43" s="43">
        <v>877313.05</v>
      </c>
      <c r="E43" s="34">
        <v>0</v>
      </c>
      <c r="F43" s="34">
        <v>49015</v>
      </c>
      <c r="G43" s="34">
        <v>330450</v>
      </c>
      <c r="H43" s="34">
        <v>0</v>
      </c>
      <c r="I43" s="34">
        <v>0</v>
      </c>
      <c r="J43" s="34">
        <v>0</v>
      </c>
      <c r="K43" s="34">
        <v>1833417.66</v>
      </c>
      <c r="L43" s="34">
        <v>406799.86000000004</v>
      </c>
      <c r="M43" s="35">
        <v>0</v>
      </c>
      <c r="N43" s="35">
        <f t="shared" si="1"/>
        <v>40640811.029999994</v>
      </c>
      <c r="O43" s="36">
        <f>877313+27854948+330450+49015+1833418+292500</f>
        <v>31237644</v>
      </c>
      <c r="P43" s="36"/>
      <c r="Q43" s="36">
        <f t="shared" si="6"/>
        <v>9403167.0299999937</v>
      </c>
    </row>
    <row r="44" spans="1:17" s="29" customFormat="1" x14ac:dyDescent="0.15">
      <c r="A44" s="33" t="s">
        <v>98</v>
      </c>
      <c r="B44" s="35">
        <v>5222508.5599999996</v>
      </c>
      <c r="C44" s="34">
        <v>0</v>
      </c>
      <c r="D44" s="34">
        <v>0</v>
      </c>
      <c r="E44" s="43">
        <v>74426.570000000007</v>
      </c>
      <c r="F44" s="34">
        <v>500</v>
      </c>
      <c r="G44" s="34">
        <v>0</v>
      </c>
      <c r="H44" s="34">
        <v>1226.1199999999999</v>
      </c>
      <c r="I44" s="34">
        <v>0</v>
      </c>
      <c r="J44" s="34">
        <v>0</v>
      </c>
      <c r="K44" s="34">
        <v>0</v>
      </c>
      <c r="L44" s="34">
        <v>0</v>
      </c>
      <c r="M44" s="35">
        <v>0</v>
      </c>
      <c r="N44" s="35">
        <f t="shared" si="1"/>
        <v>5298661.25</v>
      </c>
      <c r="O44" s="36">
        <f>74427+500+1226</f>
        <v>76153</v>
      </c>
      <c r="P44" s="36"/>
      <c r="Q44" s="36">
        <f t="shared" si="6"/>
        <v>5222508.25</v>
      </c>
    </row>
    <row r="45" spans="1:17" s="29" customFormat="1" x14ac:dyDescent="0.15">
      <c r="A45" s="33" t="s">
        <v>99</v>
      </c>
      <c r="B45" s="34">
        <v>34797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5">
        <v>0</v>
      </c>
      <c r="N45" s="35">
        <f t="shared" si="1"/>
        <v>34797</v>
      </c>
      <c r="O45" s="36"/>
      <c r="P45" s="36"/>
      <c r="Q45" s="36">
        <f t="shared" si="6"/>
        <v>34797</v>
      </c>
    </row>
    <row r="46" spans="1:17" s="29" customFormat="1" x14ac:dyDescent="0.15">
      <c r="A46" s="33" t="s">
        <v>100</v>
      </c>
      <c r="B46" s="34">
        <v>227072</v>
      </c>
      <c r="C46" s="34">
        <v>0</v>
      </c>
      <c r="D46" s="34">
        <v>0</v>
      </c>
      <c r="E46" s="34">
        <v>0</v>
      </c>
      <c r="F46" s="34">
        <v>0</v>
      </c>
      <c r="G46" s="34">
        <v>109633</v>
      </c>
      <c r="H46" s="34">
        <v>0</v>
      </c>
      <c r="I46" s="34">
        <v>0</v>
      </c>
      <c r="J46" s="34">
        <f>340</f>
        <v>340</v>
      </c>
      <c r="K46" s="34">
        <v>0</v>
      </c>
      <c r="L46" s="34">
        <v>0</v>
      </c>
      <c r="M46" s="35">
        <v>0</v>
      </c>
      <c r="N46" s="35">
        <f t="shared" si="1"/>
        <v>337045</v>
      </c>
      <c r="O46" s="36">
        <f>340+109633</f>
        <v>109973</v>
      </c>
      <c r="P46" s="36"/>
      <c r="Q46" s="36">
        <f t="shared" si="6"/>
        <v>227072</v>
      </c>
    </row>
    <row r="47" spans="1:17" s="29" customFormat="1" x14ac:dyDescent="0.15">
      <c r="A47" s="33" t="s">
        <v>5</v>
      </c>
      <c r="B47" s="34">
        <v>1423943</v>
      </c>
      <c r="C47" s="35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5">
        <v>0</v>
      </c>
      <c r="N47" s="35">
        <f>SUM(B47:M47)</f>
        <v>1423943</v>
      </c>
      <c r="O47" s="36"/>
      <c r="P47" s="36"/>
      <c r="Q47" s="36">
        <f t="shared" si="6"/>
        <v>1423943</v>
      </c>
    </row>
    <row r="48" spans="1:17" s="29" customFormat="1" x14ac:dyDescent="0.15">
      <c r="A48" s="33" t="s">
        <v>101</v>
      </c>
      <c r="B48" s="34">
        <v>0</v>
      </c>
      <c r="C48" s="35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274690.03999999998</v>
      </c>
      <c r="M48" s="35">
        <v>0</v>
      </c>
      <c r="N48" s="35">
        <f>SUM(B48:M48)</f>
        <v>274690.03999999998</v>
      </c>
      <c r="O48" s="36">
        <v>274690</v>
      </c>
      <c r="P48" s="36"/>
      <c r="Q48" s="36">
        <f t="shared" si="6"/>
        <v>3.9999999979045242E-2</v>
      </c>
    </row>
    <row r="49" spans="1:19" s="29" customFormat="1" x14ac:dyDescent="0.15">
      <c r="A49" s="33" t="s">
        <v>102</v>
      </c>
      <c r="B49" s="35">
        <v>-3202431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-56932</v>
      </c>
      <c r="M49" s="35">
        <v>0</v>
      </c>
      <c r="N49" s="35">
        <f t="shared" si="1"/>
        <v>-3259363</v>
      </c>
      <c r="O49" s="36"/>
      <c r="P49" s="36">
        <v>56932</v>
      </c>
      <c r="Q49" s="36">
        <f t="shared" si="6"/>
        <v>-3202431</v>
      </c>
    </row>
    <row r="50" spans="1:19" s="29" customFormat="1" x14ac:dyDescent="0.15">
      <c r="A50" s="33" t="s">
        <v>103</v>
      </c>
      <c r="B50" s="34">
        <f>32771651.62+495801.09+B66</f>
        <v>42657481.159999989</v>
      </c>
      <c r="C50" s="43">
        <v>-4291030</v>
      </c>
      <c r="D50" s="43">
        <f>2399.68+47654.21</f>
        <v>50053.89</v>
      </c>
      <c r="E50" s="43">
        <v>34763.730000000003</v>
      </c>
      <c r="F50" s="34">
        <f>387853.68-1451653.44+82150.45-159380.68</f>
        <v>-1141029.99</v>
      </c>
      <c r="G50" s="34">
        <f>-67370-13474</f>
        <v>-80844</v>
      </c>
      <c r="H50" s="34">
        <v>1762.47</v>
      </c>
      <c r="I50" s="34">
        <v>0</v>
      </c>
      <c r="J50" s="34">
        <v>0</v>
      </c>
      <c r="K50" s="35">
        <f>-412662.23-600165</f>
        <v>-1012827.23</v>
      </c>
      <c r="L50" s="34">
        <v>-4780262</v>
      </c>
      <c r="M50" s="34">
        <v>-584524</v>
      </c>
      <c r="N50" s="35">
        <f t="shared" si="1"/>
        <v>30853544.029999986</v>
      </c>
      <c r="O50" s="36">
        <f>862232+21667+97825+134186+441072</f>
        <v>1556982</v>
      </c>
      <c r="P50" s="36">
        <f>943459+147840+140052+366832+3491044+394335</f>
        <v>5483562</v>
      </c>
      <c r="Q50" s="36">
        <f t="shared" si="6"/>
        <v>34780124.029999986</v>
      </c>
    </row>
    <row r="51" spans="1:19" s="29" customFormat="1" x14ac:dyDescent="0.15">
      <c r="A51" s="33" t="s">
        <v>9</v>
      </c>
      <c r="B51" s="34">
        <v>0</v>
      </c>
      <c r="C51" s="43">
        <v>0</v>
      </c>
      <c r="D51" s="43">
        <v>0</v>
      </c>
      <c r="E51" s="43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5">
        <v>0</v>
      </c>
      <c r="L51" s="34">
        <v>0</v>
      </c>
      <c r="M51" s="34">
        <v>0</v>
      </c>
      <c r="N51" s="35">
        <v>0</v>
      </c>
      <c r="O51" s="36"/>
      <c r="P51" s="36"/>
      <c r="Q51" s="36">
        <f t="shared" si="6"/>
        <v>0</v>
      </c>
    </row>
    <row r="52" spans="1:19" s="29" customFormat="1" x14ac:dyDescent="0.15">
      <c r="A52" s="38" t="s">
        <v>104</v>
      </c>
      <c r="B52" s="39">
        <f>SUM(B42:B51)</f>
        <v>81406978.719999999</v>
      </c>
      <c r="C52" s="40">
        <f>SUM(C42:C50)</f>
        <v>32856864.460000001</v>
      </c>
      <c r="D52" s="44">
        <f t="shared" ref="D52:Q52" si="7">SUM(D42:D51)</f>
        <v>2032366.94</v>
      </c>
      <c r="E52" s="44">
        <f t="shared" si="7"/>
        <v>119190.30000000002</v>
      </c>
      <c r="F52" s="44">
        <f t="shared" si="7"/>
        <v>-1090514.99</v>
      </c>
      <c r="G52" s="44">
        <f t="shared" si="7"/>
        <v>360239</v>
      </c>
      <c r="H52" s="44">
        <f t="shared" si="7"/>
        <v>7988.59</v>
      </c>
      <c r="I52" s="44">
        <f t="shared" si="7"/>
        <v>10000</v>
      </c>
      <c r="J52" s="44">
        <f t="shared" si="7"/>
        <v>1140</v>
      </c>
      <c r="K52" s="44">
        <f t="shared" si="7"/>
        <v>821390.42999999993</v>
      </c>
      <c r="L52" s="44">
        <f t="shared" si="7"/>
        <v>-494304.10000000056</v>
      </c>
      <c r="M52" s="44">
        <f t="shared" si="7"/>
        <v>-574524</v>
      </c>
      <c r="N52" s="44">
        <f t="shared" si="7"/>
        <v>115456815.34999999</v>
      </c>
      <c r="O52" s="44">
        <f t="shared" si="7"/>
        <v>38019159</v>
      </c>
      <c r="P52" s="44">
        <f t="shared" si="7"/>
        <v>5540494</v>
      </c>
      <c r="Q52" s="44">
        <f t="shared" si="7"/>
        <v>82978150.349999979</v>
      </c>
      <c r="R52" s="29">
        <f>+Q52</f>
        <v>82978150.349999979</v>
      </c>
    </row>
    <row r="53" spans="1:19" x14ac:dyDescent="0.15">
      <c r="A53" s="45"/>
      <c r="B53" s="46">
        <f>+B23-B41-B52</f>
        <v>0</v>
      </c>
      <c r="C53" s="46">
        <f t="shared" ref="C53:N53" si="8">+C23-C41-C52</f>
        <v>-0.35000000149011612</v>
      </c>
      <c r="D53" s="46">
        <f t="shared" si="8"/>
        <v>6.9999999832361937E-2</v>
      </c>
      <c r="E53" s="46">
        <f t="shared" si="8"/>
        <v>0</v>
      </c>
      <c r="F53" s="46">
        <f t="shared" si="8"/>
        <v>-0.78000000002793968</v>
      </c>
      <c r="G53" s="46">
        <f t="shared" si="8"/>
        <v>0.47999999998137355</v>
      </c>
      <c r="H53" s="46">
        <f t="shared" si="8"/>
        <v>0</v>
      </c>
      <c r="I53" s="46">
        <f t="shared" si="8"/>
        <v>0</v>
      </c>
      <c r="J53" s="46">
        <f t="shared" si="8"/>
        <v>0</v>
      </c>
      <c r="K53" s="46">
        <f t="shared" si="8"/>
        <v>0.48000000021420419</v>
      </c>
      <c r="L53" s="46">
        <f t="shared" si="8"/>
        <v>1.0700000008800998</v>
      </c>
      <c r="M53" s="46">
        <f t="shared" si="8"/>
        <v>-0.12000000011175871</v>
      </c>
      <c r="N53" s="46">
        <f t="shared" si="8"/>
        <v>0.84999999403953552</v>
      </c>
      <c r="O53" s="47">
        <f>O41+O52+O23</f>
        <v>57920524</v>
      </c>
      <c r="P53" s="47">
        <f>P41+P52+P23</f>
        <v>57920525</v>
      </c>
      <c r="Q53" s="47">
        <f>Q23-Q41-Q52</f>
        <v>-0.14999999105930328</v>
      </c>
      <c r="R53" s="29"/>
      <c r="S53" s="27"/>
    </row>
    <row r="54" spans="1:19" x14ac:dyDescent="0.15">
      <c r="A54" s="45"/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50">
        <f>O53-P53</f>
        <v>-1</v>
      </c>
      <c r="Q54" s="49"/>
      <c r="R54" s="27"/>
      <c r="S54" s="27"/>
    </row>
    <row r="55" spans="1:19" ht="29.25" x14ac:dyDescent="0.15">
      <c r="A55" s="31" t="s">
        <v>73</v>
      </c>
      <c r="B55" s="51" t="s">
        <v>138</v>
      </c>
      <c r="C55" s="52" t="s">
        <v>139</v>
      </c>
      <c r="D55" s="52" t="s">
        <v>140</v>
      </c>
      <c r="E55" s="52" t="s">
        <v>141</v>
      </c>
      <c r="F55" s="52" t="s">
        <v>142</v>
      </c>
      <c r="G55" s="52" t="s">
        <v>143</v>
      </c>
      <c r="H55" s="52" t="s">
        <v>144</v>
      </c>
      <c r="I55" s="52" t="s">
        <v>145</v>
      </c>
      <c r="J55" s="52" t="s">
        <v>146</v>
      </c>
      <c r="K55" s="52" t="s">
        <v>147</v>
      </c>
      <c r="L55" s="52" t="s">
        <v>148</v>
      </c>
      <c r="M55" s="52" t="s">
        <v>149</v>
      </c>
      <c r="N55" s="52" t="s">
        <v>110</v>
      </c>
      <c r="O55" s="52" t="s">
        <v>150</v>
      </c>
      <c r="P55" s="52" t="s">
        <v>151</v>
      </c>
      <c r="Q55" s="52" t="s">
        <v>152</v>
      </c>
    </row>
    <row r="56" spans="1:19" x14ac:dyDescent="0.15">
      <c r="A56" s="33" t="s">
        <v>153</v>
      </c>
      <c r="B56" s="53">
        <v>159047272.44999999</v>
      </c>
      <c r="C56" s="53">
        <v>1209636.21</v>
      </c>
      <c r="D56" s="53">
        <v>820979.6</v>
      </c>
      <c r="E56" s="53"/>
      <c r="F56" s="53"/>
      <c r="G56" s="53"/>
      <c r="H56" s="53"/>
      <c r="I56" s="53"/>
      <c r="J56" s="53"/>
      <c r="K56" s="53">
        <v>261368.17</v>
      </c>
      <c r="L56" s="53">
        <v>413962</v>
      </c>
      <c r="M56" s="53">
        <v>1153124.58</v>
      </c>
      <c r="N56" s="54">
        <f>SUM(B56:M56)</f>
        <v>162906343.00999999</v>
      </c>
      <c r="O56" s="55">
        <f>+[1]Asientos_ERI!D33</f>
        <v>3060845</v>
      </c>
      <c r="P56" s="56"/>
      <c r="Q56" s="57">
        <f>N56-O56+P56</f>
        <v>159845498.00999999</v>
      </c>
    </row>
    <row r="57" spans="1:19" ht="10.5" thickBot="1" x14ac:dyDescent="0.2">
      <c r="A57" s="33" t="s">
        <v>154</v>
      </c>
      <c r="B57" s="53">
        <v>-103569767</v>
      </c>
      <c r="C57" s="53">
        <v>-3723788.13</v>
      </c>
      <c r="D57" s="53">
        <v>-465992.01</v>
      </c>
      <c r="E57" s="53"/>
      <c r="F57" s="53"/>
      <c r="G57" s="53"/>
      <c r="H57" s="53"/>
      <c r="I57" s="53"/>
      <c r="J57" s="53"/>
      <c r="K57" s="53">
        <v>-534980.30000000005</v>
      </c>
      <c r="L57" s="53">
        <v>-301584</v>
      </c>
      <c r="M57" s="53">
        <v>-606910.80000000005</v>
      </c>
      <c r="N57" s="54">
        <f>SUM(B57:M57)</f>
        <v>-109203022.23999999</v>
      </c>
      <c r="O57" s="58"/>
      <c r="P57" s="59">
        <f>+[1]Asientos_ERI!E34</f>
        <v>3049989</v>
      </c>
      <c r="Q57" s="60">
        <f>N57-O57+P57</f>
        <v>-106153033.23999999</v>
      </c>
    </row>
    <row r="58" spans="1:19" s="64" customFormat="1" x14ac:dyDescent="0.15">
      <c r="A58" s="61" t="s">
        <v>155</v>
      </c>
      <c r="B58" s="62">
        <f>SUM(B56:B57)</f>
        <v>55477505.449999988</v>
      </c>
      <c r="C58" s="62">
        <f t="shared" ref="C58:M58" si="9">SUM(C56:C57)</f>
        <v>-2514151.92</v>
      </c>
      <c r="D58" s="62">
        <f t="shared" si="9"/>
        <v>354987.58999999997</v>
      </c>
      <c r="E58" s="62">
        <f t="shared" si="9"/>
        <v>0</v>
      </c>
      <c r="F58" s="62">
        <f t="shared" si="9"/>
        <v>0</v>
      </c>
      <c r="G58" s="62">
        <f t="shared" si="9"/>
        <v>0</v>
      </c>
      <c r="H58" s="62">
        <f t="shared" si="9"/>
        <v>0</v>
      </c>
      <c r="I58" s="62">
        <f t="shared" si="9"/>
        <v>0</v>
      </c>
      <c r="J58" s="62">
        <f t="shared" si="9"/>
        <v>0</v>
      </c>
      <c r="K58" s="62">
        <f t="shared" si="9"/>
        <v>-273612.13</v>
      </c>
      <c r="L58" s="62">
        <f t="shared" si="9"/>
        <v>112378</v>
      </c>
      <c r="M58" s="62">
        <f t="shared" si="9"/>
        <v>546213.78</v>
      </c>
      <c r="N58" s="62">
        <f>SUM(N56:N57)</f>
        <v>53703320.769999996</v>
      </c>
      <c r="O58" s="63" t="s">
        <v>156</v>
      </c>
      <c r="P58" s="63"/>
      <c r="Q58" s="63">
        <f>SUM(Q56:Q57)</f>
        <v>53692464.769999996</v>
      </c>
    </row>
    <row r="59" spans="1:19" x14ac:dyDescent="0.15">
      <c r="A59" s="33" t="s">
        <v>157</v>
      </c>
      <c r="B59" s="53">
        <f>-34477490</f>
        <v>-34477490</v>
      </c>
      <c r="C59" s="53">
        <v>-1061442.6299999999</v>
      </c>
      <c r="D59" s="53">
        <f>-270415.44+175129</f>
        <v>-95286.44</v>
      </c>
      <c r="E59" s="53"/>
      <c r="F59" s="53">
        <v>-159381</v>
      </c>
      <c r="G59" s="53">
        <v>-13474</v>
      </c>
      <c r="H59" s="53"/>
      <c r="I59" s="53"/>
      <c r="J59" s="53"/>
      <c r="K59" s="53">
        <v>-330763.33</v>
      </c>
      <c r="L59" s="53">
        <f>-507452+6747</f>
        <v>-500705</v>
      </c>
      <c r="M59" s="53">
        <f>-703614.76+1632</f>
        <v>-701982.76</v>
      </c>
      <c r="N59" s="54">
        <f>SUM(B59:M59)</f>
        <v>-37340525.159999996</v>
      </c>
      <c r="O59" s="58"/>
      <c r="P59" s="59">
        <f>+[1]Asientos_ERI!E35</f>
        <v>10856</v>
      </c>
      <c r="Q59" s="65">
        <f>N59-O59+P59</f>
        <v>-37329669.159999996</v>
      </c>
    </row>
    <row r="60" spans="1:19" ht="10.5" thickBot="1" x14ac:dyDescent="0.2">
      <c r="A60" s="33" t="s">
        <v>158</v>
      </c>
      <c r="B60" s="53">
        <f>-1477407</f>
        <v>-1477407</v>
      </c>
      <c r="C60" s="53">
        <v>0</v>
      </c>
      <c r="D60" s="66">
        <v>-8855</v>
      </c>
      <c r="E60" s="53"/>
      <c r="F60" s="53"/>
      <c r="G60" s="53"/>
      <c r="H60" s="53"/>
      <c r="I60" s="53"/>
      <c r="J60" s="53"/>
      <c r="K60" s="53">
        <v>4210.09</v>
      </c>
      <c r="L60" s="53">
        <v>3550.68</v>
      </c>
      <c r="M60" s="53">
        <v>0</v>
      </c>
      <c r="N60" s="54">
        <f>SUM(B60:M60)</f>
        <v>-1478501.23</v>
      </c>
      <c r="O60" s="58"/>
      <c r="P60" s="59">
        <f>'[1]Inversiones 2018'!C68</f>
        <v>366831.5299999998</v>
      </c>
      <c r="Q60" s="60">
        <f>N60-O60+P60</f>
        <v>-1111669.7000000002</v>
      </c>
    </row>
    <row r="61" spans="1:19" s="64" customFormat="1" x14ac:dyDescent="0.15">
      <c r="A61" s="61" t="s">
        <v>159</v>
      </c>
      <c r="B61" s="62">
        <f t="shared" ref="B61:N61" si="10">SUM(B58:B60)</f>
        <v>19522608.449999988</v>
      </c>
      <c r="C61" s="62">
        <f t="shared" si="10"/>
        <v>-3575594.55</v>
      </c>
      <c r="D61" s="62">
        <f t="shared" si="10"/>
        <v>250846.14999999997</v>
      </c>
      <c r="E61" s="62">
        <f t="shared" si="10"/>
        <v>0</v>
      </c>
      <c r="F61" s="62">
        <f t="shared" si="10"/>
        <v>-159381</v>
      </c>
      <c r="G61" s="62">
        <f t="shared" si="10"/>
        <v>-13474</v>
      </c>
      <c r="H61" s="62">
        <f t="shared" si="10"/>
        <v>0</v>
      </c>
      <c r="I61" s="62">
        <f t="shared" si="10"/>
        <v>0</v>
      </c>
      <c r="J61" s="62">
        <f t="shared" si="10"/>
        <v>0</v>
      </c>
      <c r="K61" s="62">
        <f t="shared" si="10"/>
        <v>-600165.37</v>
      </c>
      <c r="L61" s="62">
        <f t="shared" si="10"/>
        <v>-384776.32</v>
      </c>
      <c r="M61" s="62">
        <f t="shared" si="10"/>
        <v>-155768.97999999998</v>
      </c>
      <c r="N61" s="62">
        <f t="shared" si="10"/>
        <v>14884294.379999999</v>
      </c>
      <c r="O61" s="63"/>
      <c r="P61" s="63"/>
      <c r="Q61" s="63">
        <f>SUM(Q58:Q60)</f>
        <v>15251125.91</v>
      </c>
    </row>
    <row r="62" spans="1:19" ht="10.5" thickBot="1" x14ac:dyDescent="0.2">
      <c r="A62" s="33" t="s">
        <v>160</v>
      </c>
      <c r="B62" s="53">
        <v>-3489748</v>
      </c>
      <c r="C62" s="53">
        <v>3.35</v>
      </c>
      <c r="D62" s="53">
        <v>-173996</v>
      </c>
      <c r="E62" s="53"/>
      <c r="F62" s="53"/>
      <c r="G62" s="53"/>
      <c r="H62" s="53"/>
      <c r="I62" s="53"/>
      <c r="J62" s="53"/>
      <c r="K62" s="53"/>
      <c r="L62" s="53">
        <v>-6747.55</v>
      </c>
      <c r="M62" s="53">
        <v>-1632</v>
      </c>
      <c r="N62" s="54">
        <f>SUM(B62:M62)</f>
        <v>-3672120.1999999997</v>
      </c>
      <c r="O62" s="58"/>
      <c r="P62" s="58"/>
      <c r="Q62" s="60">
        <f>N62-O62+P62</f>
        <v>-3672120.1999999997</v>
      </c>
      <c r="R62" s="27"/>
    </row>
    <row r="63" spans="1:19" s="64" customFormat="1" x14ac:dyDescent="0.15">
      <c r="A63" s="61" t="s">
        <v>161</v>
      </c>
      <c r="B63" s="62">
        <f t="shared" ref="B63:N63" si="11">+B61+B62</f>
        <v>16032860.449999988</v>
      </c>
      <c r="C63" s="62">
        <f t="shared" si="11"/>
        <v>-3575591.1999999997</v>
      </c>
      <c r="D63" s="62">
        <f t="shared" si="11"/>
        <v>76850.149999999965</v>
      </c>
      <c r="E63" s="62">
        <f t="shared" si="11"/>
        <v>0</v>
      </c>
      <c r="F63" s="62">
        <f t="shared" si="11"/>
        <v>-159381</v>
      </c>
      <c r="G63" s="62">
        <f t="shared" si="11"/>
        <v>-13474</v>
      </c>
      <c r="H63" s="62">
        <f t="shared" si="11"/>
        <v>0</v>
      </c>
      <c r="I63" s="62">
        <f t="shared" si="11"/>
        <v>0</v>
      </c>
      <c r="J63" s="62">
        <f t="shared" si="11"/>
        <v>0</v>
      </c>
      <c r="K63" s="62">
        <f t="shared" si="11"/>
        <v>-600165.37</v>
      </c>
      <c r="L63" s="62">
        <f t="shared" si="11"/>
        <v>-391523.87</v>
      </c>
      <c r="M63" s="62">
        <f t="shared" si="11"/>
        <v>-157400.97999999998</v>
      </c>
      <c r="N63" s="62">
        <f t="shared" si="11"/>
        <v>11212174.18</v>
      </c>
      <c r="O63" s="67"/>
      <c r="P63" s="67"/>
      <c r="Q63" s="63">
        <f>+Q61+Q62</f>
        <v>11579005.710000001</v>
      </c>
      <c r="R63" s="68"/>
    </row>
    <row r="64" spans="1:19" x14ac:dyDescent="0.15">
      <c r="A64" s="33" t="s">
        <v>65</v>
      </c>
      <c r="B64" s="53">
        <v>-2404929</v>
      </c>
      <c r="C64" s="53"/>
      <c r="D64" s="53">
        <v>-12686</v>
      </c>
      <c r="E64" s="53"/>
      <c r="F64" s="53"/>
      <c r="G64" s="53"/>
      <c r="H64" s="53"/>
      <c r="I64" s="53"/>
      <c r="J64" s="53"/>
      <c r="K64" s="53"/>
      <c r="L64" s="53">
        <v>0</v>
      </c>
      <c r="M64" s="53"/>
      <c r="N64" s="54">
        <f>SUM(B64:M64)</f>
        <v>-2417615</v>
      </c>
      <c r="O64" s="58"/>
      <c r="P64" s="58"/>
      <c r="Q64" s="65">
        <f>N64-O64+P64</f>
        <v>-2417615</v>
      </c>
    </row>
    <row r="65" spans="1:21" x14ac:dyDescent="0.15">
      <c r="A65" s="33" t="s">
        <v>162</v>
      </c>
      <c r="B65" s="53">
        <v>-4237903</v>
      </c>
      <c r="C65" s="53"/>
      <c r="D65" s="53">
        <v>-16510</v>
      </c>
      <c r="E65" s="53"/>
      <c r="F65" s="53"/>
      <c r="G65" s="53"/>
      <c r="H65" s="53"/>
      <c r="I65" s="53"/>
      <c r="J65" s="53"/>
      <c r="K65" s="53"/>
      <c r="L65" s="53">
        <v>0</v>
      </c>
      <c r="M65" s="53">
        <v>0</v>
      </c>
      <c r="N65" s="54">
        <f>SUM(B65:M65)</f>
        <v>-4254413</v>
      </c>
      <c r="O65" s="65"/>
      <c r="P65" s="58"/>
      <c r="Q65" s="65">
        <f>N65-O65+P65</f>
        <v>-4254413</v>
      </c>
    </row>
    <row r="66" spans="1:21" s="64" customFormat="1" x14ac:dyDescent="0.15">
      <c r="A66" s="61" t="s">
        <v>163</v>
      </c>
      <c r="B66" s="62">
        <f t="shared" ref="B66:G66" si="12">+B63+B64+B65</f>
        <v>9390028.4499999881</v>
      </c>
      <c r="C66" s="62">
        <f t="shared" si="12"/>
        <v>-3575591.1999999997</v>
      </c>
      <c r="D66" s="62">
        <f t="shared" si="12"/>
        <v>47654.149999999965</v>
      </c>
      <c r="E66" s="62">
        <f t="shared" si="12"/>
        <v>0</v>
      </c>
      <c r="F66" s="62">
        <f t="shared" si="12"/>
        <v>-159381</v>
      </c>
      <c r="G66" s="62">
        <f t="shared" si="12"/>
        <v>-13474</v>
      </c>
      <c r="H66" s="62">
        <f>+H63+H65</f>
        <v>0</v>
      </c>
      <c r="I66" s="62">
        <f>+I63+I65</f>
        <v>0</v>
      </c>
      <c r="J66" s="62">
        <f>+J63+J65</f>
        <v>0</v>
      </c>
      <c r="K66" s="62">
        <f>+K63+K64+K65</f>
        <v>-600165.37</v>
      </c>
      <c r="L66" s="62">
        <f>+L63+L64+L65</f>
        <v>-391523.87</v>
      </c>
      <c r="M66" s="62">
        <f>+M63+M64+M65</f>
        <v>-157400.97999999998</v>
      </c>
      <c r="N66" s="62">
        <f>+N63+N64+N65</f>
        <v>4540146.18</v>
      </c>
      <c r="O66" s="69"/>
      <c r="P66" s="69"/>
      <c r="Q66" s="69">
        <f>+Q63+Q64+Q65</f>
        <v>4906977.7100000009</v>
      </c>
    </row>
    <row r="67" spans="1:21" x14ac:dyDescent="0.15">
      <c r="A67" s="33" t="s">
        <v>164</v>
      </c>
      <c r="B67" s="53">
        <v>70086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4">
        <f>SUM(B67:M67)</f>
        <v>70086</v>
      </c>
      <c r="O67" s="65"/>
      <c r="P67" s="65"/>
      <c r="Q67" s="65">
        <f>N67-O67+P67</f>
        <v>70086</v>
      </c>
    </row>
    <row r="68" spans="1:21" x14ac:dyDescent="0.15">
      <c r="A68" s="70" t="s">
        <v>70</v>
      </c>
      <c r="B68" s="71">
        <f t="shared" ref="B68:N68" si="13">B66+B67</f>
        <v>9460114.4499999881</v>
      </c>
      <c r="C68" s="72">
        <f t="shared" si="13"/>
        <v>-3575591.1999999997</v>
      </c>
      <c r="D68" s="72">
        <f t="shared" si="13"/>
        <v>47654.149999999965</v>
      </c>
      <c r="E68" s="72">
        <f t="shared" si="13"/>
        <v>0</v>
      </c>
      <c r="F68" s="72">
        <f t="shared" si="13"/>
        <v>-159381</v>
      </c>
      <c r="G68" s="72">
        <f t="shared" si="13"/>
        <v>-13474</v>
      </c>
      <c r="H68" s="72">
        <f t="shared" si="13"/>
        <v>0</v>
      </c>
      <c r="I68" s="72">
        <f t="shared" si="13"/>
        <v>0</v>
      </c>
      <c r="J68" s="72">
        <f t="shared" si="13"/>
        <v>0</v>
      </c>
      <c r="K68" s="72">
        <f t="shared" si="13"/>
        <v>-600165.37</v>
      </c>
      <c r="L68" s="72">
        <f t="shared" si="13"/>
        <v>-391523.87</v>
      </c>
      <c r="M68" s="72">
        <f t="shared" si="13"/>
        <v>-157400.97999999998</v>
      </c>
      <c r="N68" s="72">
        <f t="shared" si="13"/>
        <v>4610232.18</v>
      </c>
      <c r="O68" s="72">
        <f>SUM(O56:O67)</f>
        <v>3060845</v>
      </c>
      <c r="P68" s="72">
        <f>SUM(P56:P67)</f>
        <v>3427676.53</v>
      </c>
      <c r="Q68" s="72">
        <f>Q66+Q67</f>
        <v>4977063.7100000009</v>
      </c>
    </row>
    <row r="69" spans="1:21" x14ac:dyDescent="0.15">
      <c r="A69" s="45"/>
      <c r="B69" s="73"/>
      <c r="C69" s="73"/>
      <c r="D69" s="73"/>
      <c r="E69" s="74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>
        <f>+O68-P68</f>
        <v>-366831.5299999998</v>
      </c>
      <c r="Q69" s="73"/>
    </row>
    <row r="70" spans="1:21" x14ac:dyDescent="0.15">
      <c r="A70" s="75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</row>
    <row r="71" spans="1:21" x14ac:dyDescent="0.15">
      <c r="A71" s="77"/>
      <c r="B71" s="78">
        <f t="shared" ref="B71:N71" si="14">+B52+B41-B23</f>
        <v>0</v>
      </c>
      <c r="C71" s="78">
        <f t="shared" si="14"/>
        <v>0.35000000149011612</v>
      </c>
      <c r="D71" s="78">
        <f t="shared" si="14"/>
        <v>-7.0000000298023224E-2</v>
      </c>
      <c r="E71" s="78">
        <f t="shared" si="14"/>
        <v>0</v>
      </c>
      <c r="F71" s="78">
        <f t="shared" si="14"/>
        <v>0.78000000002793968</v>
      </c>
      <c r="G71" s="78">
        <f t="shared" si="14"/>
        <v>-0.47999999998137355</v>
      </c>
      <c r="H71" s="78">
        <f t="shared" si="14"/>
        <v>0</v>
      </c>
      <c r="I71" s="78">
        <f t="shared" si="14"/>
        <v>0</v>
      </c>
      <c r="J71" s="78">
        <f t="shared" si="14"/>
        <v>0</v>
      </c>
      <c r="K71" s="78">
        <f t="shared" si="14"/>
        <v>-0.48000000044703484</v>
      </c>
      <c r="L71" s="78">
        <f t="shared" si="14"/>
        <v>-1.0700000008800998</v>
      </c>
      <c r="M71" s="78">
        <f t="shared" si="14"/>
        <v>0.12000000011175871</v>
      </c>
      <c r="N71" s="78">
        <f t="shared" si="14"/>
        <v>-0.84999999403953552</v>
      </c>
      <c r="O71" s="78"/>
      <c r="P71" s="78"/>
      <c r="Q71" s="78">
        <f>+Q52+Q41-Q23</f>
        <v>0.15000000596046448</v>
      </c>
    </row>
    <row r="72" spans="1:21" x14ac:dyDescent="0.15"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S72" s="27"/>
    </row>
    <row r="73" spans="1:21" x14ac:dyDescent="0.15">
      <c r="A73" s="64" t="s">
        <v>165</v>
      </c>
      <c r="B73" s="79">
        <f>+B68*100%</f>
        <v>9460114.4499999881</v>
      </c>
      <c r="C73" s="79">
        <f>+C68*'[1]Participaciones 2018'!E16</f>
        <v>-2682408.5182399997</v>
      </c>
      <c r="D73" s="79">
        <f>+D68*'[1]Participaciones 2018'!G16</f>
        <v>47651.993703619875</v>
      </c>
      <c r="E73" s="76">
        <f>+E68*'[1]Participaciones 2018'!I16</f>
        <v>0</v>
      </c>
      <c r="F73" s="76">
        <f>+F68*'[1]Participaciones 2018'!K16</f>
        <v>-79690.5</v>
      </c>
      <c r="G73" s="76">
        <f>+G68*'[1]Participaciones 2018'!M16</f>
        <v>-10105.5</v>
      </c>
      <c r="H73" s="76">
        <f>+H68*'[1]Participaciones 2018'!O16</f>
        <v>0</v>
      </c>
      <c r="I73" s="76">
        <f>+I68*'[1]Participaciones 2018'!Q16</f>
        <v>0</v>
      </c>
      <c r="J73" s="76">
        <f>+J68*'[1]Participaciones 2018'!S16</f>
        <v>0</v>
      </c>
      <c r="K73" s="79">
        <f>+K68*'[1]Participaciones 2018'!U16</f>
        <v>-555152.96724999999</v>
      </c>
      <c r="L73" s="79">
        <f>+L68*'[1]Participaciones 2018'!W16</f>
        <v>-387608.63130000001</v>
      </c>
      <c r="M73" s="79">
        <f>+M68*'[1]Participaciones 2018'!Y16</f>
        <v>-157400.97999999998</v>
      </c>
      <c r="N73" s="76">
        <f>SUM(B73:M73)</f>
        <v>5635399.3469136078</v>
      </c>
      <c r="O73" s="76">
        <f>+O60+O56</f>
        <v>3060845</v>
      </c>
      <c r="P73" s="76">
        <f>P57+P60+P59</f>
        <v>3427676.53</v>
      </c>
      <c r="Q73" s="76">
        <f>+N73-O73+P73</f>
        <v>6002230.8769136071</v>
      </c>
      <c r="R73" s="80"/>
    </row>
    <row r="74" spans="1:21" x14ac:dyDescent="0.15">
      <c r="A74" s="64" t="s">
        <v>166</v>
      </c>
      <c r="B74" s="79">
        <f>+B68-B73</f>
        <v>0</v>
      </c>
      <c r="C74" s="79">
        <f t="shared" ref="C74:M74" si="15">+C68-C73</f>
        <v>-893182.68176000006</v>
      </c>
      <c r="D74" s="79">
        <f t="shared" si="15"/>
        <v>2.1562963800897705</v>
      </c>
      <c r="E74" s="79">
        <f t="shared" si="15"/>
        <v>0</v>
      </c>
      <c r="F74" s="79">
        <f t="shared" si="15"/>
        <v>-79690.5</v>
      </c>
      <c r="G74" s="79">
        <f t="shared" si="15"/>
        <v>-3368.5</v>
      </c>
      <c r="H74" s="79">
        <f t="shared" si="15"/>
        <v>0</v>
      </c>
      <c r="I74" s="79">
        <f t="shared" si="15"/>
        <v>0</v>
      </c>
      <c r="J74" s="79">
        <f t="shared" si="15"/>
        <v>0</v>
      </c>
      <c r="K74" s="79">
        <f t="shared" si="15"/>
        <v>-45012.402750000008</v>
      </c>
      <c r="L74" s="79">
        <f t="shared" si="15"/>
        <v>-3915.2386999999871</v>
      </c>
      <c r="M74" s="79">
        <f t="shared" si="15"/>
        <v>0</v>
      </c>
      <c r="N74" s="76">
        <f>SUM(B74:M74)</f>
        <v>-1025167.16691362</v>
      </c>
      <c r="O74" s="76"/>
      <c r="P74" s="76"/>
      <c r="Q74" s="76">
        <f>+N74-O74+P74</f>
        <v>-1025167.16691362</v>
      </c>
      <c r="T74" s="29"/>
      <c r="U74" s="81"/>
    </row>
    <row r="75" spans="1:21" x14ac:dyDescent="0.15">
      <c r="B75" s="76">
        <f t="shared" ref="B75:J75" si="16">+B73+B74</f>
        <v>9460114.4499999881</v>
      </c>
      <c r="C75" s="76">
        <f t="shared" si="16"/>
        <v>-3575591.1999999997</v>
      </c>
      <c r="D75" s="76">
        <f t="shared" si="16"/>
        <v>47654.149999999965</v>
      </c>
      <c r="E75" s="76">
        <f t="shared" si="16"/>
        <v>0</v>
      </c>
      <c r="F75" s="76">
        <f t="shared" si="16"/>
        <v>-159381</v>
      </c>
      <c r="G75" s="76">
        <f t="shared" si="16"/>
        <v>-13474</v>
      </c>
      <c r="H75" s="76">
        <f t="shared" si="16"/>
        <v>0</v>
      </c>
      <c r="I75" s="76">
        <f t="shared" si="16"/>
        <v>0</v>
      </c>
      <c r="J75" s="76">
        <f t="shared" si="16"/>
        <v>0</v>
      </c>
      <c r="K75" s="76">
        <f>+K73+K74</f>
        <v>-600165.37</v>
      </c>
      <c r="L75" s="76">
        <f>+L73+L74</f>
        <v>-391523.87</v>
      </c>
      <c r="M75" s="76">
        <f>+M73+M74</f>
        <v>-157400.97999999998</v>
      </c>
      <c r="N75" s="76">
        <f>+N73+N74</f>
        <v>4610232.1799999876</v>
      </c>
      <c r="O75" s="76">
        <f t="shared" ref="O75:Q75" si="17">+O73+O74</f>
        <v>3060845</v>
      </c>
      <c r="P75" s="76">
        <f t="shared" si="17"/>
        <v>3427676.53</v>
      </c>
      <c r="Q75" s="76">
        <f t="shared" si="17"/>
        <v>4977063.7099999869</v>
      </c>
    </row>
    <row r="76" spans="1:21" x14ac:dyDescent="0.15"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</row>
    <row r="77" spans="1:21" x14ac:dyDescent="0.15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9"/>
      <c r="Q77" s="76"/>
    </row>
    <row r="78" spans="1:21" x14ac:dyDescent="0.15">
      <c r="C78" s="81">
        <f>+C50-C68</f>
        <v>-715438.80000000028</v>
      </c>
    </row>
  </sheetData>
  <mergeCells count="1"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697C-D4CB-44CC-91D0-BAD5B22EF4B4}">
  <dimension ref="A1:W81"/>
  <sheetViews>
    <sheetView tabSelected="1" workbookViewId="0">
      <pane xSplit="1" ySplit="4" topLeftCell="K12" activePane="bottomRight" state="frozen"/>
      <selection pane="topRight" activeCell="B1" sqref="B1"/>
      <selection pane="bottomLeft" activeCell="A5" sqref="A5"/>
      <selection pane="bottomRight" activeCell="R20" sqref="R20"/>
    </sheetView>
  </sheetViews>
  <sheetFormatPr defaultColWidth="11.42578125" defaultRowHeight="12.75" x14ac:dyDescent="0.2"/>
  <cols>
    <col min="1" max="1" width="47.7109375" style="83" bestFit="1" customWidth="1"/>
    <col min="2" max="2" width="20.85546875" style="83" bestFit="1" customWidth="1"/>
    <col min="3" max="3" width="17.140625" style="83" customWidth="1"/>
    <col min="4" max="4" width="19.140625" style="83" customWidth="1"/>
    <col min="5" max="5" width="14.28515625" style="83" bestFit="1" customWidth="1"/>
    <col min="6" max="6" width="14.85546875" style="83" bestFit="1" customWidth="1"/>
    <col min="7" max="7" width="13.7109375" style="83" customWidth="1"/>
    <col min="8" max="8" width="16.28515625" style="83" customWidth="1"/>
    <col min="9" max="9" width="15" style="83" bestFit="1" customWidth="1"/>
    <col min="10" max="10" width="15.85546875" style="83" customWidth="1"/>
    <col min="11" max="11" width="15" style="83" bestFit="1" customWidth="1"/>
    <col min="12" max="12" width="14.85546875" style="83" bestFit="1" customWidth="1"/>
    <col min="13" max="13" width="15.85546875" style="83" customWidth="1"/>
    <col min="14" max="14" width="18" style="83" customWidth="1"/>
    <col min="15" max="15" width="11" style="83" bestFit="1" customWidth="1"/>
    <col min="16" max="17" width="16.42578125" style="83" bestFit="1" customWidth="1"/>
    <col min="18" max="18" width="17.42578125" style="83" customWidth="1"/>
    <col min="19" max="19" width="24.140625" style="83" bestFit="1" customWidth="1"/>
    <col min="20" max="20" width="14.42578125" style="83" customWidth="1"/>
    <col min="21" max="21" width="12" style="83" bestFit="1" customWidth="1"/>
    <col min="22" max="22" width="14" style="83" customWidth="1"/>
    <col min="23" max="23" width="13.28515625" style="83" customWidth="1"/>
    <col min="24" max="16384" width="11.42578125" style="83"/>
  </cols>
  <sheetData>
    <row r="1" spans="1:22" x14ac:dyDescent="0.2">
      <c r="A1" s="82" t="s">
        <v>135</v>
      </c>
      <c r="C1" s="84"/>
    </row>
    <row r="2" spans="1:22" x14ac:dyDescent="0.2">
      <c r="A2" s="85" t="s">
        <v>136</v>
      </c>
      <c r="C2" s="86"/>
    </row>
    <row r="3" spans="1:22" ht="15" customHeight="1" x14ac:dyDescent="0.2">
      <c r="A3" s="87"/>
      <c r="E3" s="84"/>
      <c r="P3" s="177" t="s">
        <v>137</v>
      </c>
      <c r="Q3" s="178"/>
    </row>
    <row r="4" spans="1:22" ht="38.25" x14ac:dyDescent="0.2">
      <c r="A4" s="88" t="s">
        <v>73</v>
      </c>
      <c r="B4" s="89" t="s">
        <v>138</v>
      </c>
      <c r="C4" s="89" t="s">
        <v>139</v>
      </c>
      <c r="D4" s="89" t="s">
        <v>140</v>
      </c>
      <c r="E4" s="89" t="s">
        <v>141</v>
      </c>
      <c r="F4" s="89" t="s">
        <v>142</v>
      </c>
      <c r="G4" s="89" t="s">
        <v>143</v>
      </c>
      <c r="H4" s="89" t="s">
        <v>144</v>
      </c>
      <c r="I4" s="89" t="s">
        <v>145</v>
      </c>
      <c r="J4" s="89" t="s">
        <v>146</v>
      </c>
      <c r="K4" s="89" t="s">
        <v>147</v>
      </c>
      <c r="L4" s="89" t="s">
        <v>148</v>
      </c>
      <c r="M4" s="89" t="s">
        <v>149</v>
      </c>
      <c r="N4" s="89" t="s">
        <v>110</v>
      </c>
      <c r="O4" s="89" t="s">
        <v>167</v>
      </c>
      <c r="P4" s="89" t="s">
        <v>150</v>
      </c>
      <c r="Q4" s="89" t="s">
        <v>151</v>
      </c>
      <c r="R4" s="89" t="s">
        <v>152</v>
      </c>
    </row>
    <row r="5" spans="1:22" ht="15.75" customHeight="1" x14ac:dyDescent="0.2">
      <c r="A5" s="90" t="s">
        <v>74</v>
      </c>
      <c r="B5" s="91">
        <v>579546.81000000006</v>
      </c>
      <c r="C5" s="91">
        <v>6893.23</v>
      </c>
      <c r="D5" s="91">
        <v>1428.21</v>
      </c>
      <c r="E5" s="91">
        <v>2689.4</v>
      </c>
      <c r="F5" s="91">
        <v>3845.25</v>
      </c>
      <c r="G5" s="92"/>
      <c r="H5" s="91"/>
      <c r="I5" s="91">
        <v>10000</v>
      </c>
      <c r="J5" s="91"/>
      <c r="K5" s="91">
        <v>2939.22</v>
      </c>
      <c r="L5" s="93">
        <v>7531.2000000000016</v>
      </c>
      <c r="M5" s="91">
        <v>35919</v>
      </c>
      <c r="N5" s="94">
        <f>SUM(B5:M5)</f>
        <v>650792.31999999995</v>
      </c>
      <c r="O5" s="95"/>
      <c r="P5" s="91"/>
      <c r="Q5" s="91"/>
      <c r="R5" s="96">
        <f>N5+P5-Q5</f>
        <v>650792.31999999995</v>
      </c>
      <c r="S5" s="86"/>
    </row>
    <row r="6" spans="1:22" ht="27.75" customHeight="1" x14ac:dyDescent="0.2">
      <c r="A6" s="90" t="s">
        <v>16</v>
      </c>
      <c r="B6" s="91">
        <v>2393444.3199999998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4">
        <f t="shared" ref="N6:N52" si="0">SUM(B6:M6)</f>
        <v>2393444.3199999998</v>
      </c>
      <c r="O6" s="95"/>
      <c r="P6" s="91"/>
      <c r="Q6" s="91"/>
      <c r="R6" s="96">
        <f>N6+P6-Q6</f>
        <v>2393444.3199999998</v>
      </c>
      <c r="S6" s="86"/>
    </row>
    <row r="7" spans="1:22" ht="26.25" customHeight="1" x14ac:dyDescent="0.2">
      <c r="A7" s="90" t="s">
        <v>75</v>
      </c>
      <c r="B7" s="91">
        <v>72811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4">
        <f t="shared" si="0"/>
        <v>72811</v>
      </c>
      <c r="O7" s="95"/>
      <c r="P7" s="91"/>
      <c r="Q7" s="91"/>
      <c r="R7" s="96">
        <f>N7+P7-Q7</f>
        <v>72811</v>
      </c>
      <c r="S7" s="86"/>
    </row>
    <row r="8" spans="1:22" ht="15.75" customHeight="1" x14ac:dyDescent="0.2">
      <c r="A8" s="90" t="s">
        <v>76</v>
      </c>
      <c r="B8" s="91">
        <v>7451465</v>
      </c>
      <c r="C8" s="91">
        <v>1038743.58</v>
      </c>
      <c r="D8" s="91"/>
      <c r="E8" s="91"/>
      <c r="F8" s="91">
        <f>19327.4-435.11</f>
        <v>18892.29</v>
      </c>
      <c r="G8" s="91"/>
      <c r="H8" s="91"/>
      <c r="I8" s="91"/>
      <c r="J8" s="91"/>
      <c r="K8" s="91">
        <v>139244.6</v>
      </c>
      <c r="L8" s="91">
        <f>135004.74-46413.87</f>
        <v>88590.87</v>
      </c>
      <c r="M8" s="91">
        <v>508449</v>
      </c>
      <c r="N8" s="94">
        <f t="shared" si="0"/>
        <v>9245385.339999998</v>
      </c>
      <c r="O8" s="95"/>
      <c r="P8" s="91"/>
      <c r="Q8" s="91">
        <f>+'[2]Diarios Cxc Cxp relac (c)'!E36</f>
        <v>0</v>
      </c>
      <c r="R8" s="96">
        <f t="shared" ref="R8:R22" si="1">N8+P8-Q8</f>
        <v>9245385.339999998</v>
      </c>
      <c r="S8" s="86"/>
      <c r="T8" s="84"/>
    </row>
    <row r="9" spans="1:22" x14ac:dyDescent="0.2">
      <c r="A9" s="90" t="s">
        <v>77</v>
      </c>
      <c r="B9" s="91">
        <v>43714969</v>
      </c>
      <c r="C9" s="91"/>
      <c r="D9" s="91">
        <v>206183.31</v>
      </c>
      <c r="E9" s="91"/>
      <c r="F9" s="91"/>
      <c r="G9" s="91"/>
      <c r="H9" s="91"/>
      <c r="I9" s="91"/>
      <c r="J9" s="91"/>
      <c r="K9" s="91"/>
      <c r="L9" s="91"/>
      <c r="M9" s="91"/>
      <c r="N9" s="94">
        <f t="shared" si="0"/>
        <v>43921152.310000002</v>
      </c>
      <c r="O9" s="95" t="s">
        <v>168</v>
      </c>
      <c r="P9" s="91"/>
      <c r="Q9" s="91">
        <f>+'[2]Saldos interco. 2018'!E35</f>
        <v>13532178</v>
      </c>
      <c r="R9" s="91">
        <f t="shared" si="1"/>
        <v>30388974.310000002</v>
      </c>
      <c r="S9" s="86"/>
    </row>
    <row r="10" spans="1:22" ht="15.75" customHeight="1" x14ac:dyDescent="0.2">
      <c r="A10" s="90" t="s">
        <v>20</v>
      </c>
      <c r="B10" s="91">
        <v>4870336</v>
      </c>
      <c r="C10" s="92">
        <v>3965966.51</v>
      </c>
      <c r="D10" s="91">
        <v>748255.29</v>
      </c>
      <c r="E10" s="91"/>
      <c r="F10" s="91"/>
      <c r="G10" s="91"/>
      <c r="H10" s="91"/>
      <c r="I10" s="91"/>
      <c r="J10" s="91"/>
      <c r="K10" s="91">
        <v>559.4</v>
      </c>
      <c r="L10" s="91">
        <v>1575.41</v>
      </c>
      <c r="M10" s="91">
        <v>5794</v>
      </c>
      <c r="N10" s="94">
        <f t="shared" si="0"/>
        <v>9592486.6100000013</v>
      </c>
      <c r="O10" s="95"/>
      <c r="P10" s="91"/>
      <c r="Q10" s="91">
        <f>+'[2]Saldos interco. 2018'!E38</f>
        <v>129109</v>
      </c>
      <c r="R10" s="91">
        <f t="shared" si="1"/>
        <v>9463377.6100000013</v>
      </c>
      <c r="S10" s="86"/>
    </row>
    <row r="11" spans="1:22" ht="15.75" customHeight="1" x14ac:dyDescent="0.2">
      <c r="A11" s="90" t="s">
        <v>19</v>
      </c>
      <c r="B11" s="91">
        <v>4637.6499999999996</v>
      </c>
      <c r="C11" s="91"/>
      <c r="D11" s="91">
        <v>75998.52</v>
      </c>
      <c r="E11" s="91">
        <v>130280.91</v>
      </c>
      <c r="F11" s="91">
        <f>84834.91+68836.97</f>
        <v>153671.88</v>
      </c>
      <c r="G11" s="91"/>
      <c r="H11" s="91">
        <v>7988.59</v>
      </c>
      <c r="I11" s="91"/>
      <c r="J11" s="91"/>
      <c r="K11" s="91">
        <v>288551.28000000003</v>
      </c>
      <c r="L11" s="91">
        <v>90076</v>
      </c>
      <c r="M11" s="91">
        <v>8494</v>
      </c>
      <c r="N11" s="94">
        <f t="shared" si="0"/>
        <v>759698.83000000007</v>
      </c>
      <c r="O11" s="95"/>
      <c r="P11" s="91"/>
      <c r="Q11" s="91"/>
      <c r="R11" s="96">
        <f t="shared" si="1"/>
        <v>759698.83000000007</v>
      </c>
      <c r="S11" s="86"/>
    </row>
    <row r="12" spans="1:22" ht="15.75" customHeight="1" x14ac:dyDescent="0.2">
      <c r="A12" s="90" t="s">
        <v>21</v>
      </c>
      <c r="B12" s="91">
        <v>501034</v>
      </c>
      <c r="C12" s="92">
        <v>4845.12</v>
      </c>
      <c r="D12" s="91"/>
      <c r="E12" s="91"/>
      <c r="F12" s="91"/>
      <c r="G12" s="91"/>
      <c r="H12" s="91"/>
      <c r="I12" s="91"/>
      <c r="J12" s="91"/>
      <c r="K12" s="91">
        <v>13778.19</v>
      </c>
      <c r="L12" s="91"/>
      <c r="M12" s="91"/>
      <c r="N12" s="94">
        <f t="shared" si="0"/>
        <v>519657.31</v>
      </c>
      <c r="O12" s="95"/>
      <c r="P12" s="91"/>
      <c r="Q12" s="91"/>
      <c r="R12" s="96">
        <f t="shared" si="1"/>
        <v>519657.31</v>
      </c>
      <c r="S12" s="86"/>
    </row>
    <row r="13" spans="1:22" ht="15.75" customHeight="1" x14ac:dyDescent="0.2">
      <c r="A13" s="90" t="s">
        <v>22</v>
      </c>
      <c r="B13" s="91">
        <v>23914705.34</v>
      </c>
      <c r="C13" s="91"/>
      <c r="D13" s="91"/>
      <c r="E13" s="91"/>
      <c r="F13" s="91"/>
      <c r="G13" s="91"/>
      <c r="H13" s="91"/>
      <c r="I13" s="91"/>
      <c r="J13" s="91"/>
      <c r="K13" s="91">
        <v>498910.76</v>
      </c>
      <c r="L13" s="91"/>
      <c r="M13" s="91"/>
      <c r="N13" s="94">
        <f t="shared" si="0"/>
        <v>24413616.100000001</v>
      </c>
      <c r="O13" s="95"/>
      <c r="P13" s="91"/>
      <c r="Q13" s="91"/>
      <c r="R13" s="96">
        <f t="shared" si="1"/>
        <v>24413616.100000001</v>
      </c>
      <c r="S13" s="86"/>
    </row>
    <row r="14" spans="1:22" ht="15.75" customHeight="1" x14ac:dyDescent="0.2">
      <c r="A14" s="90" t="s">
        <v>78</v>
      </c>
      <c r="B14" s="91">
        <v>3150764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4">
        <f t="shared" si="0"/>
        <v>3150764</v>
      </c>
      <c r="O14" s="95"/>
      <c r="P14" s="91"/>
      <c r="Q14" s="91">
        <f>+'[2]Saldos interco. 2018'!E36</f>
        <v>0</v>
      </c>
      <c r="R14" s="91">
        <f t="shared" si="1"/>
        <v>3150764</v>
      </c>
      <c r="S14" s="86"/>
    </row>
    <row r="15" spans="1:22" ht="15.75" customHeight="1" x14ac:dyDescent="0.2">
      <c r="A15" s="90" t="s">
        <v>79</v>
      </c>
      <c r="B15" s="91">
        <v>1449893</v>
      </c>
      <c r="C15" s="91"/>
      <c r="D15" s="91"/>
      <c r="E15" s="91"/>
      <c r="F15" s="91"/>
      <c r="G15" s="91"/>
      <c r="H15" s="91"/>
      <c r="I15" s="91"/>
      <c r="J15" s="91"/>
      <c r="K15" s="91"/>
      <c r="L15" s="91">
        <v>1569.48</v>
      </c>
      <c r="M15" s="91"/>
      <c r="N15" s="94">
        <f t="shared" si="0"/>
        <v>1451462.48</v>
      </c>
      <c r="O15" s="95"/>
      <c r="P15" s="91"/>
      <c r="Q15" s="91"/>
      <c r="R15" s="91">
        <f t="shared" si="1"/>
        <v>1451462.48</v>
      </c>
      <c r="S15" s="86"/>
      <c r="V15" s="84">
        <f>B15-R15</f>
        <v>-1569.4799999999814</v>
      </c>
    </row>
    <row r="16" spans="1:22" ht="14.25" customHeight="1" x14ac:dyDescent="0.2">
      <c r="A16" s="90" t="s">
        <v>80</v>
      </c>
      <c r="B16" s="91">
        <v>58219865</v>
      </c>
      <c r="C16" s="91">
        <v>38399112.32</v>
      </c>
      <c r="D16" s="91">
        <v>3405286.26</v>
      </c>
      <c r="E16" s="91"/>
      <c r="F16" s="91">
        <v>218630.81</v>
      </c>
      <c r="G16" s="91">
        <v>360239.48</v>
      </c>
      <c r="H16" s="91"/>
      <c r="I16" s="91"/>
      <c r="J16" s="91">
        <v>1140</v>
      </c>
      <c r="K16" s="91">
        <v>1161179.55</v>
      </c>
      <c r="L16" s="91">
        <v>314972.68000000023</v>
      </c>
      <c r="M16" s="91">
        <v>392648</v>
      </c>
      <c r="N16" s="94">
        <f t="shared" si="0"/>
        <v>102473074.10000001</v>
      </c>
      <c r="O16" s="95"/>
      <c r="P16" s="91"/>
      <c r="Q16" s="91"/>
      <c r="R16" s="96">
        <f t="shared" si="1"/>
        <v>102473074.10000001</v>
      </c>
      <c r="S16" s="86"/>
    </row>
    <row r="17" spans="1:20" ht="15.75" customHeight="1" x14ac:dyDescent="0.2">
      <c r="A17" s="90" t="s">
        <v>81</v>
      </c>
      <c r="B17" s="91">
        <v>624011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4">
        <f t="shared" si="0"/>
        <v>624011</v>
      </c>
      <c r="O17" s="95"/>
      <c r="P17" s="91"/>
      <c r="Q17" s="91"/>
      <c r="R17" s="96">
        <f t="shared" si="1"/>
        <v>624011</v>
      </c>
      <c r="S17" s="86"/>
    </row>
    <row r="18" spans="1:20" ht="15.75" customHeight="1" x14ac:dyDescent="0.2">
      <c r="A18" s="90" t="s">
        <v>82</v>
      </c>
      <c r="B18" s="91">
        <v>14218560.43</v>
      </c>
      <c r="C18" s="95">
        <v>0</v>
      </c>
      <c r="D18" s="91"/>
      <c r="E18" s="91"/>
      <c r="F18" s="91"/>
      <c r="G18" s="91"/>
      <c r="H18" s="91"/>
      <c r="I18" s="91"/>
      <c r="J18" s="91"/>
      <c r="K18" s="91"/>
      <c r="L18" s="91">
        <v>78647.520000000019</v>
      </c>
      <c r="M18" s="91"/>
      <c r="N18" s="94">
        <f t="shared" si="0"/>
        <v>14297207.949999999</v>
      </c>
      <c r="O18" s="95" t="s">
        <v>169</v>
      </c>
      <c r="P18" s="91">
        <f>'[2]Inversiones 2018'!B117</f>
        <v>0</v>
      </c>
      <c r="Q18" s="91">
        <f>+'[2]Saldos interco. 2018'!E37</f>
        <v>865104</v>
      </c>
      <c r="R18" s="96">
        <f t="shared" si="1"/>
        <v>13432103.949999999</v>
      </c>
      <c r="S18" s="86"/>
      <c r="T18" s="84"/>
    </row>
    <row r="19" spans="1:20" x14ac:dyDescent="0.2">
      <c r="A19" s="90" t="s">
        <v>28</v>
      </c>
      <c r="B19" s="91">
        <v>1422229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4">
        <f t="shared" si="0"/>
        <v>1422229</v>
      </c>
      <c r="O19" s="95"/>
      <c r="P19" s="91"/>
      <c r="Q19" s="91"/>
      <c r="R19" s="96">
        <f t="shared" si="1"/>
        <v>1422229</v>
      </c>
      <c r="S19" s="86"/>
    </row>
    <row r="20" spans="1:20" x14ac:dyDescent="0.2">
      <c r="A20" s="90" t="s">
        <v>29</v>
      </c>
      <c r="B20" s="91">
        <v>39016871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4">
        <f t="shared" si="0"/>
        <v>39016871</v>
      </c>
      <c r="O20" s="95" t="s">
        <v>170</v>
      </c>
      <c r="P20" s="91">
        <f>'[2]Inversiones 2018'!B67</f>
        <v>1598182.88</v>
      </c>
      <c r="Q20" s="91">
        <f>SUM('[2]Inversiones 2018'!C51:C61)</f>
        <v>36856053.989999995</v>
      </c>
      <c r="R20" s="96">
        <f t="shared" si="1"/>
        <v>3758999.890000008</v>
      </c>
      <c r="S20" s="86"/>
    </row>
    <row r="21" spans="1:20" x14ac:dyDescent="0.2">
      <c r="A21" s="90" t="s">
        <v>83</v>
      </c>
      <c r="B21" s="97">
        <v>261500</v>
      </c>
      <c r="C21" s="92">
        <v>100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4">
        <f t="shared" si="0"/>
        <v>261600</v>
      </c>
      <c r="O21" s="95"/>
      <c r="P21" s="91"/>
      <c r="Q21" s="91"/>
      <c r="R21" s="96">
        <f t="shared" si="1"/>
        <v>261600</v>
      </c>
      <c r="S21" s="86"/>
    </row>
    <row r="22" spans="1:20" x14ac:dyDescent="0.2">
      <c r="A22" s="90" t="s">
        <v>30</v>
      </c>
      <c r="B22" s="97">
        <v>105894</v>
      </c>
      <c r="C22" s="91"/>
      <c r="D22" s="91"/>
      <c r="E22" s="91"/>
      <c r="F22" s="91"/>
      <c r="G22" s="91"/>
      <c r="H22" s="91"/>
      <c r="I22" s="91"/>
      <c r="J22" s="91"/>
      <c r="K22" s="91">
        <v>2963500</v>
      </c>
      <c r="L22" s="91"/>
      <c r="M22" s="91">
        <v>71</v>
      </c>
      <c r="N22" s="94">
        <f t="shared" si="0"/>
        <v>3069465</v>
      </c>
      <c r="O22" s="95"/>
      <c r="P22" s="91"/>
      <c r="Q22" s="91"/>
      <c r="R22" s="96">
        <f t="shared" si="1"/>
        <v>3069465</v>
      </c>
      <c r="S22" s="86"/>
    </row>
    <row r="23" spans="1:20" x14ac:dyDescent="0.2">
      <c r="A23" s="98" t="s">
        <v>84</v>
      </c>
      <c r="B23" s="99">
        <f t="shared" ref="B23:M23" si="2">SUM(B5:B22)</f>
        <v>201972536.55000001</v>
      </c>
      <c r="C23" s="100">
        <f t="shared" si="2"/>
        <v>43415660.759999998</v>
      </c>
      <c r="D23" s="100">
        <f t="shared" si="2"/>
        <v>4437151.59</v>
      </c>
      <c r="E23" s="100">
        <f t="shared" si="2"/>
        <v>132970.31</v>
      </c>
      <c r="F23" s="100">
        <f t="shared" si="2"/>
        <v>395040.23</v>
      </c>
      <c r="G23" s="100">
        <f t="shared" si="2"/>
        <v>360239.48</v>
      </c>
      <c r="H23" s="100">
        <f t="shared" si="2"/>
        <v>7988.59</v>
      </c>
      <c r="I23" s="100">
        <f t="shared" si="2"/>
        <v>10000</v>
      </c>
      <c r="J23" s="100">
        <f t="shared" si="2"/>
        <v>1140</v>
      </c>
      <c r="K23" s="100">
        <f t="shared" ref="K23" si="3">SUM(K5:K22)</f>
        <v>5068663</v>
      </c>
      <c r="L23" s="100">
        <f t="shared" si="2"/>
        <v>582963.16000000027</v>
      </c>
      <c r="M23" s="100">
        <f t="shared" si="2"/>
        <v>951375</v>
      </c>
      <c r="N23" s="100">
        <f t="shared" si="0"/>
        <v>257335728.66999999</v>
      </c>
      <c r="O23" s="100"/>
      <c r="P23" s="100">
        <f>+SUM(P5:P22)</f>
        <v>1598182.88</v>
      </c>
      <c r="Q23" s="100">
        <f>+SUM(Q5:Q22)</f>
        <v>51382444.989999995</v>
      </c>
      <c r="R23" s="100">
        <f>SUM(R5:R22)</f>
        <v>207551466.56000003</v>
      </c>
      <c r="S23" s="86"/>
      <c r="T23" s="101"/>
    </row>
    <row r="24" spans="1:20" x14ac:dyDescent="0.2">
      <c r="A24" s="90" t="s">
        <v>85</v>
      </c>
      <c r="B24" s="91">
        <v>3792926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4">
        <f t="shared" si="0"/>
        <v>3792926</v>
      </c>
      <c r="O24" s="95"/>
      <c r="P24" s="91"/>
      <c r="Q24" s="91"/>
      <c r="R24" s="96">
        <f>N24-P24+Q24</f>
        <v>3792926</v>
      </c>
      <c r="S24" s="86"/>
    </row>
    <row r="25" spans="1:20" x14ac:dyDescent="0.2">
      <c r="A25" s="90" t="s">
        <v>35</v>
      </c>
      <c r="B25" s="91">
        <v>11469368</v>
      </c>
      <c r="C25" s="91"/>
      <c r="D25" s="91"/>
      <c r="E25" s="91"/>
      <c r="F25" s="91"/>
      <c r="G25" s="91"/>
      <c r="H25" s="91"/>
      <c r="I25" s="91"/>
      <c r="J25" s="91"/>
      <c r="K25" s="91"/>
      <c r="L25" s="91">
        <v>990769.2</v>
      </c>
      <c r="M25" s="91"/>
      <c r="N25" s="94">
        <f t="shared" si="0"/>
        <v>12460137.199999999</v>
      </c>
      <c r="O25" s="95"/>
      <c r="P25" s="91"/>
      <c r="Q25" s="91"/>
      <c r="R25" s="96">
        <f>N25-P25+Q25</f>
        <v>12460137.199999999</v>
      </c>
      <c r="S25" s="86"/>
    </row>
    <row r="26" spans="1:20" x14ac:dyDescent="0.2">
      <c r="A26" s="90" t="s">
        <v>86</v>
      </c>
      <c r="B26" s="91">
        <v>8587943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4">
        <f t="shared" si="0"/>
        <v>8587943</v>
      </c>
      <c r="O26" s="95"/>
      <c r="P26" s="91"/>
      <c r="Q26" s="91"/>
      <c r="R26" s="96">
        <f>N26-P26+Q26</f>
        <v>8587943</v>
      </c>
      <c r="S26" s="86"/>
    </row>
    <row r="27" spans="1:20" ht="15.75" customHeight="1" x14ac:dyDescent="0.2">
      <c r="A27" s="90" t="s">
        <v>87</v>
      </c>
      <c r="B27" s="91">
        <v>15777543</v>
      </c>
      <c r="C27" s="91">
        <v>1116286.01</v>
      </c>
      <c r="D27" s="91">
        <v>38824.06</v>
      </c>
      <c r="E27" s="91"/>
      <c r="F27" s="91"/>
      <c r="G27" s="91"/>
      <c r="H27" s="91"/>
      <c r="I27" s="91"/>
      <c r="J27" s="91"/>
      <c r="K27" s="91">
        <v>147634.16</v>
      </c>
      <c r="L27" s="91"/>
      <c r="M27" s="91">
        <v>315289</v>
      </c>
      <c r="N27" s="94">
        <f t="shared" si="0"/>
        <v>17395576.23</v>
      </c>
      <c r="O27" s="95"/>
      <c r="P27" s="91">
        <f>+'[2]Saldos interco. 2018'!D34</f>
        <v>282467</v>
      </c>
      <c r="Q27" s="91"/>
      <c r="R27" s="96">
        <f t="shared" ref="R27:R39" si="4">N27-P27+Q27</f>
        <v>17113109.23</v>
      </c>
      <c r="S27" s="86"/>
    </row>
    <row r="28" spans="1:20" ht="15.75" customHeight="1" x14ac:dyDescent="0.2">
      <c r="A28" s="90" t="s">
        <v>88</v>
      </c>
      <c r="B28" s="91">
        <v>1933474</v>
      </c>
      <c r="C28" s="91">
        <v>2236854.65</v>
      </c>
      <c r="D28" s="91">
        <v>673934</v>
      </c>
      <c r="E28" s="91"/>
      <c r="F28" s="91">
        <v>1485555.22</v>
      </c>
      <c r="G28" s="91"/>
      <c r="H28" s="91"/>
      <c r="I28" s="91"/>
      <c r="J28" s="91"/>
      <c r="K28" s="91">
        <v>6330.5</v>
      </c>
      <c r="L28" s="91"/>
      <c r="M28" s="91">
        <v>1023076</v>
      </c>
      <c r="N28" s="94">
        <f t="shared" si="0"/>
        <v>7359224.3700000001</v>
      </c>
      <c r="O28" s="95"/>
      <c r="P28" s="91">
        <f>+'[2]Saldos interco. 2018'!D31</f>
        <v>1261235</v>
      </c>
      <c r="Q28" s="91"/>
      <c r="R28" s="96">
        <f t="shared" si="4"/>
        <v>6097989.3700000001</v>
      </c>
      <c r="S28" s="86"/>
    </row>
    <row r="29" spans="1:20" ht="15.75" customHeight="1" x14ac:dyDescent="0.2">
      <c r="A29" s="90" t="s">
        <v>39</v>
      </c>
      <c r="B29" s="91">
        <v>6713205</v>
      </c>
      <c r="C29" s="91"/>
      <c r="D29" s="91"/>
      <c r="E29" s="91"/>
      <c r="F29" s="91"/>
      <c r="G29" s="91"/>
      <c r="H29" s="91"/>
      <c r="I29" s="91"/>
      <c r="J29" s="91"/>
      <c r="K29" s="91">
        <v>3468.99</v>
      </c>
      <c r="L29" s="91">
        <v>13582.420000000002</v>
      </c>
      <c r="M29" s="91">
        <v>52570</v>
      </c>
      <c r="N29" s="94">
        <f t="shared" si="0"/>
        <v>6782826.4100000001</v>
      </c>
      <c r="O29" s="95"/>
      <c r="P29" s="91"/>
      <c r="Q29" s="91"/>
      <c r="R29" s="96">
        <f t="shared" si="4"/>
        <v>6782826.4100000001</v>
      </c>
      <c r="S29" s="86"/>
    </row>
    <row r="30" spans="1:20" ht="15.75" customHeight="1" x14ac:dyDescent="0.2">
      <c r="A30" s="90" t="s">
        <v>40</v>
      </c>
      <c r="B30" s="91">
        <v>2325545</v>
      </c>
      <c r="C30" s="91"/>
      <c r="D30" s="91">
        <v>8993.91</v>
      </c>
      <c r="E30" s="91">
        <v>13780.01</v>
      </c>
      <c r="F30" s="91"/>
      <c r="G30" s="91"/>
      <c r="H30" s="91"/>
      <c r="I30" s="91"/>
      <c r="J30" s="91"/>
      <c r="K30" s="91"/>
      <c r="L30" s="91">
        <v>5839.7800000000279</v>
      </c>
      <c r="M30" s="91"/>
      <c r="N30" s="94">
        <f t="shared" si="0"/>
        <v>2354158.7000000002</v>
      </c>
      <c r="O30" s="95"/>
      <c r="P30" s="91"/>
      <c r="Q30" s="91"/>
      <c r="R30" s="96">
        <f>N30-P30+Q30</f>
        <v>2354158.7000000002</v>
      </c>
      <c r="S30" s="86"/>
    </row>
    <row r="31" spans="1:20" ht="15.75" customHeight="1" x14ac:dyDescent="0.2">
      <c r="A31" s="90" t="s">
        <v>89</v>
      </c>
      <c r="B31" s="91">
        <v>9631317</v>
      </c>
      <c r="C31" s="91"/>
      <c r="D31" s="91"/>
      <c r="E31" s="91"/>
      <c r="F31" s="91"/>
      <c r="G31" s="91"/>
      <c r="H31" s="91"/>
      <c r="I31" s="91"/>
      <c r="J31" s="91"/>
      <c r="K31" s="91">
        <v>36596.53</v>
      </c>
      <c r="L31" s="91"/>
      <c r="M31" s="91"/>
      <c r="N31" s="94">
        <f t="shared" si="0"/>
        <v>9667913.5299999993</v>
      </c>
      <c r="O31" s="95"/>
      <c r="P31" s="91"/>
      <c r="Q31" s="91"/>
      <c r="R31" s="96">
        <f t="shared" si="4"/>
        <v>9667913.5299999993</v>
      </c>
      <c r="S31" s="86"/>
    </row>
    <row r="32" spans="1:20" ht="15.75" customHeight="1" x14ac:dyDescent="0.2">
      <c r="A32" s="90" t="s">
        <v>90</v>
      </c>
      <c r="B32" s="91">
        <v>6162582</v>
      </c>
      <c r="C32" s="91"/>
      <c r="D32" s="91">
        <v>22081.119999999999</v>
      </c>
      <c r="E32" s="91"/>
      <c r="F32" s="91"/>
      <c r="G32" s="91"/>
      <c r="H32" s="91"/>
      <c r="I32" s="91"/>
      <c r="J32" s="91"/>
      <c r="K32" s="91">
        <v>8067.18</v>
      </c>
      <c r="L32" s="91">
        <v>17426.740000000002</v>
      </c>
      <c r="M32" s="91"/>
      <c r="N32" s="94">
        <f t="shared" si="0"/>
        <v>6210157.04</v>
      </c>
      <c r="O32" s="95"/>
      <c r="P32" s="91"/>
      <c r="Q32" s="91"/>
      <c r="R32" s="96">
        <f t="shared" si="4"/>
        <v>6210157.04</v>
      </c>
      <c r="S32" s="86"/>
    </row>
    <row r="33" spans="1:23" ht="15.75" customHeight="1" x14ac:dyDescent="0.2">
      <c r="A33" s="90" t="s">
        <v>91</v>
      </c>
      <c r="B33" s="97">
        <v>4378387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4">
        <f t="shared" si="0"/>
        <v>4378387</v>
      </c>
      <c r="O33" s="95"/>
      <c r="P33" s="91"/>
      <c r="Q33" s="91"/>
      <c r="R33" s="96">
        <f t="shared" si="4"/>
        <v>4378387</v>
      </c>
      <c r="S33" s="86"/>
    </row>
    <row r="34" spans="1:23" ht="15.75" customHeight="1" x14ac:dyDescent="0.2">
      <c r="A34" s="90" t="s">
        <v>46</v>
      </c>
      <c r="B34" s="97">
        <v>2447101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4">
        <f t="shared" si="0"/>
        <v>2447101</v>
      </c>
      <c r="O34" s="95"/>
      <c r="P34" s="91"/>
      <c r="Q34" s="91"/>
      <c r="R34" s="96">
        <f t="shared" si="4"/>
        <v>2447101</v>
      </c>
      <c r="S34" s="86"/>
    </row>
    <row r="35" spans="1:23" ht="15.75" customHeight="1" x14ac:dyDescent="0.2">
      <c r="A35" s="90" t="s">
        <v>92</v>
      </c>
      <c r="B35" s="97">
        <v>2345800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4">
        <f t="shared" si="0"/>
        <v>2345800</v>
      </c>
      <c r="O35" s="95"/>
      <c r="P35" s="91"/>
      <c r="Q35" s="91"/>
      <c r="R35" s="96">
        <f t="shared" si="4"/>
        <v>2345800</v>
      </c>
      <c r="S35" s="86"/>
    </row>
    <row r="36" spans="1:23" ht="15.75" customHeight="1" x14ac:dyDescent="0.2">
      <c r="A36" s="90" t="s">
        <v>93</v>
      </c>
      <c r="B36" s="97">
        <v>10628880</v>
      </c>
      <c r="C36" s="91"/>
      <c r="D36" s="97">
        <v>1660951.53</v>
      </c>
      <c r="E36" s="91"/>
      <c r="F36" s="91"/>
      <c r="G36" s="91"/>
      <c r="H36" s="91"/>
      <c r="I36" s="91"/>
      <c r="J36" s="91"/>
      <c r="K36" s="97">
        <v>4045175.58</v>
      </c>
      <c r="L36" s="91"/>
      <c r="M36" s="91"/>
      <c r="N36" s="94">
        <f t="shared" si="0"/>
        <v>16335007.109999999</v>
      </c>
      <c r="O36" s="95"/>
      <c r="P36" s="91">
        <f>+'[2]Saldos interco. 2018'!D32</f>
        <v>5743712</v>
      </c>
      <c r="Q36" s="91"/>
      <c r="R36" s="96">
        <f t="shared" si="4"/>
        <v>10591295.109999999</v>
      </c>
      <c r="S36" s="86"/>
    </row>
    <row r="37" spans="1:23" ht="15.75" customHeight="1" x14ac:dyDescent="0.2">
      <c r="A37" s="90" t="s">
        <v>94</v>
      </c>
      <c r="B37" s="97">
        <v>1086071</v>
      </c>
      <c r="C37" s="91">
        <v>7512890</v>
      </c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4">
        <f t="shared" si="0"/>
        <v>8598961</v>
      </c>
      <c r="O37" s="95"/>
      <c r="P37" s="91">
        <f>+'[2]Saldos interco. 2018'!D33</f>
        <v>7238977</v>
      </c>
      <c r="Q37" s="91"/>
      <c r="R37" s="96">
        <f>N37-P37+Q37</f>
        <v>1359984</v>
      </c>
      <c r="S37" s="86"/>
    </row>
    <row r="38" spans="1:23" ht="15.75" customHeight="1" x14ac:dyDescent="0.2">
      <c r="A38" s="90" t="s">
        <v>95</v>
      </c>
      <c r="B38" s="97">
        <v>5909358.8300000001</v>
      </c>
      <c r="C38" s="91"/>
      <c r="D38" s="91"/>
      <c r="E38" s="91"/>
      <c r="F38" s="91"/>
      <c r="G38" s="91"/>
      <c r="H38" s="91"/>
      <c r="I38" s="91"/>
      <c r="J38" s="91"/>
      <c r="K38" s="97"/>
      <c r="L38" s="97">
        <v>49648.600000000006</v>
      </c>
      <c r="M38" s="91"/>
      <c r="N38" s="94">
        <f t="shared" si="0"/>
        <v>5959007.4299999997</v>
      </c>
      <c r="O38" s="95"/>
      <c r="P38" s="91"/>
      <c r="Q38" s="91"/>
      <c r="R38" s="96">
        <f t="shared" si="4"/>
        <v>5959007.4299999997</v>
      </c>
      <c r="S38" s="86"/>
    </row>
    <row r="39" spans="1:23" ht="15.75" customHeight="1" x14ac:dyDescent="0.2">
      <c r="A39" s="90" t="s">
        <v>89</v>
      </c>
      <c r="B39" s="97">
        <v>24796057</v>
      </c>
      <c r="C39" s="91"/>
      <c r="D39" s="91"/>
      <c r="E39" s="91"/>
      <c r="F39" s="91"/>
      <c r="G39" s="91"/>
      <c r="H39" s="91"/>
      <c r="I39" s="91"/>
      <c r="J39" s="91"/>
      <c r="K39" s="97"/>
      <c r="L39" s="91"/>
      <c r="M39" s="91"/>
      <c r="N39" s="94">
        <f t="shared" si="0"/>
        <v>24796057</v>
      </c>
      <c r="O39" s="95"/>
      <c r="P39" s="91"/>
      <c r="Q39" s="91"/>
      <c r="R39" s="96">
        <f t="shared" si="4"/>
        <v>24796057</v>
      </c>
      <c r="S39" s="86"/>
    </row>
    <row r="40" spans="1:23" ht="15.75" customHeight="1" thickBot="1" x14ac:dyDescent="0.25">
      <c r="A40" s="90" t="s">
        <v>53</v>
      </c>
      <c r="B40" s="102">
        <v>2580000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3">
        <f t="shared" si="0"/>
        <v>2580000</v>
      </c>
      <c r="O40" s="95"/>
      <c r="P40" s="91"/>
      <c r="Q40" s="91"/>
      <c r="R40" s="104">
        <f>N40-P40+Q40</f>
        <v>2580000</v>
      </c>
      <c r="S40" s="86"/>
    </row>
    <row r="41" spans="1:23" x14ac:dyDescent="0.2">
      <c r="A41" s="98" t="s">
        <v>50</v>
      </c>
      <c r="B41" s="99">
        <f>SUM(B24:B40)</f>
        <v>120565557.83</v>
      </c>
      <c r="C41" s="100">
        <f t="shared" ref="C41:M41" si="5">SUM(C25:C40)</f>
        <v>10866030.66</v>
      </c>
      <c r="D41" s="100">
        <f t="shared" si="5"/>
        <v>2404784.62</v>
      </c>
      <c r="E41" s="100">
        <f t="shared" si="5"/>
        <v>13780.01</v>
      </c>
      <c r="F41" s="100">
        <f t="shared" si="5"/>
        <v>1485555.22</v>
      </c>
      <c r="G41" s="100">
        <f t="shared" si="5"/>
        <v>0</v>
      </c>
      <c r="H41" s="100">
        <f t="shared" si="5"/>
        <v>0</v>
      </c>
      <c r="I41" s="100">
        <f t="shared" si="5"/>
        <v>0</v>
      </c>
      <c r="J41" s="100">
        <f t="shared" si="5"/>
        <v>0</v>
      </c>
      <c r="K41" s="100">
        <f t="shared" si="5"/>
        <v>4247272.9400000004</v>
      </c>
      <c r="L41" s="100">
        <f t="shared" si="5"/>
        <v>1077266.74</v>
      </c>
      <c r="M41" s="100">
        <f t="shared" si="5"/>
        <v>1390935</v>
      </c>
      <c r="N41" s="100">
        <f t="shared" si="0"/>
        <v>142051183.02000001</v>
      </c>
      <c r="O41" s="100"/>
      <c r="P41" s="100">
        <f>SUM(P24:P40)</f>
        <v>14526391</v>
      </c>
      <c r="Q41" s="100">
        <f>SUM(Q24:Q40)</f>
        <v>0</v>
      </c>
      <c r="R41" s="100">
        <f>SUM(R24:R40)</f>
        <v>127524792.02000001</v>
      </c>
      <c r="S41" s="86"/>
    </row>
    <row r="42" spans="1:23" ht="15.75" customHeight="1" x14ac:dyDescent="0.2">
      <c r="A42" s="90" t="s">
        <v>96</v>
      </c>
      <c r="B42" s="91">
        <v>35042687</v>
      </c>
      <c r="C42" s="105">
        <v>5000</v>
      </c>
      <c r="D42" s="105">
        <v>1105000</v>
      </c>
      <c r="E42" s="105">
        <v>10000</v>
      </c>
      <c r="F42" s="91">
        <v>1000</v>
      </c>
      <c r="G42" s="91">
        <v>1000</v>
      </c>
      <c r="H42" s="91">
        <v>5000</v>
      </c>
      <c r="I42" s="91">
        <v>10000</v>
      </c>
      <c r="J42" s="91">
        <v>800</v>
      </c>
      <c r="K42" s="94">
        <v>800</v>
      </c>
      <c r="L42" s="91">
        <v>3661400</v>
      </c>
      <c r="M42" s="91">
        <v>10000</v>
      </c>
      <c r="N42" s="94">
        <f t="shared" si="0"/>
        <v>39852687</v>
      </c>
      <c r="O42" s="95" t="s">
        <v>171</v>
      </c>
      <c r="P42" s="91">
        <f>SUM('[2]Inversiones 2018'!B33:B42)+'[2]Inversiones 2018'!B100+Q43+P9</f>
        <v>4810339.983</v>
      </c>
      <c r="Q42" s="91">
        <f>-Q47</f>
        <v>339.983</v>
      </c>
      <c r="R42" s="96">
        <f>N42-P42+Q42</f>
        <v>35042687</v>
      </c>
      <c r="S42" s="86">
        <f>B42-R42+Q43</f>
        <v>10000</v>
      </c>
      <c r="T42" s="101"/>
    </row>
    <row r="43" spans="1:23" ht="15.75" customHeight="1" x14ac:dyDescent="0.2">
      <c r="A43" s="90" t="s">
        <v>105</v>
      </c>
      <c r="B43" s="91"/>
      <c r="C43" s="105"/>
      <c r="D43" s="105"/>
      <c r="E43" s="105"/>
      <c r="F43" s="91"/>
      <c r="G43" s="91"/>
      <c r="H43" s="91"/>
      <c r="I43" s="91"/>
      <c r="J43" s="91"/>
      <c r="K43" s="94"/>
      <c r="L43" s="91"/>
      <c r="M43" s="91">
        <v>-10000</v>
      </c>
      <c r="N43" s="94">
        <f t="shared" si="0"/>
        <v>-10000</v>
      </c>
      <c r="O43" s="95" t="s">
        <v>168</v>
      </c>
      <c r="P43" s="91"/>
      <c r="Q43" s="91">
        <v>10000</v>
      </c>
      <c r="R43" s="96">
        <f>N43-P43+Q43</f>
        <v>0</v>
      </c>
      <c r="S43" s="86"/>
      <c r="T43" s="101"/>
    </row>
    <row r="44" spans="1:23" ht="15.75" customHeight="1" x14ac:dyDescent="0.2">
      <c r="A44" s="90" t="s">
        <v>97</v>
      </c>
      <c r="B44" s="91">
        <v>921</v>
      </c>
      <c r="C44" s="105">
        <v>37142894.460000001</v>
      </c>
      <c r="D44" s="105">
        <v>877313.05</v>
      </c>
      <c r="E44" s="91"/>
      <c r="F44" s="91">
        <v>49015</v>
      </c>
      <c r="G44" s="91">
        <v>330450</v>
      </c>
      <c r="H44" s="91"/>
      <c r="I44" s="91"/>
      <c r="J44" s="91"/>
      <c r="K44" s="91">
        <v>1833417.66</v>
      </c>
      <c r="L44" s="91">
        <v>406799.86000000004</v>
      </c>
      <c r="M44" s="91"/>
      <c r="N44" s="94">
        <f t="shared" si="0"/>
        <v>40640811.029999994</v>
      </c>
      <c r="O44" s="95" t="s">
        <v>171</v>
      </c>
      <c r="P44" s="91">
        <f>SUM('[2]Inversiones 2018'!B44:B49)+'[2]Inversiones 2018'!B101</f>
        <v>40639890.030000001</v>
      </c>
      <c r="Q44" s="91"/>
      <c r="R44" s="96">
        <f t="shared" ref="R44:R51" si="6">N44-P44+Q44</f>
        <v>920.99999999254942</v>
      </c>
      <c r="S44" s="86">
        <f>B44-R44</f>
        <v>7.4505805969238281E-9</v>
      </c>
      <c r="T44" s="101"/>
      <c r="V44" s="106"/>
    </row>
    <row r="45" spans="1:23" ht="15.75" customHeight="1" x14ac:dyDescent="0.2">
      <c r="A45" s="90" t="s">
        <v>98</v>
      </c>
      <c r="B45" s="92">
        <v>5222508.5599999996</v>
      </c>
      <c r="C45" s="91"/>
      <c r="D45" s="91"/>
      <c r="E45" s="105">
        <v>74426.570000000007</v>
      </c>
      <c r="F45" s="91">
        <v>500</v>
      </c>
      <c r="G45" s="91"/>
      <c r="H45" s="91">
        <v>1226.1199999999999</v>
      </c>
      <c r="I45" s="91"/>
      <c r="J45" s="91"/>
      <c r="K45" s="91"/>
      <c r="L45" s="91"/>
      <c r="M45" s="91"/>
      <c r="N45" s="94">
        <f t="shared" si="0"/>
        <v>5298661.25</v>
      </c>
      <c r="O45" s="95" t="s">
        <v>172</v>
      </c>
      <c r="P45" s="91">
        <f>SUM('[2]Inversiones 2018'!B75:B77)+'[2]Inversiones 2018'!B102</f>
        <v>24154.783039999998</v>
      </c>
      <c r="Q45" s="91"/>
      <c r="R45" s="96">
        <f t="shared" si="6"/>
        <v>5274506.4669599999</v>
      </c>
      <c r="S45" s="86">
        <f t="shared" ref="S45:S49" si="7">B45-R45</f>
        <v>-51997.906960000284</v>
      </c>
      <c r="T45" s="101"/>
      <c r="U45" s="101"/>
    </row>
    <row r="46" spans="1:23" ht="15.75" customHeight="1" x14ac:dyDescent="0.2">
      <c r="A46" s="90" t="s">
        <v>99</v>
      </c>
      <c r="B46" s="91">
        <v>34797</v>
      </c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4">
        <f t="shared" si="0"/>
        <v>34797</v>
      </c>
      <c r="O46" s="95"/>
      <c r="P46" s="91">
        <f>'[2]Participaciones 2018'!AC22</f>
        <v>0</v>
      </c>
      <c r="Q46" s="91"/>
      <c r="R46" s="96">
        <f t="shared" si="6"/>
        <v>34797</v>
      </c>
      <c r="S46" s="86">
        <f t="shared" si="7"/>
        <v>0</v>
      </c>
      <c r="U46" s="101"/>
    </row>
    <row r="47" spans="1:23" ht="15.75" customHeight="1" x14ac:dyDescent="0.2">
      <c r="A47" s="90" t="s">
        <v>100</v>
      </c>
      <c r="B47" s="91">
        <v>227072</v>
      </c>
      <c r="C47" s="91"/>
      <c r="D47" s="91"/>
      <c r="E47" s="105"/>
      <c r="F47" s="91"/>
      <c r="G47" s="91">
        <v>109633</v>
      </c>
      <c r="H47" s="91"/>
      <c r="I47" s="91"/>
      <c r="J47" s="91">
        <f>340</f>
        <v>340</v>
      </c>
      <c r="K47" s="91"/>
      <c r="L47" s="91"/>
      <c r="M47" s="91"/>
      <c r="N47" s="94">
        <f t="shared" si="0"/>
        <v>337045</v>
      </c>
      <c r="O47" s="95" t="s">
        <v>172</v>
      </c>
      <c r="P47" s="91">
        <f>SUM('[2]Inversiones 2018'!B79:B80)+'[2]Inversiones 2018'!B104</f>
        <v>27408.267</v>
      </c>
      <c r="Q47" s="91">
        <f>-'[2]Participaciones 2018'!S23</f>
        <v>-339.983</v>
      </c>
      <c r="R47" s="96">
        <f t="shared" si="6"/>
        <v>309296.75</v>
      </c>
      <c r="S47" s="86">
        <f t="shared" si="7"/>
        <v>-82224.75</v>
      </c>
      <c r="U47" s="84"/>
      <c r="V47" s="84"/>
    </row>
    <row r="48" spans="1:23" ht="15.75" customHeight="1" x14ac:dyDescent="0.2">
      <c r="A48" s="90" t="s">
        <v>102</v>
      </c>
      <c r="B48" s="92">
        <v>-3202431</v>
      </c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4">
        <f t="shared" si="0"/>
        <v>-3202431</v>
      </c>
      <c r="O48" s="95"/>
      <c r="P48" s="91">
        <f>'[2]Participaciones 2018'!AC25</f>
        <v>0</v>
      </c>
      <c r="Q48" s="91"/>
      <c r="R48" s="96">
        <f t="shared" si="6"/>
        <v>-3202431</v>
      </c>
      <c r="S48" s="86">
        <f t="shared" si="7"/>
        <v>0</v>
      </c>
      <c r="U48" s="84"/>
      <c r="W48" s="86"/>
    </row>
    <row r="49" spans="1:23" ht="15.75" customHeight="1" x14ac:dyDescent="0.2">
      <c r="A49" s="90" t="s">
        <v>5</v>
      </c>
      <c r="B49" s="91">
        <v>1423943</v>
      </c>
      <c r="C49" s="92">
        <v>-1022673.47</v>
      </c>
      <c r="D49" s="91"/>
      <c r="E49" s="91"/>
      <c r="F49" s="91"/>
      <c r="G49" s="91"/>
      <c r="H49" s="91"/>
      <c r="I49" s="91"/>
      <c r="J49" s="91"/>
      <c r="K49" s="91"/>
      <c r="L49" s="91">
        <v>274690.03999999998</v>
      </c>
      <c r="M49" s="91"/>
      <c r="N49" s="94">
        <f t="shared" si="0"/>
        <v>675959.57000000007</v>
      </c>
      <c r="O49" s="95" t="s">
        <v>172</v>
      </c>
      <c r="P49" s="91">
        <f>'[2]Inversiones 2018'!B83</f>
        <v>0</v>
      </c>
      <c r="Q49" s="91">
        <f>'[2]Inversiones 2018'!C82+'[2]Inversiones 2018'!C105</f>
        <v>252716.93240600004</v>
      </c>
      <c r="R49" s="96">
        <f t="shared" si="6"/>
        <v>928676.50240600016</v>
      </c>
      <c r="S49" s="86">
        <f t="shared" si="7"/>
        <v>495266.49759399984</v>
      </c>
      <c r="W49" s="86"/>
    </row>
    <row r="50" spans="1:23" ht="15.75" customHeight="1" x14ac:dyDescent="0.2">
      <c r="A50" s="90" t="s">
        <v>103</v>
      </c>
      <c r="B50" s="91">
        <f>32771651.62+495801.09+B69</f>
        <v>42657481.159999989</v>
      </c>
      <c r="C50" s="105">
        <v>-3575591.2</v>
      </c>
      <c r="D50" s="105">
        <f>2399.68+47654.21</f>
        <v>50053.89</v>
      </c>
      <c r="E50" s="105">
        <v>34763.730000000003</v>
      </c>
      <c r="F50" s="91">
        <f>387853.68-1451653.44+82150.45-159380.68</f>
        <v>-1141029.99</v>
      </c>
      <c r="G50" s="91">
        <f>-67370-13474</f>
        <v>-80844</v>
      </c>
      <c r="H50" s="91">
        <v>1762.47</v>
      </c>
      <c r="I50" s="91"/>
      <c r="J50" s="91"/>
      <c r="K50" s="92">
        <f>-412662.23-600165</f>
        <v>-1012827.23</v>
      </c>
      <c r="L50" s="91">
        <v>-4837193.87</v>
      </c>
      <c r="M50" s="91">
        <v>-439560</v>
      </c>
      <c r="N50" s="94">
        <f t="shared" si="0"/>
        <v>31657014.959999982</v>
      </c>
      <c r="O50" s="95" t="s">
        <v>173</v>
      </c>
      <c r="P50" s="91">
        <f>+'[2]Inversiones 2018'!B62+SUM('[2]Inversiones 2018'!B86:B90)+'[2]Inversiones 2018'!B95+P72</f>
        <v>4049981.073631078</v>
      </c>
      <c r="Q50" s="91">
        <f>+'[2]Inversiones 2018'!C62+SUM('[2]Inversiones 2018'!C85:C94)+'[2]Inversiones 2018'!C69+'[2]Inversiones 2018'!C106+Q72+'[2]Inversiones 2018'!C118</f>
        <v>6256016.9813880995</v>
      </c>
      <c r="R50" s="96">
        <f t="shared" si="6"/>
        <v>33863050.867757007</v>
      </c>
      <c r="S50" s="86">
        <f>B50-R50</f>
        <v>8794430.2922429815</v>
      </c>
      <c r="T50" s="84">
        <f>Q50-P50-Q61</f>
        <v>1839204.3777570217</v>
      </c>
      <c r="V50" s="84"/>
      <c r="W50" s="86"/>
    </row>
    <row r="51" spans="1:23" ht="15.75" customHeight="1" x14ac:dyDescent="0.2">
      <c r="A51" s="90" t="s">
        <v>9</v>
      </c>
      <c r="B51" s="91"/>
      <c r="C51" s="105"/>
      <c r="D51" s="105"/>
      <c r="E51" s="105"/>
      <c r="F51" s="91"/>
      <c r="G51" s="91"/>
      <c r="H51" s="91"/>
      <c r="I51" s="91"/>
      <c r="J51" s="91"/>
      <c r="K51" s="92"/>
      <c r="L51" s="91"/>
      <c r="M51" s="91"/>
      <c r="N51" s="94"/>
      <c r="O51" s="95" t="s">
        <v>174</v>
      </c>
      <c r="P51" s="91"/>
      <c r="Q51" s="91">
        <f>'[2]Inversiones 2018'!C107</f>
        <v>7775169.1128769787</v>
      </c>
      <c r="R51" s="96">
        <f t="shared" si="6"/>
        <v>7775169.1128769787</v>
      </c>
      <c r="S51" s="86">
        <f>S50-R51</f>
        <v>1019261.1793660028</v>
      </c>
      <c r="T51" s="84"/>
      <c r="V51" s="84"/>
      <c r="W51" s="86"/>
    </row>
    <row r="52" spans="1:23" x14ac:dyDescent="0.2">
      <c r="A52" s="98" t="s">
        <v>104</v>
      </c>
      <c r="B52" s="99">
        <f>SUM(B42:B50)</f>
        <v>81406978.719999999</v>
      </c>
      <c r="C52" s="100">
        <f t="shared" ref="C52:M52" si="8">SUM(C42:C50)</f>
        <v>32549629.790000003</v>
      </c>
      <c r="D52" s="100">
        <f t="shared" si="8"/>
        <v>2032366.94</v>
      </c>
      <c r="E52" s="100">
        <f t="shared" si="8"/>
        <v>119190.30000000002</v>
      </c>
      <c r="F52" s="100">
        <f t="shared" si="8"/>
        <v>-1090514.99</v>
      </c>
      <c r="G52" s="100">
        <f t="shared" si="8"/>
        <v>360239</v>
      </c>
      <c r="H52" s="100">
        <f t="shared" si="8"/>
        <v>7988.59</v>
      </c>
      <c r="I52" s="100">
        <f t="shared" si="8"/>
        <v>10000</v>
      </c>
      <c r="J52" s="100">
        <f t="shared" si="8"/>
        <v>1140</v>
      </c>
      <c r="K52" s="100">
        <f t="shared" si="8"/>
        <v>821390.42999999993</v>
      </c>
      <c r="L52" s="100">
        <f t="shared" si="8"/>
        <v>-494303.97000000067</v>
      </c>
      <c r="M52" s="100">
        <f t="shared" si="8"/>
        <v>-439560</v>
      </c>
      <c r="N52" s="100">
        <f t="shared" si="0"/>
        <v>115284544.81000002</v>
      </c>
      <c r="O52" s="100"/>
      <c r="P52" s="100">
        <f>+SUM(P42:P51)</f>
        <v>49551774.136671081</v>
      </c>
      <c r="Q52" s="100">
        <f>+SUM(Q42:Q51)</f>
        <v>14293903.026671078</v>
      </c>
      <c r="R52" s="100">
        <f>SUM(R42:R51)</f>
        <v>80026673.699999988</v>
      </c>
      <c r="S52" s="86">
        <f>R41+R52</f>
        <v>207551465.72</v>
      </c>
      <c r="T52" s="101"/>
    </row>
    <row r="53" spans="1:23" ht="15.75" customHeight="1" x14ac:dyDescent="0.2">
      <c r="A53" s="107"/>
      <c r="B53" s="108">
        <f t="shared" ref="B53:N53" si="9">+B23-B41-B52</f>
        <v>0</v>
      </c>
      <c r="C53" s="108">
        <f t="shared" si="9"/>
        <v>0.30999999493360519</v>
      </c>
      <c r="D53" s="108">
        <f t="shared" si="9"/>
        <v>2.9999999795109034E-2</v>
      </c>
      <c r="E53" s="108">
        <f t="shared" si="9"/>
        <v>0</v>
      </c>
      <c r="F53" s="108">
        <f t="shared" si="9"/>
        <v>0</v>
      </c>
      <c r="G53" s="108">
        <f t="shared" si="9"/>
        <v>0.47999999998137355</v>
      </c>
      <c r="H53" s="108">
        <f t="shared" si="9"/>
        <v>0</v>
      </c>
      <c r="I53" s="108">
        <f t="shared" si="9"/>
        <v>0</v>
      </c>
      <c r="J53" s="108">
        <f t="shared" si="9"/>
        <v>0</v>
      </c>
      <c r="K53" s="108">
        <f t="shared" si="9"/>
        <v>-0.37000000034458935</v>
      </c>
      <c r="L53" s="108">
        <f t="shared" si="9"/>
        <v>0.39000000094529241</v>
      </c>
      <c r="M53" s="108">
        <f t="shared" si="9"/>
        <v>0</v>
      </c>
      <c r="N53" s="108">
        <f t="shared" si="9"/>
        <v>0.8399999588727951</v>
      </c>
      <c r="O53" s="109"/>
      <c r="P53" s="108">
        <f>P41+P52+P23</f>
        <v>65676348.016671084</v>
      </c>
      <c r="Q53" s="108">
        <f>Q41+Q52+Q23</f>
        <v>65676348.016671076</v>
      </c>
      <c r="R53" s="108">
        <f>R23-R41-R52</f>
        <v>0.84000003337860107</v>
      </c>
      <c r="S53" s="86"/>
      <c r="T53" s="84"/>
    </row>
    <row r="54" spans="1:23" ht="15.75" customHeight="1" x14ac:dyDescent="0.2">
      <c r="A54" s="107"/>
      <c r="B54" s="11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2"/>
      <c r="P54" s="111"/>
      <c r="Q54" s="113">
        <f>P53-Q53</f>
        <v>0</v>
      </c>
      <c r="R54" s="111"/>
      <c r="S54" s="84"/>
      <c r="T54" s="84"/>
    </row>
    <row r="55" spans="1:23" ht="78" customHeight="1" x14ac:dyDescent="0.2">
      <c r="A55" s="88" t="s">
        <v>73</v>
      </c>
      <c r="B55" s="114" t="s">
        <v>138</v>
      </c>
      <c r="C55" s="115" t="s">
        <v>139</v>
      </c>
      <c r="D55" s="115" t="s">
        <v>140</v>
      </c>
      <c r="E55" s="115" t="s">
        <v>141</v>
      </c>
      <c r="F55" s="115" t="s">
        <v>142</v>
      </c>
      <c r="G55" s="115" t="s">
        <v>143</v>
      </c>
      <c r="H55" s="115" t="s">
        <v>144</v>
      </c>
      <c r="I55" s="115" t="s">
        <v>145</v>
      </c>
      <c r="J55" s="115" t="s">
        <v>146</v>
      </c>
      <c r="K55" s="115" t="s">
        <v>147</v>
      </c>
      <c r="L55" s="115" t="s">
        <v>148</v>
      </c>
      <c r="M55" s="115" t="s">
        <v>149</v>
      </c>
      <c r="N55" s="115" t="s">
        <v>110</v>
      </c>
      <c r="O55" s="115" t="s">
        <v>167</v>
      </c>
      <c r="P55" s="115" t="s">
        <v>150</v>
      </c>
      <c r="Q55" s="115" t="s">
        <v>151</v>
      </c>
      <c r="R55" s="115" t="s">
        <v>152</v>
      </c>
    </row>
    <row r="56" spans="1:23" ht="15.75" customHeight="1" x14ac:dyDescent="0.2">
      <c r="A56" s="116" t="s">
        <v>153</v>
      </c>
      <c r="B56" s="117">
        <v>159047272.44999999</v>
      </c>
      <c r="C56" s="117">
        <v>1209636.21</v>
      </c>
      <c r="D56" s="117">
        <v>820979.6</v>
      </c>
      <c r="E56" s="117"/>
      <c r="F56" s="117"/>
      <c r="G56" s="117"/>
      <c r="H56" s="117"/>
      <c r="I56" s="117"/>
      <c r="J56" s="117"/>
      <c r="K56" s="117">
        <v>261368.17</v>
      </c>
      <c r="L56" s="117">
        <v>413962</v>
      </c>
      <c r="M56" s="117">
        <v>1167906</v>
      </c>
      <c r="N56" s="118">
        <f>SUM(B56:M56)</f>
        <v>162921124.42999998</v>
      </c>
      <c r="O56" s="119"/>
      <c r="P56" s="120">
        <f>+'[2]Transacciones 2018'!D33</f>
        <v>3060845</v>
      </c>
      <c r="Q56" s="117"/>
      <c r="R56" s="121">
        <f t="shared" ref="R56" si="10">N56-P56+Q56</f>
        <v>159860279.42999998</v>
      </c>
    </row>
    <row r="57" spans="1:23" ht="15.75" customHeight="1" thickBot="1" x14ac:dyDescent="0.25">
      <c r="A57" s="90" t="s">
        <v>154</v>
      </c>
      <c r="B57" s="122">
        <v>-103569767</v>
      </c>
      <c r="C57" s="122">
        <v>-3723788.13</v>
      </c>
      <c r="D57" s="122">
        <v>-465992.01</v>
      </c>
      <c r="E57" s="122"/>
      <c r="F57" s="122"/>
      <c r="G57" s="122"/>
      <c r="H57" s="122"/>
      <c r="I57" s="122"/>
      <c r="J57" s="122"/>
      <c r="K57" s="122">
        <v>-534980.30000000005</v>
      </c>
      <c r="L57" s="122">
        <v>-301584</v>
      </c>
      <c r="M57" s="122">
        <v>-318733</v>
      </c>
      <c r="N57" s="123">
        <f>SUM(B57:M57)</f>
        <v>-108914844.44</v>
      </c>
      <c r="O57" s="124"/>
      <c r="P57" s="125"/>
      <c r="Q57" s="126">
        <f>+'[2]Transacciones 2018'!E34</f>
        <v>3049989</v>
      </c>
      <c r="R57" s="127">
        <f>N57-P57+Q57</f>
        <v>-105864855.44</v>
      </c>
    </row>
    <row r="58" spans="1:23" ht="15.75" customHeight="1" x14ac:dyDescent="0.2">
      <c r="A58" s="90" t="s">
        <v>155</v>
      </c>
      <c r="B58" s="128">
        <f>SUM(B56:B57)</f>
        <v>55477505.449999988</v>
      </c>
      <c r="C58" s="117">
        <f t="shared" ref="C58:M58" si="11">SUM(C56:C57)</f>
        <v>-2514151.92</v>
      </c>
      <c r="D58" s="117">
        <f t="shared" si="11"/>
        <v>354987.58999999997</v>
      </c>
      <c r="E58" s="117">
        <f t="shared" si="11"/>
        <v>0</v>
      </c>
      <c r="F58" s="117">
        <f t="shared" si="11"/>
        <v>0</v>
      </c>
      <c r="G58" s="117">
        <f t="shared" si="11"/>
        <v>0</v>
      </c>
      <c r="H58" s="117">
        <f t="shared" si="11"/>
        <v>0</v>
      </c>
      <c r="I58" s="117">
        <f t="shared" si="11"/>
        <v>0</v>
      </c>
      <c r="J58" s="117">
        <f t="shared" si="11"/>
        <v>0</v>
      </c>
      <c r="K58" s="117">
        <f t="shared" si="11"/>
        <v>-273612.13</v>
      </c>
      <c r="L58" s="117">
        <f t="shared" si="11"/>
        <v>112378</v>
      </c>
      <c r="M58" s="117">
        <f t="shared" si="11"/>
        <v>849173</v>
      </c>
      <c r="N58" s="117">
        <f>SUM(N56:N57)</f>
        <v>54006279.98999998</v>
      </c>
      <c r="O58" s="124"/>
      <c r="P58" s="117" t="s">
        <v>156</v>
      </c>
      <c r="Q58" s="117"/>
      <c r="R58" s="117">
        <f>SUM(R56:R57)</f>
        <v>53995423.98999998</v>
      </c>
    </row>
    <row r="59" spans="1:23" ht="15.75" customHeight="1" x14ac:dyDescent="0.2">
      <c r="A59" s="129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30"/>
      <c r="O59" s="124"/>
      <c r="P59" s="125"/>
      <c r="Q59" s="125"/>
      <c r="R59" s="131"/>
    </row>
    <row r="60" spans="1:23" ht="15.75" customHeight="1" x14ac:dyDescent="0.2">
      <c r="A60" s="90" t="s">
        <v>157</v>
      </c>
      <c r="B60" s="125">
        <f>-34477490</f>
        <v>-34477490</v>
      </c>
      <c r="C60" s="125">
        <v>-1061442.6299999999</v>
      </c>
      <c r="D60" s="125">
        <f>-270415.44+175129</f>
        <v>-95286.44</v>
      </c>
      <c r="E60" s="125"/>
      <c r="F60" s="125">
        <v>-159381</v>
      </c>
      <c r="G60" s="125"/>
      <c r="H60" s="125"/>
      <c r="I60" s="125"/>
      <c r="J60" s="132"/>
      <c r="K60" s="125">
        <v>-330763.33</v>
      </c>
      <c r="L60" s="125">
        <f>-507452+6747</f>
        <v>-500705</v>
      </c>
      <c r="M60" s="125">
        <v>-676013</v>
      </c>
      <c r="N60" s="130">
        <f>SUM(B60:M60)</f>
        <v>-37301081.399999999</v>
      </c>
      <c r="O60" s="124"/>
      <c r="P60" s="125"/>
      <c r="Q60" s="126">
        <f>+'[2]Transacciones 2018'!E35</f>
        <v>10856</v>
      </c>
      <c r="R60" s="131">
        <f t="shared" ref="R60" si="12">N60-P60+Q60</f>
        <v>-37290225.399999999</v>
      </c>
    </row>
    <row r="61" spans="1:23" ht="15.75" customHeight="1" thickBot="1" x14ac:dyDescent="0.25">
      <c r="A61" s="133" t="s">
        <v>158</v>
      </c>
      <c r="B61" s="122">
        <f>-1477407</f>
        <v>-1477407</v>
      </c>
      <c r="C61" s="122">
        <v>0</v>
      </c>
      <c r="D61" s="134">
        <v>-8855</v>
      </c>
      <c r="E61" s="122"/>
      <c r="F61" s="122"/>
      <c r="G61" s="122"/>
      <c r="H61" s="122"/>
      <c r="I61" s="122"/>
      <c r="J61" s="122"/>
      <c r="K61" s="122">
        <v>4210.09</v>
      </c>
      <c r="L61" s="135">
        <v>3550.68</v>
      </c>
      <c r="M61" s="122">
        <v>0</v>
      </c>
      <c r="N61" s="123">
        <f>SUM(B61:M61)</f>
        <v>-1478501.23</v>
      </c>
      <c r="O61" s="124" t="s">
        <v>175</v>
      </c>
      <c r="P61" s="125"/>
      <c r="Q61" s="126">
        <f>'[2]Inversiones 2018'!C68</f>
        <v>366831.5299999998</v>
      </c>
      <c r="R61" s="127">
        <f>N61-P61+Q61</f>
        <v>-1111669.7000000002</v>
      </c>
    </row>
    <row r="62" spans="1:23" ht="15.75" customHeight="1" x14ac:dyDescent="0.2">
      <c r="A62" s="133" t="s">
        <v>159</v>
      </c>
      <c r="B62" s="128">
        <f>SUM(B58:B61)</f>
        <v>19522608.449999988</v>
      </c>
      <c r="C62" s="117">
        <f>SUM(C58:C61)</f>
        <v>-3575594.55</v>
      </c>
      <c r="D62" s="117">
        <f>SUM(D58:D61)</f>
        <v>250846.14999999997</v>
      </c>
      <c r="E62" s="117">
        <f t="shared" ref="E62:M62" si="13">SUM(E58:E61)</f>
        <v>0</v>
      </c>
      <c r="F62" s="117">
        <f t="shared" si="13"/>
        <v>-159381</v>
      </c>
      <c r="G62" s="117">
        <f t="shared" si="13"/>
        <v>0</v>
      </c>
      <c r="H62" s="117">
        <f t="shared" si="13"/>
        <v>0</v>
      </c>
      <c r="I62" s="117">
        <f t="shared" si="13"/>
        <v>0</v>
      </c>
      <c r="J62" s="117">
        <f t="shared" si="13"/>
        <v>0</v>
      </c>
      <c r="K62" s="117">
        <f t="shared" si="13"/>
        <v>-600165.37</v>
      </c>
      <c r="L62" s="117">
        <f t="shared" si="13"/>
        <v>-384776.32</v>
      </c>
      <c r="M62" s="117">
        <f t="shared" si="13"/>
        <v>173160</v>
      </c>
      <c r="N62" s="117">
        <f>SUM(N58:N61)</f>
        <v>15226697.359999981</v>
      </c>
      <c r="O62" s="124"/>
      <c r="P62" s="117"/>
      <c r="Q62" s="117"/>
      <c r="R62" s="117">
        <f t="shared" ref="R62" si="14">SUM(R58:R61)</f>
        <v>15593528.889999982</v>
      </c>
    </row>
    <row r="63" spans="1:23" ht="15.75" customHeight="1" x14ac:dyDescent="0.2">
      <c r="A63" s="133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30"/>
      <c r="O63" s="124"/>
      <c r="P63" s="125"/>
      <c r="Q63" s="125"/>
      <c r="R63" s="131"/>
      <c r="S63" s="84"/>
    </row>
    <row r="64" spans="1:23" ht="15.75" customHeight="1" thickBot="1" x14ac:dyDescent="0.25">
      <c r="A64" s="133" t="s">
        <v>160</v>
      </c>
      <c r="B64" s="122">
        <v>-3489748</v>
      </c>
      <c r="C64" s="122">
        <v>3.35</v>
      </c>
      <c r="D64" s="122">
        <v>-173996</v>
      </c>
      <c r="E64" s="122"/>
      <c r="F64" s="122"/>
      <c r="G64" s="122"/>
      <c r="H64" s="122"/>
      <c r="I64" s="122"/>
      <c r="J64" s="122"/>
      <c r="K64" s="122"/>
      <c r="L64" s="122">
        <v>-6747.55</v>
      </c>
      <c r="M64" s="122">
        <v>-1632</v>
      </c>
      <c r="N64" s="123">
        <f>SUM(B64:M64)</f>
        <v>-3672120.1999999997</v>
      </c>
      <c r="O64" s="124"/>
      <c r="P64" s="125"/>
      <c r="Q64" s="125"/>
      <c r="R64" s="127">
        <f>N64-P64+Q64</f>
        <v>-3672120.1999999997</v>
      </c>
      <c r="S64" s="84"/>
    </row>
    <row r="65" spans="1:22" ht="15.75" customHeight="1" x14ac:dyDescent="0.2">
      <c r="A65" s="133" t="s">
        <v>161</v>
      </c>
      <c r="B65" s="128">
        <f>+B62+B64</f>
        <v>16032860.449999988</v>
      </c>
      <c r="C65" s="117">
        <f t="shared" ref="C65:M65" si="15">+C62+C64</f>
        <v>-3575591.1999999997</v>
      </c>
      <c r="D65" s="117">
        <f t="shared" si="15"/>
        <v>76850.149999999965</v>
      </c>
      <c r="E65" s="117">
        <f t="shared" si="15"/>
        <v>0</v>
      </c>
      <c r="F65" s="117">
        <f t="shared" si="15"/>
        <v>-159381</v>
      </c>
      <c r="G65" s="117">
        <f t="shared" si="15"/>
        <v>0</v>
      </c>
      <c r="H65" s="117">
        <f t="shared" si="15"/>
        <v>0</v>
      </c>
      <c r="I65" s="117">
        <f t="shared" si="15"/>
        <v>0</v>
      </c>
      <c r="J65" s="117">
        <f t="shared" si="15"/>
        <v>0</v>
      </c>
      <c r="K65" s="117">
        <f t="shared" si="15"/>
        <v>-600165.37</v>
      </c>
      <c r="L65" s="117">
        <f t="shared" si="15"/>
        <v>-391523.87</v>
      </c>
      <c r="M65" s="117">
        <f t="shared" si="15"/>
        <v>171528</v>
      </c>
      <c r="N65" s="117">
        <f>+N62+N64</f>
        <v>11554577.159999982</v>
      </c>
      <c r="O65" s="124"/>
      <c r="P65" s="125"/>
      <c r="Q65" s="125"/>
      <c r="R65" s="117">
        <f t="shared" ref="R65" si="16">+R62+R64</f>
        <v>11921408.689999983</v>
      </c>
      <c r="S65" s="84"/>
    </row>
    <row r="66" spans="1:22" ht="15.75" customHeight="1" x14ac:dyDescent="0.2">
      <c r="A66" s="133"/>
      <c r="B66" s="128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24"/>
      <c r="P66" s="125"/>
      <c r="Q66" s="125"/>
      <c r="R66" s="117"/>
    </row>
    <row r="67" spans="1:22" ht="15.75" customHeight="1" x14ac:dyDescent="0.2">
      <c r="A67" s="133" t="s">
        <v>65</v>
      </c>
      <c r="B67" s="125">
        <v>-2404929</v>
      </c>
      <c r="C67" s="125"/>
      <c r="D67" s="125">
        <v>-12686</v>
      </c>
      <c r="E67" s="125"/>
      <c r="F67" s="125"/>
      <c r="G67" s="125"/>
      <c r="H67" s="125"/>
      <c r="I67" s="125"/>
      <c r="J67" s="125"/>
      <c r="K67" s="125"/>
      <c r="L67" s="125">
        <v>0</v>
      </c>
      <c r="M67" s="125"/>
      <c r="N67" s="130">
        <f>SUM(B67:M67)</f>
        <v>-2417615</v>
      </c>
      <c r="O67" s="124"/>
      <c r="P67" s="125"/>
      <c r="Q67" s="125"/>
      <c r="R67" s="131">
        <f>N67-P67+Q67</f>
        <v>-2417615</v>
      </c>
    </row>
    <row r="68" spans="1:22" ht="15.75" customHeight="1" x14ac:dyDescent="0.2">
      <c r="A68" s="90" t="s">
        <v>162</v>
      </c>
      <c r="B68" s="131">
        <v>-4237903</v>
      </c>
      <c r="C68" s="131"/>
      <c r="D68" s="131">
        <v>-16510</v>
      </c>
      <c r="E68" s="131"/>
      <c r="F68" s="131"/>
      <c r="G68" s="131"/>
      <c r="H68" s="131"/>
      <c r="I68" s="131"/>
      <c r="J68" s="131"/>
      <c r="K68" s="131"/>
      <c r="L68" s="131">
        <v>0</v>
      </c>
      <c r="M68" s="131">
        <v>21442</v>
      </c>
      <c r="N68" s="130">
        <f>SUM(B68:M68)</f>
        <v>-4232971</v>
      </c>
      <c r="O68" s="136"/>
      <c r="P68" s="131"/>
      <c r="Q68" s="125"/>
      <c r="R68" s="131">
        <f>N68-P68+Q68</f>
        <v>-4232971</v>
      </c>
    </row>
    <row r="69" spans="1:22" x14ac:dyDescent="0.2">
      <c r="A69" s="90" t="s">
        <v>163</v>
      </c>
      <c r="B69" s="137">
        <f t="shared" ref="B69:G69" si="17">+B65+B67+B68</f>
        <v>9390028.4499999881</v>
      </c>
      <c r="C69" s="131">
        <f t="shared" si="17"/>
        <v>-3575591.1999999997</v>
      </c>
      <c r="D69" s="131">
        <f t="shared" si="17"/>
        <v>47654.149999999965</v>
      </c>
      <c r="E69" s="131">
        <f t="shared" si="17"/>
        <v>0</v>
      </c>
      <c r="F69" s="131">
        <f t="shared" si="17"/>
        <v>-159381</v>
      </c>
      <c r="G69" s="131">
        <f t="shared" si="17"/>
        <v>0</v>
      </c>
      <c r="H69" s="131">
        <f t="shared" ref="H69:J69" si="18">+H65+H68</f>
        <v>0</v>
      </c>
      <c r="I69" s="131">
        <f t="shared" si="18"/>
        <v>0</v>
      </c>
      <c r="J69" s="131">
        <f t="shared" si="18"/>
        <v>0</v>
      </c>
      <c r="K69" s="131">
        <f>+K65+K67+K68</f>
        <v>-600165.37</v>
      </c>
      <c r="L69" s="131">
        <f>+L65+L67+L68</f>
        <v>-391523.87</v>
      </c>
      <c r="M69" s="131">
        <f>+M65+M67+M68</f>
        <v>192970</v>
      </c>
      <c r="N69" s="131">
        <f>+N65+N67+N68</f>
        <v>4903991.1599999815</v>
      </c>
      <c r="O69" s="136"/>
      <c r="P69" s="131"/>
      <c r="Q69" s="131"/>
      <c r="R69" s="131">
        <f>+R65+R67+R68</f>
        <v>5270822.6899999827</v>
      </c>
    </row>
    <row r="70" spans="1:22" x14ac:dyDescent="0.2">
      <c r="A70" s="90"/>
      <c r="B70" s="137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6"/>
      <c r="P70" s="131"/>
      <c r="Q70" s="131"/>
      <c r="R70" s="131"/>
    </row>
    <row r="71" spans="1:22" x14ac:dyDescent="0.2">
      <c r="A71" s="90" t="s">
        <v>164</v>
      </c>
      <c r="B71" s="131">
        <v>70086</v>
      </c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0">
        <f>SUM(B71:M71)</f>
        <v>70086</v>
      </c>
      <c r="O71" s="136"/>
      <c r="P71" s="131"/>
      <c r="Q71" s="131"/>
      <c r="R71" s="131">
        <f>N71-P71+Q71</f>
        <v>70086</v>
      </c>
    </row>
    <row r="72" spans="1:22" x14ac:dyDescent="0.2">
      <c r="A72" s="98" t="s">
        <v>70</v>
      </c>
      <c r="B72" s="138">
        <f>B69+B71</f>
        <v>9460114.4499999881</v>
      </c>
      <c r="C72" s="139">
        <f t="shared" ref="C72:M72" si="19">C69+C71</f>
        <v>-3575591.1999999997</v>
      </c>
      <c r="D72" s="139">
        <f t="shared" si="19"/>
        <v>47654.149999999965</v>
      </c>
      <c r="E72" s="139">
        <f t="shared" si="19"/>
        <v>0</v>
      </c>
      <c r="F72" s="139">
        <f t="shared" si="19"/>
        <v>-159381</v>
      </c>
      <c r="G72" s="139">
        <f t="shared" si="19"/>
        <v>0</v>
      </c>
      <c r="H72" s="139">
        <f t="shared" si="19"/>
        <v>0</v>
      </c>
      <c r="I72" s="139">
        <f t="shared" si="19"/>
        <v>0</v>
      </c>
      <c r="J72" s="139">
        <f t="shared" si="19"/>
        <v>0</v>
      </c>
      <c r="K72" s="139">
        <f t="shared" si="19"/>
        <v>-600165.37</v>
      </c>
      <c r="L72" s="139">
        <f t="shared" si="19"/>
        <v>-391523.87</v>
      </c>
      <c r="M72" s="139">
        <f t="shared" si="19"/>
        <v>192970</v>
      </c>
      <c r="N72" s="139">
        <f>N69+N71</f>
        <v>4974077.1599999815</v>
      </c>
      <c r="O72" s="139"/>
      <c r="P72" s="139">
        <f>SUM(P56:P71)</f>
        <v>3060845</v>
      </c>
      <c r="Q72" s="139">
        <f>SUM(Q56:Q71)</f>
        <v>3427676.53</v>
      </c>
      <c r="R72" s="139">
        <f>R69+R71</f>
        <v>5340908.6899999827</v>
      </c>
    </row>
    <row r="73" spans="1:22" x14ac:dyDescent="0.2">
      <c r="A73" s="107"/>
      <c r="B73" s="140"/>
      <c r="C73" s="140"/>
      <c r="D73" s="140"/>
      <c r="E73" s="141"/>
      <c r="F73" s="140"/>
      <c r="G73" s="140"/>
      <c r="H73" s="140"/>
      <c r="I73" s="140"/>
      <c r="J73" s="140"/>
      <c r="K73" s="140"/>
      <c r="L73" s="140"/>
      <c r="M73" s="140"/>
      <c r="N73" s="140"/>
      <c r="O73" s="142"/>
      <c r="P73" s="140"/>
      <c r="Q73" s="140">
        <f>+P72-Q72</f>
        <v>-366831.5299999998</v>
      </c>
      <c r="R73" s="140"/>
    </row>
    <row r="74" spans="1:22" ht="21.75" customHeight="1" x14ac:dyDescent="0.2">
      <c r="A74" s="143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</row>
    <row r="75" spans="1:22" ht="21.75" customHeight="1" x14ac:dyDescent="0.2">
      <c r="A75" s="144"/>
      <c r="B75" s="145">
        <f t="shared" ref="B75:N75" si="20">+B52+B41-B23</f>
        <v>0</v>
      </c>
      <c r="C75" s="145">
        <f t="shared" si="20"/>
        <v>-0.30999999493360519</v>
      </c>
      <c r="D75" s="145">
        <f t="shared" si="20"/>
        <v>-2.9999999329447746E-2</v>
      </c>
      <c r="E75" s="145">
        <f t="shared" si="20"/>
        <v>0</v>
      </c>
      <c r="F75" s="145">
        <f t="shared" si="20"/>
        <v>0</v>
      </c>
      <c r="G75" s="145">
        <f t="shared" si="20"/>
        <v>-0.47999999998137355</v>
      </c>
      <c r="H75" s="145">
        <f t="shared" si="20"/>
        <v>0</v>
      </c>
      <c r="I75" s="145">
        <f t="shared" si="20"/>
        <v>0</v>
      </c>
      <c r="J75" s="145">
        <f t="shared" si="20"/>
        <v>0</v>
      </c>
      <c r="K75" s="145">
        <f t="shared" si="20"/>
        <v>0.37000000011175871</v>
      </c>
      <c r="L75" s="145">
        <f t="shared" si="20"/>
        <v>-0.39000000094529241</v>
      </c>
      <c r="M75" s="145">
        <f t="shared" si="20"/>
        <v>0</v>
      </c>
      <c r="N75" s="145">
        <f t="shared" si="20"/>
        <v>-0.83999994397163391</v>
      </c>
      <c r="O75" s="101"/>
      <c r="P75" s="145"/>
      <c r="Q75" s="145"/>
      <c r="R75" s="145">
        <f>+R52+R41-R23</f>
        <v>-0.84000003337860107</v>
      </c>
    </row>
    <row r="76" spans="1:22" x14ac:dyDescent="0.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T76" s="84"/>
    </row>
    <row r="77" spans="1:22" x14ac:dyDescent="0.2">
      <c r="A77" s="146" t="s">
        <v>165</v>
      </c>
      <c r="B77" s="147">
        <f>+B72*100%</f>
        <v>9460114.4499999881</v>
      </c>
      <c r="C77" s="147">
        <f>+C72*'[2]Participaciones 2018'!E16</f>
        <v>-2682408.5182399997</v>
      </c>
      <c r="D77" s="147">
        <f>+D72*'[2]Participaciones 2018'!G16</f>
        <v>47651.993703619875</v>
      </c>
      <c r="E77" s="101">
        <f>+E72*'[2]Participaciones 2018'!I16</f>
        <v>0</v>
      </c>
      <c r="F77" s="101">
        <f>+F72*'[2]Participaciones 2018'!K16</f>
        <v>-79690.5</v>
      </c>
      <c r="G77" s="101">
        <f>+G72*'[2]Participaciones 2018'!M16</f>
        <v>0</v>
      </c>
      <c r="H77" s="101">
        <f>+H72*'[2]Participaciones 2018'!O16</f>
        <v>0</v>
      </c>
      <c r="I77" s="101">
        <f>+I72*'[2]Participaciones 2018'!Q16</f>
        <v>0</v>
      </c>
      <c r="J77" s="101">
        <f>+J72*'[2]Participaciones 2018'!S16</f>
        <v>0</v>
      </c>
      <c r="K77" s="147">
        <f>+K72*'[2]Participaciones 2018'!U16</f>
        <v>-555152.96724999999</v>
      </c>
      <c r="L77" s="147">
        <f>+L72*'[2]Participaciones 2018'!W16</f>
        <v>-387608.63130000001</v>
      </c>
      <c r="M77" s="147">
        <f>+M72*'[2]Participaciones 2018'!Y16</f>
        <v>192970</v>
      </c>
      <c r="N77" s="101">
        <f>SUM(B77:M77)</f>
        <v>5995875.8269136082</v>
      </c>
      <c r="O77" s="101"/>
      <c r="P77" s="101">
        <f>+P61+P56</f>
        <v>3060845</v>
      </c>
      <c r="Q77" s="101">
        <f>Q57+Q61+Q60</f>
        <v>3427676.53</v>
      </c>
      <c r="R77" s="101">
        <f>+N77-P77+Q77</f>
        <v>6362707.3569136076</v>
      </c>
      <c r="S77" s="148"/>
    </row>
    <row r="78" spans="1:22" x14ac:dyDescent="0.2">
      <c r="A78" s="146" t="s">
        <v>166</v>
      </c>
      <c r="B78" s="147">
        <f>+B72-B77</f>
        <v>0</v>
      </c>
      <c r="C78" s="147">
        <f t="shared" ref="C78:M78" si="21">+C72-C77</f>
        <v>-893182.68176000006</v>
      </c>
      <c r="D78" s="147">
        <f t="shared" si="21"/>
        <v>2.1562963800897705</v>
      </c>
      <c r="E78" s="147">
        <f t="shared" si="21"/>
        <v>0</v>
      </c>
      <c r="F78" s="147">
        <f t="shared" si="21"/>
        <v>-79690.5</v>
      </c>
      <c r="G78" s="147">
        <f t="shared" si="21"/>
        <v>0</v>
      </c>
      <c r="H78" s="147">
        <f t="shared" si="21"/>
        <v>0</v>
      </c>
      <c r="I78" s="147">
        <f t="shared" si="21"/>
        <v>0</v>
      </c>
      <c r="J78" s="147">
        <f t="shared" si="21"/>
        <v>0</v>
      </c>
      <c r="K78" s="147">
        <f t="shared" si="21"/>
        <v>-45012.402750000008</v>
      </c>
      <c r="L78" s="147">
        <f t="shared" si="21"/>
        <v>-3915.2386999999871</v>
      </c>
      <c r="M78" s="147">
        <f t="shared" si="21"/>
        <v>0</v>
      </c>
      <c r="N78" s="101">
        <f>SUM(B78:M78)</f>
        <v>-1021798.66691362</v>
      </c>
      <c r="O78" s="101"/>
      <c r="P78" s="101"/>
      <c r="Q78" s="101"/>
      <c r="R78" s="101">
        <f>+N78-P78+Q78</f>
        <v>-1021798.66691362</v>
      </c>
      <c r="U78" s="86"/>
      <c r="V78" s="149"/>
    </row>
    <row r="79" spans="1:22" x14ac:dyDescent="0.2">
      <c r="B79" s="101">
        <f t="shared" ref="B79:J79" si="22">+B77+B78</f>
        <v>9460114.4499999881</v>
      </c>
      <c r="C79" s="101">
        <f t="shared" si="22"/>
        <v>-3575591.1999999997</v>
      </c>
      <c r="D79" s="101">
        <f t="shared" si="22"/>
        <v>47654.149999999965</v>
      </c>
      <c r="E79" s="101">
        <f t="shared" si="22"/>
        <v>0</v>
      </c>
      <c r="F79" s="101">
        <f t="shared" si="22"/>
        <v>-159381</v>
      </c>
      <c r="G79" s="101">
        <f t="shared" si="22"/>
        <v>0</v>
      </c>
      <c r="H79" s="101">
        <f t="shared" si="22"/>
        <v>0</v>
      </c>
      <c r="I79" s="101">
        <f t="shared" si="22"/>
        <v>0</v>
      </c>
      <c r="J79" s="101">
        <f t="shared" si="22"/>
        <v>0</v>
      </c>
      <c r="K79" s="101">
        <f>+K77+K78</f>
        <v>-600165.37</v>
      </c>
      <c r="L79" s="101">
        <f>+L77+L78</f>
        <v>-391523.87</v>
      </c>
      <c r="M79" s="101">
        <f>+M77+M78</f>
        <v>192970</v>
      </c>
      <c r="N79" s="101">
        <f>+N77+N78</f>
        <v>4974077.159999988</v>
      </c>
      <c r="O79" s="101"/>
      <c r="P79" s="101">
        <f t="shared" ref="P79:R79" si="23">+P77+P78</f>
        <v>3060845</v>
      </c>
      <c r="Q79" s="101">
        <f t="shared" si="23"/>
        <v>3427676.53</v>
      </c>
      <c r="R79" s="101">
        <f t="shared" si="23"/>
        <v>5340908.6899999874</v>
      </c>
    </row>
    <row r="80" spans="1:22" x14ac:dyDescent="0.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</row>
    <row r="81" spans="2:18" x14ac:dyDescent="0.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47"/>
      <c r="R81" s="101"/>
    </row>
  </sheetData>
  <mergeCells count="1">
    <mergeCell ref="P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E74-5670-4D67-B168-B7F5BF4F4586}">
  <dimension ref="A1:N52"/>
  <sheetViews>
    <sheetView topLeftCell="A4" workbookViewId="0">
      <pane xSplit="1" ySplit="1" topLeftCell="D12" activePane="bottomRight" state="frozen"/>
      <selection activeCell="A4" sqref="A4"/>
      <selection pane="topRight" activeCell="B4" sqref="B4"/>
      <selection pane="bottomLeft" activeCell="A5" sqref="A5"/>
      <selection pane="bottomRight" activeCell="G18" sqref="G18"/>
    </sheetView>
  </sheetViews>
  <sheetFormatPr defaultRowHeight="15" x14ac:dyDescent="0.25"/>
  <cols>
    <col min="1" max="1" width="23.85546875" customWidth="1"/>
    <col min="2" max="14" width="12.85546875" customWidth="1"/>
  </cols>
  <sheetData>
    <row r="1" spans="1:14" x14ac:dyDescent="0.25">
      <c r="A1" t="s">
        <v>177</v>
      </c>
    </row>
    <row r="2" spans="1:14" x14ac:dyDescent="0.25">
      <c r="A2" t="s">
        <v>178</v>
      </c>
    </row>
    <row r="3" spans="1:14" x14ac:dyDescent="0.25">
      <c r="A3" t="s">
        <v>179</v>
      </c>
    </row>
    <row r="4" spans="1:14" ht="51" x14ac:dyDescent="0.25">
      <c r="A4" s="88" t="s">
        <v>73</v>
      </c>
      <c r="B4" s="89" t="s">
        <v>138</v>
      </c>
      <c r="C4" s="89" t="s">
        <v>139</v>
      </c>
      <c r="D4" s="89" t="s">
        <v>140</v>
      </c>
      <c r="E4" s="89" t="s">
        <v>141</v>
      </c>
      <c r="F4" s="89" t="s">
        <v>142</v>
      </c>
      <c r="G4" s="89" t="s">
        <v>143</v>
      </c>
      <c r="H4" s="89" t="s">
        <v>144</v>
      </c>
      <c r="I4" s="89" t="s">
        <v>145</v>
      </c>
      <c r="J4" s="89" t="s">
        <v>146</v>
      </c>
      <c r="K4" s="89" t="s">
        <v>147</v>
      </c>
      <c r="L4" s="89" t="s">
        <v>148</v>
      </c>
      <c r="M4" s="89" t="s">
        <v>149</v>
      </c>
      <c r="N4" s="89" t="s">
        <v>110</v>
      </c>
    </row>
    <row r="5" spans="1:14" ht="19.5" x14ac:dyDescent="0.25">
      <c r="A5" s="156" t="s">
        <v>74</v>
      </c>
      <c r="B5" s="157">
        <f>+MS!B5-CGA!B5</f>
        <v>0</v>
      </c>
      <c r="C5" s="157">
        <f>+MS!C5-CGA!C5</f>
        <v>0</v>
      </c>
      <c r="D5" s="157">
        <f>+MS!D5-CGA!D5</f>
        <v>0</v>
      </c>
      <c r="E5" s="157">
        <f>+MS!E5-CGA!E5</f>
        <v>0</v>
      </c>
      <c r="F5" s="157">
        <f>+MS!F5-CGA!F5</f>
        <v>0</v>
      </c>
      <c r="G5" s="157">
        <f>+MS!G5-CGA!G5</f>
        <v>0</v>
      </c>
      <c r="H5" s="157">
        <f>+MS!H5-CGA!H5</f>
        <v>0</v>
      </c>
      <c r="I5" s="157">
        <f>+MS!I5-CGA!I5</f>
        <v>0</v>
      </c>
      <c r="J5" s="157">
        <f>+MS!J5-CGA!J5</f>
        <v>0</v>
      </c>
      <c r="K5" s="157">
        <f>+MS!K5-CGA!K5</f>
        <v>1085.7800000000002</v>
      </c>
      <c r="L5" s="157">
        <f>+MS!L5-CGA!L5</f>
        <v>0</v>
      </c>
      <c r="M5" s="157">
        <f>+MS!M5-CGA!M5</f>
        <v>-13632</v>
      </c>
      <c r="N5" s="157">
        <f>+MS!N5-CGA!N5</f>
        <v>-12546.219999999972</v>
      </c>
    </row>
    <row r="6" spans="1:14" ht="19.5" x14ac:dyDescent="0.25">
      <c r="A6" s="156" t="s">
        <v>16</v>
      </c>
      <c r="B6" s="157">
        <f>+MS!B6-CGA!B6</f>
        <v>0</v>
      </c>
      <c r="C6" s="157">
        <f>+MS!C6-CGA!C6</f>
        <v>0</v>
      </c>
      <c r="D6" s="157">
        <f>+MS!D6-CGA!D6</f>
        <v>0</v>
      </c>
      <c r="E6" s="157">
        <f>+MS!E6-CGA!E6</f>
        <v>0</v>
      </c>
      <c r="F6" s="157">
        <f>+MS!F6-CGA!F6</f>
        <v>0</v>
      </c>
      <c r="G6" s="157">
        <f>+MS!G6-CGA!G6</f>
        <v>0</v>
      </c>
      <c r="H6" s="157">
        <f>+MS!H6-CGA!H6</f>
        <v>0</v>
      </c>
      <c r="I6" s="157">
        <f>+MS!I6-CGA!I6</f>
        <v>0</v>
      </c>
      <c r="J6" s="157">
        <f>+MS!J6-CGA!J6</f>
        <v>0</v>
      </c>
      <c r="K6" s="157">
        <f>+MS!K6-CGA!K6</f>
        <v>0</v>
      </c>
      <c r="L6" s="157">
        <f>+MS!L6-CGA!L6</f>
        <v>0</v>
      </c>
      <c r="M6" s="157">
        <f>+MS!M6-CGA!M6</f>
        <v>0</v>
      </c>
      <c r="N6" s="157">
        <f>+MS!N6-CGA!N6</f>
        <v>0</v>
      </c>
    </row>
    <row r="7" spans="1:14" ht="19.5" x14ac:dyDescent="0.25">
      <c r="A7" s="156" t="s">
        <v>75</v>
      </c>
      <c r="B7" s="157">
        <f>+MS!B7-CGA!B7</f>
        <v>0</v>
      </c>
      <c r="C7" s="157">
        <f>+MS!C7-CGA!C7</f>
        <v>0</v>
      </c>
      <c r="D7" s="157">
        <f>+MS!D7-CGA!D7</f>
        <v>0</v>
      </c>
      <c r="E7" s="157">
        <f>+MS!E7-CGA!E7</f>
        <v>0</v>
      </c>
      <c r="F7" s="157">
        <f>+MS!F7-CGA!F7</f>
        <v>0</v>
      </c>
      <c r="G7" s="157">
        <f>+MS!G7-CGA!G7</f>
        <v>0</v>
      </c>
      <c r="H7" s="157">
        <f>+MS!H7-CGA!H7</f>
        <v>0</v>
      </c>
      <c r="I7" s="157">
        <f>+MS!I7-CGA!I7</f>
        <v>0</v>
      </c>
      <c r="J7" s="157">
        <f>+MS!J7-CGA!J7</f>
        <v>0</v>
      </c>
      <c r="K7" s="157">
        <f>+MS!K7-CGA!K7</f>
        <v>0</v>
      </c>
      <c r="L7" s="157">
        <f>+MS!L7-CGA!L7</f>
        <v>0</v>
      </c>
      <c r="M7" s="157">
        <f>+MS!M7-CGA!M7</f>
        <v>0</v>
      </c>
      <c r="N7" s="157">
        <f>+MS!N7-CGA!N7</f>
        <v>0</v>
      </c>
    </row>
    <row r="8" spans="1:14" x14ac:dyDescent="0.25">
      <c r="A8" s="156" t="s">
        <v>76</v>
      </c>
      <c r="B8" s="157">
        <f>+MS!B8-CGA!B8</f>
        <v>0</v>
      </c>
      <c r="C8" s="157">
        <f>+MS!C8-CGA!C8</f>
        <v>0</v>
      </c>
      <c r="D8" s="157">
        <f>+MS!D8-CGA!D8</f>
        <v>206183.31</v>
      </c>
      <c r="E8" s="157">
        <f>+MS!E8-CGA!E8</f>
        <v>0</v>
      </c>
      <c r="F8" s="157">
        <f>+MS!F8-CGA!F8</f>
        <v>0</v>
      </c>
      <c r="G8" s="157">
        <f>+MS!G8-CGA!G8</f>
        <v>0</v>
      </c>
      <c r="H8" s="157">
        <f>+MS!H8-CGA!H8</f>
        <v>0</v>
      </c>
      <c r="I8" s="157">
        <f>+MS!I8-CGA!I8</f>
        <v>0</v>
      </c>
      <c r="J8" s="157">
        <f>+MS!J8-CGA!J8</f>
        <v>0</v>
      </c>
      <c r="K8" s="157">
        <f>+MS!K8-CGA!K8</f>
        <v>341.25999999998021</v>
      </c>
      <c r="L8" s="157">
        <f>+MS!L8-CGA!L8</f>
        <v>0</v>
      </c>
      <c r="M8" s="157">
        <f>+MS!M8-CGA!M8</f>
        <v>1295.929999999993</v>
      </c>
      <c r="N8" s="157">
        <f>+MS!N8-CGA!N8</f>
        <v>207820.5</v>
      </c>
    </row>
    <row r="9" spans="1:14" x14ac:dyDescent="0.25">
      <c r="A9" s="156" t="s">
        <v>77</v>
      </c>
      <c r="B9" s="157">
        <f>+MS!B9-CGA!B9</f>
        <v>0</v>
      </c>
      <c r="C9" s="157">
        <f>+MS!C9-CGA!C9</f>
        <v>3965966.51</v>
      </c>
      <c r="D9" s="157">
        <f>+MS!D9-CGA!D9</f>
        <v>542071.98</v>
      </c>
      <c r="E9" s="157">
        <f>+MS!E9-CGA!E9</f>
        <v>0</v>
      </c>
      <c r="F9" s="157">
        <f>+MS!F9-CGA!F9</f>
        <v>0</v>
      </c>
      <c r="G9" s="157">
        <f>+MS!G9-CGA!G9</f>
        <v>0</v>
      </c>
      <c r="H9" s="157">
        <f>+MS!H9-CGA!H9</f>
        <v>0</v>
      </c>
      <c r="I9" s="157">
        <f>+MS!I9-CGA!I9</f>
        <v>0</v>
      </c>
      <c r="J9" s="157">
        <f>+MS!J9-CGA!J9</f>
        <v>0</v>
      </c>
      <c r="K9" s="157">
        <f>+MS!K9-CGA!K9</f>
        <v>0</v>
      </c>
      <c r="L9" s="157">
        <f>+MS!L9-CGA!L9</f>
        <v>0</v>
      </c>
      <c r="M9" s="157">
        <f>+MS!M9-CGA!M9</f>
        <v>0</v>
      </c>
      <c r="N9" s="157">
        <f>+MS!N9-CGA!N9</f>
        <v>4508038.4899999946</v>
      </c>
    </row>
    <row r="10" spans="1:14" x14ac:dyDescent="0.25">
      <c r="A10" s="156" t="s">
        <v>20</v>
      </c>
      <c r="B10" s="157">
        <f>+MS!B10-CGA!B10</f>
        <v>0</v>
      </c>
      <c r="C10" s="157">
        <f>+MS!C10-CGA!C10</f>
        <v>-3965966.51</v>
      </c>
      <c r="D10" s="157">
        <f>+MS!D10-CGA!D10</f>
        <v>-748255.29</v>
      </c>
      <c r="E10" s="157">
        <f>+MS!E10-CGA!E10</f>
        <v>0</v>
      </c>
      <c r="F10" s="157">
        <f>+MS!F10-CGA!F10</f>
        <v>0</v>
      </c>
      <c r="G10" s="157">
        <f>+MS!G10-CGA!G10</f>
        <v>0</v>
      </c>
      <c r="H10" s="157">
        <f>+MS!H10-CGA!H10</f>
        <v>0</v>
      </c>
      <c r="I10" s="157">
        <f>+MS!I10-CGA!I10</f>
        <v>0</v>
      </c>
      <c r="J10" s="157">
        <f>+MS!J10-CGA!J10</f>
        <v>0</v>
      </c>
      <c r="K10" s="157">
        <f>+MS!K10-CGA!K10</f>
        <v>0</v>
      </c>
      <c r="L10" s="157">
        <f>+MS!L10-CGA!L10</f>
        <v>0</v>
      </c>
      <c r="M10" s="157">
        <f>+MS!M10-CGA!M10</f>
        <v>-4144.47</v>
      </c>
      <c r="N10" s="157">
        <f>+MS!N10-CGA!N10</f>
        <v>-4718366.2700000005</v>
      </c>
    </row>
    <row r="11" spans="1:14" x14ac:dyDescent="0.25">
      <c r="A11" s="156" t="s">
        <v>19</v>
      </c>
      <c r="B11" s="157">
        <f>+MS!B11-CGA!B11</f>
        <v>0</v>
      </c>
      <c r="C11" s="157">
        <f>+MS!C11-CGA!C11</f>
        <v>0</v>
      </c>
      <c r="D11" s="157">
        <f>+MS!D11-CGA!D11</f>
        <v>0</v>
      </c>
      <c r="E11" s="157">
        <f>+MS!E11-CGA!E11</f>
        <v>0</v>
      </c>
      <c r="F11" s="157">
        <f>+MS!F11-CGA!F11</f>
        <v>0</v>
      </c>
      <c r="G11" s="157">
        <f>+MS!G11-CGA!G11</f>
        <v>0</v>
      </c>
      <c r="H11" s="157">
        <f>+MS!H11-CGA!H11</f>
        <v>0</v>
      </c>
      <c r="I11" s="157">
        <f>+MS!I11-CGA!I11</f>
        <v>0</v>
      </c>
      <c r="J11" s="157">
        <f>+MS!J11-CGA!J11</f>
        <v>0</v>
      </c>
      <c r="K11" s="157">
        <f>+MS!K11-CGA!K11</f>
        <v>-401.17000000004191</v>
      </c>
      <c r="L11" s="157">
        <f>+MS!L11-CGA!L11</f>
        <v>0</v>
      </c>
      <c r="M11" s="157">
        <f>+MS!M11-CGA!M11</f>
        <v>-8494</v>
      </c>
      <c r="N11" s="157">
        <f>+MS!N11-CGA!N11</f>
        <v>-8895.1700000000419</v>
      </c>
    </row>
    <row r="12" spans="1:14" x14ac:dyDescent="0.25">
      <c r="A12" s="156" t="s">
        <v>21</v>
      </c>
      <c r="B12" s="157">
        <f>+MS!B12-CGA!B12</f>
        <v>0</v>
      </c>
      <c r="C12" s="157">
        <f>+MS!C12-CGA!C12</f>
        <v>0</v>
      </c>
      <c r="D12" s="157">
        <f>+MS!D12-CGA!D12</f>
        <v>0</v>
      </c>
      <c r="E12" s="157">
        <f>+MS!E12-CGA!E12</f>
        <v>0</v>
      </c>
      <c r="F12" s="157">
        <f>+MS!F12-CGA!F12</f>
        <v>0</v>
      </c>
      <c r="G12" s="157">
        <f>+MS!G12-CGA!G12</f>
        <v>0</v>
      </c>
      <c r="H12" s="157">
        <f>+MS!H12-CGA!H12</f>
        <v>0</v>
      </c>
      <c r="I12" s="157">
        <f>+MS!I12-CGA!I12</f>
        <v>0</v>
      </c>
      <c r="J12" s="157">
        <f>+MS!J12-CGA!J12</f>
        <v>0</v>
      </c>
      <c r="K12" s="157">
        <f>+MS!K12-CGA!K12</f>
        <v>0</v>
      </c>
      <c r="L12" s="157">
        <f>+MS!L12-CGA!L12</f>
        <v>0</v>
      </c>
      <c r="M12" s="157">
        <f>+MS!M12-CGA!M12</f>
        <v>0</v>
      </c>
      <c r="N12" s="157">
        <f>+MS!N12-CGA!N12</f>
        <v>0</v>
      </c>
    </row>
    <row r="13" spans="1:14" x14ac:dyDescent="0.25">
      <c r="A13" s="156" t="s">
        <v>22</v>
      </c>
      <c r="B13" s="157">
        <f>+MS!B13-CGA!B13</f>
        <v>0</v>
      </c>
      <c r="C13" s="157">
        <f>+MS!C13-CGA!C13</f>
        <v>0</v>
      </c>
      <c r="D13" s="157">
        <f>+MS!D13-CGA!D13</f>
        <v>0</v>
      </c>
      <c r="E13" s="157">
        <f>+MS!E13-CGA!E13</f>
        <v>0</v>
      </c>
      <c r="F13" s="157">
        <f>+MS!F13-CGA!F13</f>
        <v>0</v>
      </c>
      <c r="G13" s="157">
        <f>+MS!G13-CGA!G13</f>
        <v>0</v>
      </c>
      <c r="H13" s="157">
        <f>+MS!H13-CGA!H13</f>
        <v>0</v>
      </c>
      <c r="I13" s="157">
        <f>+MS!I13-CGA!I13</f>
        <v>0</v>
      </c>
      <c r="J13" s="157">
        <f>+MS!J13-CGA!J13</f>
        <v>0</v>
      </c>
      <c r="K13" s="157">
        <f>+MS!K13-CGA!K13</f>
        <v>-2819.7600000000093</v>
      </c>
      <c r="L13" s="157">
        <f>+MS!L13-CGA!L13</f>
        <v>0</v>
      </c>
      <c r="M13" s="157">
        <f>+MS!M13-CGA!M13</f>
        <v>-203394.77</v>
      </c>
      <c r="N13" s="157">
        <f>+MS!N13-CGA!N13</f>
        <v>-206214.53000000119</v>
      </c>
    </row>
    <row r="14" spans="1:14" ht="19.5" x14ac:dyDescent="0.25">
      <c r="A14" s="156" t="s">
        <v>78</v>
      </c>
      <c r="B14" s="157">
        <f>+MS!B14-CGA!B14</f>
        <v>-1073025</v>
      </c>
      <c r="C14" s="157">
        <f>+MS!C14-CGA!C14</f>
        <v>0</v>
      </c>
      <c r="D14" s="157">
        <f>+MS!D14-CGA!D14</f>
        <v>0</v>
      </c>
      <c r="E14" s="157">
        <f>+MS!E14-CGA!E14</f>
        <v>0</v>
      </c>
      <c r="F14" s="157">
        <f>+MS!F14-CGA!F14</f>
        <v>0</v>
      </c>
      <c r="G14" s="157">
        <f>+MS!G14-CGA!G14</f>
        <v>0</v>
      </c>
      <c r="H14" s="157">
        <f>+MS!H14-CGA!H14</f>
        <v>0</v>
      </c>
      <c r="I14" s="157">
        <f>+MS!I14-CGA!I14</f>
        <v>0</v>
      </c>
      <c r="J14" s="157">
        <f>+MS!J14-CGA!J14</f>
        <v>0</v>
      </c>
      <c r="K14" s="157">
        <f>+MS!K14-CGA!K14</f>
        <v>0</v>
      </c>
      <c r="L14" s="157">
        <f>+MS!L14-CGA!L14</f>
        <v>0</v>
      </c>
      <c r="M14" s="157">
        <f>+MS!M14-CGA!M14</f>
        <v>0</v>
      </c>
      <c r="N14" s="157">
        <f>+MS!N14-CGA!N14</f>
        <v>-1073025</v>
      </c>
    </row>
    <row r="15" spans="1:14" x14ac:dyDescent="0.25">
      <c r="A15" s="156" t="s">
        <v>79</v>
      </c>
      <c r="B15" s="157">
        <f>+MS!B15-CGA!B15</f>
        <v>1073025</v>
      </c>
      <c r="C15" s="157">
        <f>+MS!C15-CGA!C15</f>
        <v>0</v>
      </c>
      <c r="D15" s="157">
        <f>+MS!D15-CGA!D15</f>
        <v>0</v>
      </c>
      <c r="E15" s="157">
        <f>+MS!E15-CGA!E15</f>
        <v>0</v>
      </c>
      <c r="F15" s="157">
        <f>+MS!F15-CGA!F15</f>
        <v>0</v>
      </c>
      <c r="G15" s="157">
        <f>+MS!G15-CGA!G15</f>
        <v>0</v>
      </c>
      <c r="H15" s="157">
        <f>+MS!H15-CGA!H15</f>
        <v>0</v>
      </c>
      <c r="I15" s="157">
        <f>+MS!I15-CGA!I15</f>
        <v>0</v>
      </c>
      <c r="J15" s="157">
        <f>+MS!J15-CGA!J15</f>
        <v>0</v>
      </c>
      <c r="K15" s="157">
        <f>+MS!K15-CGA!K15</f>
        <v>0</v>
      </c>
      <c r="L15" s="157">
        <f>+MS!L15-CGA!L15</f>
        <v>0</v>
      </c>
      <c r="M15" s="157">
        <f>+MS!M15-CGA!M15</f>
        <v>0</v>
      </c>
      <c r="N15" s="157">
        <f>+MS!N15-CGA!N15</f>
        <v>1073025</v>
      </c>
    </row>
    <row r="16" spans="1:14" x14ac:dyDescent="0.25">
      <c r="A16" s="156" t="s">
        <v>80</v>
      </c>
      <c r="B16" s="157">
        <f>+MS!B16-CGA!B16</f>
        <v>0</v>
      </c>
      <c r="C16" s="157">
        <f>+MS!C16-CGA!C16</f>
        <v>0</v>
      </c>
      <c r="D16" s="157">
        <f>+MS!D16-CGA!D16</f>
        <v>0</v>
      </c>
      <c r="E16" s="157">
        <f>+MS!E16-CGA!E16</f>
        <v>0</v>
      </c>
      <c r="F16" s="157">
        <f>+MS!F16-CGA!F16</f>
        <v>0</v>
      </c>
      <c r="G16" s="157">
        <f>+MS!G16-CGA!G16</f>
        <v>0</v>
      </c>
      <c r="H16" s="157">
        <f>+MS!H16-CGA!H16</f>
        <v>0</v>
      </c>
      <c r="I16" s="157">
        <f>+MS!I16-CGA!I16</f>
        <v>0</v>
      </c>
      <c r="J16" s="157">
        <f>+MS!J16-CGA!J16</f>
        <v>0</v>
      </c>
      <c r="K16" s="157">
        <f>+MS!K16-CGA!K16</f>
        <v>0</v>
      </c>
      <c r="L16" s="157">
        <f>+MS!L16-CGA!L16</f>
        <v>0</v>
      </c>
      <c r="M16" s="157">
        <f>+MS!M16-CGA!M16</f>
        <v>20097</v>
      </c>
      <c r="N16" s="157">
        <f>+MS!N16-CGA!N16</f>
        <v>20097</v>
      </c>
    </row>
    <row r="17" spans="1:14" x14ac:dyDescent="0.25">
      <c r="A17" s="156" t="s">
        <v>81</v>
      </c>
      <c r="B17" s="157">
        <f>+MS!B17-CGA!B17</f>
        <v>0</v>
      </c>
      <c r="C17" s="157">
        <f>+MS!C17-CGA!C17</f>
        <v>0</v>
      </c>
      <c r="D17" s="157">
        <f>+MS!D17-CGA!D17</f>
        <v>0</v>
      </c>
      <c r="E17" s="157">
        <f>+MS!E17-CGA!E17</f>
        <v>0</v>
      </c>
      <c r="F17" s="157">
        <f>+MS!F17-CGA!F17</f>
        <v>0</v>
      </c>
      <c r="G17" s="157">
        <f>+MS!G17-CGA!G17</f>
        <v>0</v>
      </c>
      <c r="H17" s="157">
        <f>+MS!H17-CGA!H17</f>
        <v>0</v>
      </c>
      <c r="I17" s="157">
        <f>+MS!I17-CGA!I17</f>
        <v>0</v>
      </c>
      <c r="J17" s="157">
        <f>+MS!J17-CGA!J17</f>
        <v>0</v>
      </c>
      <c r="K17" s="157">
        <f>+MS!K17-CGA!K17</f>
        <v>0</v>
      </c>
      <c r="L17" s="157">
        <f>+MS!L17-CGA!L17</f>
        <v>0</v>
      </c>
      <c r="M17" s="157">
        <f>+MS!M17-CGA!M17</f>
        <v>0</v>
      </c>
      <c r="N17" s="157">
        <f>+MS!N17-CGA!N17</f>
        <v>0</v>
      </c>
    </row>
    <row r="18" spans="1:14" x14ac:dyDescent="0.25">
      <c r="A18" s="156" t="s">
        <v>82</v>
      </c>
      <c r="B18" s="157">
        <f>+MS!B18-CGA!B18</f>
        <v>0</v>
      </c>
      <c r="C18" s="157">
        <f>+MS!C18-CGA!C18</f>
        <v>0</v>
      </c>
      <c r="D18" s="157">
        <f>+MS!D18-CGA!D18</f>
        <v>0</v>
      </c>
      <c r="E18" s="157">
        <f>+MS!E18-CGA!E18</f>
        <v>0</v>
      </c>
      <c r="F18" s="157">
        <f>+MS!F18-CGA!F18</f>
        <v>0</v>
      </c>
      <c r="G18" s="157">
        <f>+MS!G18-CGA!G18</f>
        <v>0</v>
      </c>
      <c r="H18" s="157">
        <f>+MS!H18-CGA!H18</f>
        <v>0</v>
      </c>
      <c r="I18" s="157">
        <f>+MS!I18-CGA!I18</f>
        <v>0</v>
      </c>
      <c r="J18" s="157">
        <f>+MS!J18-CGA!J18</f>
        <v>0</v>
      </c>
      <c r="K18" s="157">
        <f>+MS!K18-CGA!K18</f>
        <v>0</v>
      </c>
      <c r="L18" s="157">
        <f>+MS!L18-CGA!L18</f>
        <v>0</v>
      </c>
      <c r="M18" s="157">
        <f>+MS!M18-CGA!M18</f>
        <v>0</v>
      </c>
      <c r="N18" s="157">
        <f>+MS!N18-CGA!N18</f>
        <v>0</v>
      </c>
    </row>
    <row r="19" spans="1:14" ht="19.5" x14ac:dyDescent="0.25">
      <c r="A19" s="156" t="s">
        <v>28</v>
      </c>
      <c r="B19" s="157">
        <f>+MS!B19-CGA!B19</f>
        <v>0</v>
      </c>
      <c r="C19" s="157">
        <f>+MS!C19-CGA!C19</f>
        <v>0</v>
      </c>
      <c r="D19" s="157">
        <f>+MS!D19-CGA!D19</f>
        <v>0</v>
      </c>
      <c r="E19" s="157">
        <f>+MS!E19-CGA!E19</f>
        <v>0</v>
      </c>
      <c r="F19" s="157">
        <f>+MS!F19-CGA!F19</f>
        <v>0</v>
      </c>
      <c r="G19" s="157">
        <f>+MS!G19-CGA!G19</f>
        <v>0</v>
      </c>
      <c r="H19" s="157">
        <f>+MS!H19-CGA!H19</f>
        <v>0</v>
      </c>
      <c r="I19" s="157">
        <f>+MS!I19-CGA!I19</f>
        <v>0</v>
      </c>
      <c r="J19" s="157">
        <f>+MS!J19-CGA!J19</f>
        <v>0</v>
      </c>
      <c r="K19" s="157">
        <f>+MS!K19-CGA!K19</f>
        <v>0</v>
      </c>
      <c r="L19" s="157">
        <f>+MS!L19-CGA!L19</f>
        <v>0</v>
      </c>
      <c r="M19" s="157">
        <f>+MS!M19-CGA!M19</f>
        <v>0</v>
      </c>
      <c r="N19" s="157">
        <f>+MS!N19-CGA!N19</f>
        <v>0</v>
      </c>
    </row>
    <row r="20" spans="1:14" x14ac:dyDescent="0.25">
      <c r="A20" s="156" t="s">
        <v>29</v>
      </c>
      <c r="B20" s="157">
        <f>+MS!B20-CGA!B20</f>
        <v>0</v>
      </c>
      <c r="C20" s="157">
        <f>+MS!C20-CGA!C20</f>
        <v>100</v>
      </c>
      <c r="D20" s="157">
        <f>+MS!D20-CGA!D20</f>
        <v>0</v>
      </c>
      <c r="E20" s="157">
        <f>+MS!E20-CGA!E20</f>
        <v>0</v>
      </c>
      <c r="F20" s="157">
        <f>+MS!F20-CGA!F20</f>
        <v>0</v>
      </c>
      <c r="G20" s="157">
        <f>+MS!G20-CGA!G20</f>
        <v>0</v>
      </c>
      <c r="H20" s="157">
        <f>+MS!H20-CGA!H20</f>
        <v>0</v>
      </c>
      <c r="I20" s="157">
        <f>+MS!I20-CGA!I20</f>
        <v>0</v>
      </c>
      <c r="J20" s="157">
        <f>+MS!J20-CGA!J20</f>
        <v>0</v>
      </c>
      <c r="K20" s="157">
        <f>+MS!K20-CGA!K20</f>
        <v>0</v>
      </c>
      <c r="L20" s="157">
        <f>+MS!L20-CGA!L20</f>
        <v>0</v>
      </c>
      <c r="M20" s="157">
        <f>+MS!M20-CGA!M20</f>
        <v>0</v>
      </c>
      <c r="N20" s="157">
        <f>+MS!N20-CGA!N20</f>
        <v>100</v>
      </c>
    </row>
    <row r="21" spans="1:14" x14ac:dyDescent="0.25">
      <c r="A21" s="156" t="s">
        <v>83</v>
      </c>
      <c r="B21" s="157">
        <f>+MS!B21-CGA!B21</f>
        <v>0</v>
      </c>
      <c r="C21" s="157">
        <f>+MS!C21-CGA!C21</f>
        <v>-100</v>
      </c>
      <c r="D21" s="157">
        <f>+MS!D21-CGA!D21</f>
        <v>0</v>
      </c>
      <c r="E21" s="157">
        <f>+MS!E21-CGA!E21</f>
        <v>0</v>
      </c>
      <c r="F21" s="157">
        <f>+MS!F21-CGA!F21</f>
        <v>0</v>
      </c>
      <c r="G21" s="157">
        <f>+MS!G21-CGA!G21</f>
        <v>0</v>
      </c>
      <c r="H21" s="157">
        <f>+MS!H21-CGA!H21</f>
        <v>0</v>
      </c>
      <c r="I21" s="157">
        <f>+MS!I21-CGA!I21</f>
        <v>0</v>
      </c>
      <c r="J21" s="157">
        <f>+MS!J21-CGA!J21</f>
        <v>0</v>
      </c>
      <c r="K21" s="157">
        <f>+MS!K21-CGA!K21</f>
        <v>0</v>
      </c>
      <c r="L21" s="157">
        <f>+MS!L21-CGA!L21</f>
        <v>0</v>
      </c>
      <c r="M21" s="157">
        <f>+MS!M21-CGA!M21</f>
        <v>0</v>
      </c>
      <c r="N21" s="157">
        <f>+MS!N21-CGA!N21</f>
        <v>-100</v>
      </c>
    </row>
    <row r="22" spans="1:14" x14ac:dyDescent="0.25">
      <c r="A22" s="158" t="s">
        <v>30</v>
      </c>
      <c r="B22" s="157">
        <f>+MS!B22-CGA!B22</f>
        <v>0</v>
      </c>
      <c r="C22" s="157">
        <f>+MS!C22-CGA!C22</f>
        <v>0</v>
      </c>
      <c r="D22" s="157">
        <f>+MS!D22-CGA!D22</f>
        <v>0</v>
      </c>
      <c r="E22" s="157">
        <f>+MS!E22-CGA!E22</f>
        <v>0</v>
      </c>
      <c r="F22" s="157">
        <f>+MS!F22-CGA!F22</f>
        <v>0</v>
      </c>
      <c r="G22" s="157">
        <f>+MS!G22-CGA!G22</f>
        <v>0</v>
      </c>
      <c r="H22" s="157">
        <f>+MS!H22-CGA!H22</f>
        <v>0</v>
      </c>
      <c r="I22" s="157">
        <f>+MS!I22-CGA!I22</f>
        <v>0</v>
      </c>
      <c r="J22" s="157">
        <f>+MS!J22-CGA!J22</f>
        <v>0</v>
      </c>
      <c r="K22" s="157">
        <f>+MS!K22-CGA!K22</f>
        <v>0</v>
      </c>
      <c r="L22" s="157">
        <f>+MS!L22-CGA!L22</f>
        <v>0</v>
      </c>
      <c r="M22" s="157">
        <f>+MS!M22-CGA!M22</f>
        <v>0.18999999999999773</v>
      </c>
      <c r="N22" s="157">
        <f>+MS!N22-CGA!N22</f>
        <v>0.18999999994412065</v>
      </c>
    </row>
    <row r="23" spans="1:14" x14ac:dyDescent="0.25">
      <c r="A23" s="38" t="s">
        <v>84</v>
      </c>
      <c r="B23" s="159">
        <f>+MS!B23-CGA!B23</f>
        <v>0</v>
      </c>
      <c r="C23" s="159">
        <f>+MS!C23-CGA!C23</f>
        <v>0</v>
      </c>
      <c r="D23" s="159">
        <f>+MS!D23-CGA!D23</f>
        <v>0</v>
      </c>
      <c r="E23" s="159">
        <f>+MS!E23-CGA!E23</f>
        <v>0</v>
      </c>
      <c r="F23" s="159">
        <f>+MS!F23-CGA!F23</f>
        <v>0</v>
      </c>
      <c r="G23" s="159">
        <f>+MS!G23-CGA!G23</f>
        <v>0</v>
      </c>
      <c r="H23" s="159">
        <f>+MS!H23-CGA!H23</f>
        <v>0</v>
      </c>
      <c r="I23" s="159">
        <f>+MS!I23-CGA!I23</f>
        <v>0</v>
      </c>
      <c r="J23" s="159">
        <f>+MS!J23-CGA!J23</f>
        <v>0</v>
      </c>
      <c r="K23" s="159">
        <f>+MS!K23-CGA!K23</f>
        <v>-1793.8899999996647</v>
      </c>
      <c r="L23" s="159">
        <f>+MS!L23-CGA!L23</f>
        <v>0</v>
      </c>
      <c r="M23" s="159">
        <f>+MS!M23-CGA!M23</f>
        <v>-208272.12000000011</v>
      </c>
      <c r="N23" s="159">
        <f>+MS!N23-CGA!N23</f>
        <v>-210066.00999999046</v>
      </c>
    </row>
    <row r="24" spans="1:14" x14ac:dyDescent="0.25">
      <c r="A24" s="156" t="s">
        <v>85</v>
      </c>
      <c r="B24" s="157">
        <f>+MS!B24-CGA!B24</f>
        <v>0</v>
      </c>
      <c r="C24" s="157">
        <f>+MS!C24-CGA!C24</f>
        <v>0</v>
      </c>
      <c r="D24" s="157">
        <f>+MS!D24-CGA!D24</f>
        <v>0</v>
      </c>
      <c r="E24" s="157">
        <f>+MS!E24-CGA!E24</f>
        <v>0</v>
      </c>
      <c r="F24" s="157">
        <f>+MS!F24-CGA!F24</f>
        <v>0</v>
      </c>
      <c r="G24" s="157">
        <f>+MS!G24-CGA!G24</f>
        <v>0</v>
      </c>
      <c r="H24" s="157">
        <f>+MS!H24-CGA!H24</f>
        <v>0</v>
      </c>
      <c r="I24" s="157">
        <f>+MS!I24-CGA!I24</f>
        <v>0</v>
      </c>
      <c r="J24" s="157">
        <f>+MS!J24-CGA!J24</f>
        <v>0</v>
      </c>
      <c r="K24" s="157">
        <f>+MS!K24-CGA!K24</f>
        <v>1085</v>
      </c>
      <c r="L24" s="157">
        <f>+MS!L24-CGA!L24</f>
        <v>0</v>
      </c>
      <c r="M24" s="157">
        <f>+MS!M24-CGA!M24</f>
        <v>0</v>
      </c>
      <c r="N24" s="157">
        <f>+MS!N24-CGA!N24</f>
        <v>1085</v>
      </c>
    </row>
    <row r="25" spans="1:14" ht="19.5" x14ac:dyDescent="0.25">
      <c r="A25" s="156" t="s">
        <v>35</v>
      </c>
      <c r="B25" s="157">
        <f>+MS!B25-CGA!B25</f>
        <v>0</v>
      </c>
      <c r="C25" s="157">
        <f>+MS!C25-CGA!C25</f>
        <v>0</v>
      </c>
      <c r="D25" s="157">
        <f>+MS!D25-CGA!D25</f>
        <v>0</v>
      </c>
      <c r="E25" s="157">
        <f>+MS!E25-CGA!E25</f>
        <v>0</v>
      </c>
      <c r="F25" s="157">
        <f>+MS!F25-CGA!F25</f>
        <v>0</v>
      </c>
      <c r="G25" s="157">
        <f>+MS!G25-CGA!G25</f>
        <v>0</v>
      </c>
      <c r="H25" s="157">
        <f>+MS!H25-CGA!H25</f>
        <v>0</v>
      </c>
      <c r="I25" s="157">
        <f>+MS!I25-CGA!I25</f>
        <v>0</v>
      </c>
      <c r="J25" s="157">
        <f>+MS!J25-CGA!J25</f>
        <v>0</v>
      </c>
      <c r="K25" s="157">
        <f>+MS!K25-CGA!K25</f>
        <v>0</v>
      </c>
      <c r="L25" s="157">
        <f>+MS!L25-CGA!L25</f>
        <v>-990769.2</v>
      </c>
      <c r="M25" s="157">
        <f>+MS!M25-CGA!M25</f>
        <v>0</v>
      </c>
      <c r="N25" s="157">
        <f>+MS!N25-CGA!N25</f>
        <v>-990769.19999999925</v>
      </c>
    </row>
    <row r="26" spans="1:14" ht="19.5" x14ac:dyDescent="0.25">
      <c r="A26" s="156" t="s">
        <v>86</v>
      </c>
      <c r="B26" s="157">
        <f>+MS!B26-CGA!B26</f>
        <v>0</v>
      </c>
      <c r="C26" s="157">
        <f>+MS!C26-CGA!C26</f>
        <v>0</v>
      </c>
      <c r="D26" s="157">
        <f>+MS!D26-CGA!D26</f>
        <v>0</v>
      </c>
      <c r="E26" s="157">
        <f>+MS!E26-CGA!E26</f>
        <v>0</v>
      </c>
      <c r="F26" s="157">
        <f>+MS!F26-CGA!F26</f>
        <v>0</v>
      </c>
      <c r="G26" s="157">
        <f>+MS!G26-CGA!G26</f>
        <v>0</v>
      </c>
      <c r="H26" s="157">
        <f>+MS!H26-CGA!H26</f>
        <v>0</v>
      </c>
      <c r="I26" s="157">
        <f>+MS!I26-CGA!I26</f>
        <v>0</v>
      </c>
      <c r="J26" s="157">
        <f>+MS!J26-CGA!J26</f>
        <v>0</v>
      </c>
      <c r="K26" s="157">
        <f>+MS!K26-CGA!K26</f>
        <v>0</v>
      </c>
      <c r="L26" s="157">
        <f>+MS!L26-CGA!L26</f>
        <v>0</v>
      </c>
      <c r="M26" s="157">
        <f>+MS!M26-CGA!M26</f>
        <v>0</v>
      </c>
      <c r="N26" s="157">
        <f>+MS!N26-CGA!N26</f>
        <v>0</v>
      </c>
    </row>
    <row r="27" spans="1:14" x14ac:dyDescent="0.25">
      <c r="A27" s="156" t="s">
        <v>87</v>
      </c>
      <c r="B27" s="157">
        <f>+MS!B27-CGA!B27</f>
        <v>0</v>
      </c>
      <c r="C27" s="157">
        <f>+MS!C27-CGA!C27</f>
        <v>-307234.01</v>
      </c>
      <c r="D27" s="157">
        <f>+MS!D27-CGA!D27</f>
        <v>0</v>
      </c>
      <c r="E27" s="157">
        <f>+MS!E27-CGA!E27</f>
        <v>0</v>
      </c>
      <c r="F27" s="157">
        <f>+MS!F27-CGA!F27</f>
        <v>0</v>
      </c>
      <c r="G27" s="157">
        <f>+MS!G27-CGA!G27</f>
        <v>0</v>
      </c>
      <c r="H27" s="157">
        <f>+MS!H27-CGA!H27</f>
        <v>0</v>
      </c>
      <c r="I27" s="157">
        <f>+MS!I27-CGA!I27</f>
        <v>0</v>
      </c>
      <c r="J27" s="157">
        <f>+MS!J27-CGA!J27</f>
        <v>0</v>
      </c>
      <c r="K27" s="157">
        <f>+MS!K27-CGA!K27</f>
        <v>-102244.16</v>
      </c>
      <c r="L27" s="157">
        <f>+MS!L27-CGA!L27</f>
        <v>14034.17</v>
      </c>
      <c r="M27" s="157">
        <f>+MS!M27-CGA!M27</f>
        <v>-250136</v>
      </c>
      <c r="N27" s="157">
        <f>+MS!N27-CGA!N27</f>
        <v>-645580</v>
      </c>
    </row>
    <row r="28" spans="1:14" x14ac:dyDescent="0.25">
      <c r="A28" s="156" t="s">
        <v>88</v>
      </c>
      <c r="B28" s="157">
        <f>+MS!B28-CGA!B28</f>
        <v>0</v>
      </c>
      <c r="C28" s="157">
        <f>+MS!C28-CGA!C28</f>
        <v>-1667081</v>
      </c>
      <c r="D28" s="157">
        <f>+MS!D28-CGA!D28</f>
        <v>0</v>
      </c>
      <c r="E28" s="157">
        <f>+MS!E28-CGA!E28</f>
        <v>0</v>
      </c>
      <c r="F28" s="157">
        <f>+MS!F28-CGA!F28</f>
        <v>-535193.22</v>
      </c>
      <c r="G28" s="157">
        <f>+MS!G28-CGA!G28</f>
        <v>0</v>
      </c>
      <c r="H28" s="157">
        <f>+MS!H28-CGA!H28</f>
        <v>0</v>
      </c>
      <c r="I28" s="157">
        <f>+MS!I28-CGA!I28</f>
        <v>0</v>
      </c>
      <c r="J28" s="157">
        <f>+MS!J28-CGA!J28</f>
        <v>0</v>
      </c>
      <c r="K28" s="157">
        <f>+MS!K28-CGA!K28</f>
        <v>0</v>
      </c>
      <c r="L28" s="157">
        <f>+MS!L28-CGA!L28</f>
        <v>282302</v>
      </c>
      <c r="M28" s="157">
        <f>+MS!M28-CGA!M28</f>
        <v>-995425</v>
      </c>
      <c r="N28" s="157">
        <f>+MS!N28-CGA!N28</f>
        <v>-2915397.2199999997</v>
      </c>
    </row>
    <row r="29" spans="1:14" x14ac:dyDescent="0.25">
      <c r="A29" s="156" t="s">
        <v>39</v>
      </c>
      <c r="B29" s="157">
        <f>+MS!B29-CGA!B29</f>
        <v>0</v>
      </c>
      <c r="C29" s="157">
        <f>+MS!C29-CGA!C29</f>
        <v>0</v>
      </c>
      <c r="D29" s="157">
        <f>+MS!D29-CGA!D29</f>
        <v>5394.4</v>
      </c>
      <c r="E29" s="157">
        <f>+MS!E29-CGA!E29</f>
        <v>0</v>
      </c>
      <c r="F29" s="157">
        <f>+MS!F29-CGA!F29</f>
        <v>0</v>
      </c>
      <c r="G29" s="157">
        <f>+MS!G29-CGA!G29</f>
        <v>0</v>
      </c>
      <c r="H29" s="157">
        <f>+MS!H29-CGA!H29</f>
        <v>0</v>
      </c>
      <c r="I29" s="157">
        <f>+MS!I29-CGA!I29</f>
        <v>0</v>
      </c>
      <c r="J29" s="157">
        <f>+MS!J29-CGA!J29</f>
        <v>0</v>
      </c>
      <c r="K29" s="157">
        <f>+MS!K29-CGA!K29</f>
        <v>0</v>
      </c>
      <c r="L29" s="157">
        <f>+MS!L29-CGA!L29</f>
        <v>0</v>
      </c>
      <c r="M29" s="157">
        <f>+MS!M29-CGA!M29</f>
        <v>-52570</v>
      </c>
      <c r="N29" s="157">
        <f>+MS!N29-CGA!N29</f>
        <v>-47175.599999999627</v>
      </c>
    </row>
    <row r="30" spans="1:14" x14ac:dyDescent="0.25">
      <c r="A30" s="156" t="s">
        <v>40</v>
      </c>
      <c r="B30" s="157">
        <f>+MS!B30-CGA!B30</f>
        <v>0</v>
      </c>
      <c r="C30" s="157">
        <f>+MS!C30-CGA!C30</f>
        <v>1667081</v>
      </c>
      <c r="D30" s="157">
        <f>+MS!D30-CGA!D30</f>
        <v>-5394.91</v>
      </c>
      <c r="E30" s="157">
        <f>+MS!E30-CGA!E30</f>
        <v>0</v>
      </c>
      <c r="F30" s="157">
        <f>+MS!F30-CGA!F30</f>
        <v>535194</v>
      </c>
      <c r="G30" s="157">
        <f>+MS!G30-CGA!G30</f>
        <v>0</v>
      </c>
      <c r="H30" s="157">
        <f>+MS!H30-CGA!H30</f>
        <v>0</v>
      </c>
      <c r="I30" s="157">
        <f>+MS!I30-CGA!I30</f>
        <v>0</v>
      </c>
      <c r="J30" s="157">
        <f>+MS!J30-CGA!J30</f>
        <v>0</v>
      </c>
      <c r="K30" s="157">
        <f>+MS!K30-CGA!K30</f>
        <v>0</v>
      </c>
      <c r="L30" s="157">
        <f>+MS!L30-CGA!L30</f>
        <v>35543.219999999972</v>
      </c>
      <c r="M30" s="157">
        <f>+MS!M30-CGA!M30</f>
        <v>16456</v>
      </c>
      <c r="N30" s="157">
        <f>+MS!N30-CGA!N30</f>
        <v>2248879.3099999996</v>
      </c>
    </row>
    <row r="31" spans="1:14" x14ac:dyDescent="0.25">
      <c r="A31" s="156" t="s">
        <v>89</v>
      </c>
      <c r="B31" s="157">
        <f>+MS!B31-CGA!B31</f>
        <v>0</v>
      </c>
      <c r="C31" s="157">
        <f>+MS!C31-CGA!C31</f>
        <v>0</v>
      </c>
      <c r="D31" s="157">
        <f>+MS!D31-CGA!D31</f>
        <v>0</v>
      </c>
      <c r="E31" s="157">
        <f>+MS!E31-CGA!E31</f>
        <v>0</v>
      </c>
      <c r="F31" s="157">
        <f>+MS!F31-CGA!F31</f>
        <v>0</v>
      </c>
      <c r="G31" s="157">
        <f>+MS!G31-CGA!G31</f>
        <v>0</v>
      </c>
      <c r="H31" s="157">
        <f>+MS!H31-CGA!H31</f>
        <v>0</v>
      </c>
      <c r="I31" s="157">
        <f>+MS!I31-CGA!I31</f>
        <v>0</v>
      </c>
      <c r="J31" s="157">
        <f>+MS!J31-CGA!J31</f>
        <v>0</v>
      </c>
      <c r="K31" s="157">
        <f>+MS!K31-CGA!K31</f>
        <v>0</v>
      </c>
      <c r="L31" s="157">
        <f>+MS!L31-CGA!L31</f>
        <v>0</v>
      </c>
      <c r="M31" s="157">
        <f>+MS!M31-CGA!M31</f>
        <v>0</v>
      </c>
      <c r="N31" s="157">
        <f>+MS!N31-CGA!N31</f>
        <v>0</v>
      </c>
    </row>
    <row r="32" spans="1:14" x14ac:dyDescent="0.25">
      <c r="A32" s="156" t="s">
        <v>90</v>
      </c>
      <c r="B32" s="157">
        <f>+MS!B32-CGA!B32</f>
        <v>0</v>
      </c>
      <c r="C32" s="157">
        <f>+MS!C32-CGA!C32</f>
        <v>0</v>
      </c>
      <c r="D32" s="157">
        <f>+MS!D32-CGA!D32</f>
        <v>0</v>
      </c>
      <c r="E32" s="157">
        <f>+MS!E32-CGA!E32</f>
        <v>0</v>
      </c>
      <c r="F32" s="157">
        <f>+MS!F32-CGA!F32</f>
        <v>0</v>
      </c>
      <c r="G32" s="157">
        <f>+MS!G32-CGA!G32</f>
        <v>0</v>
      </c>
      <c r="H32" s="157">
        <f>+MS!H32-CGA!H32</f>
        <v>0</v>
      </c>
      <c r="I32" s="157">
        <f>+MS!I32-CGA!I32</f>
        <v>0</v>
      </c>
      <c r="J32" s="157">
        <f>+MS!J32-CGA!J32</f>
        <v>0</v>
      </c>
      <c r="K32" s="157">
        <f>+MS!K32-CGA!K32</f>
        <v>0</v>
      </c>
      <c r="L32" s="157">
        <f>+MS!L32-CGA!L32</f>
        <v>-0.74000000000160071</v>
      </c>
      <c r="M32" s="157">
        <f>+MS!M32-CGA!M32</f>
        <v>15241</v>
      </c>
      <c r="N32" s="157">
        <f>+MS!N32-CGA!N32</f>
        <v>15240.259999999776</v>
      </c>
    </row>
    <row r="33" spans="1:14" x14ac:dyDescent="0.25">
      <c r="A33" s="156" t="s">
        <v>91</v>
      </c>
      <c r="B33" s="157">
        <f>+MS!B33-CGA!B33</f>
        <v>0</v>
      </c>
      <c r="C33" s="157">
        <f>+MS!C33-CGA!C33</f>
        <v>0</v>
      </c>
      <c r="D33" s="157">
        <f>+MS!D33-CGA!D33</f>
        <v>0</v>
      </c>
      <c r="E33" s="157">
        <f>+MS!E33-CGA!E33</f>
        <v>0</v>
      </c>
      <c r="F33" s="157">
        <f>+MS!F33-CGA!F33</f>
        <v>0</v>
      </c>
      <c r="G33" s="157">
        <f>+MS!G33-CGA!G33</f>
        <v>0</v>
      </c>
      <c r="H33" s="157">
        <f>+MS!H33-CGA!H33</f>
        <v>0</v>
      </c>
      <c r="I33" s="157">
        <f>+MS!I33-CGA!I33</f>
        <v>0</v>
      </c>
      <c r="J33" s="157">
        <f>+MS!J33-CGA!J33</f>
        <v>0</v>
      </c>
      <c r="K33" s="157">
        <f>+MS!K33-CGA!K33</f>
        <v>0</v>
      </c>
      <c r="L33" s="157">
        <f>+MS!L33-CGA!L33</f>
        <v>0</v>
      </c>
      <c r="M33" s="157">
        <f>+MS!M33-CGA!M33</f>
        <v>0</v>
      </c>
      <c r="N33" s="157">
        <f>+MS!N33-CGA!N33</f>
        <v>0</v>
      </c>
    </row>
    <row r="34" spans="1:14" x14ac:dyDescent="0.25">
      <c r="A34" s="156" t="s">
        <v>46</v>
      </c>
      <c r="B34" s="157">
        <f>+MS!B34-CGA!B34</f>
        <v>0</v>
      </c>
      <c r="C34" s="157">
        <f>+MS!C34-CGA!C34</f>
        <v>0</v>
      </c>
      <c r="D34" s="157">
        <f>+MS!D34-CGA!D34</f>
        <v>0</v>
      </c>
      <c r="E34" s="157">
        <f>+MS!E34-CGA!E34</f>
        <v>0</v>
      </c>
      <c r="F34" s="157">
        <f>+MS!F34-CGA!F34</f>
        <v>0</v>
      </c>
      <c r="G34" s="157">
        <f>+MS!G34-CGA!G34</f>
        <v>0</v>
      </c>
      <c r="H34" s="157">
        <f>+MS!H34-CGA!H34</f>
        <v>0</v>
      </c>
      <c r="I34" s="157">
        <f>+MS!I34-CGA!I34</f>
        <v>0</v>
      </c>
      <c r="J34" s="157">
        <f>+MS!J34-CGA!J34</f>
        <v>0</v>
      </c>
      <c r="K34" s="157">
        <f>+MS!K34-CGA!K34</f>
        <v>0</v>
      </c>
      <c r="L34" s="157">
        <f>+MS!L34-CGA!L34</f>
        <v>0</v>
      </c>
      <c r="M34" s="157">
        <f>+MS!M34-CGA!M34</f>
        <v>0</v>
      </c>
      <c r="N34" s="157">
        <f>+MS!N34-CGA!N34</f>
        <v>0</v>
      </c>
    </row>
    <row r="35" spans="1:14" ht="19.5" x14ac:dyDescent="0.25">
      <c r="A35" s="156" t="s">
        <v>92</v>
      </c>
      <c r="B35" s="157">
        <f>+MS!B35-CGA!B35</f>
        <v>0</v>
      </c>
      <c r="C35" s="157">
        <f>+MS!C35-CGA!C35</f>
        <v>0</v>
      </c>
      <c r="D35" s="157">
        <f>+MS!D35-CGA!D35</f>
        <v>0</v>
      </c>
      <c r="E35" s="157">
        <f>+MS!E35-CGA!E35</f>
        <v>0</v>
      </c>
      <c r="F35" s="157">
        <f>+MS!F35-CGA!F35</f>
        <v>0</v>
      </c>
      <c r="G35" s="157">
        <f>+MS!G35-CGA!G35</f>
        <v>0</v>
      </c>
      <c r="H35" s="157">
        <f>+MS!H35-CGA!H35</f>
        <v>0</v>
      </c>
      <c r="I35" s="157">
        <f>+MS!I35-CGA!I35</f>
        <v>0</v>
      </c>
      <c r="J35" s="157">
        <f>+MS!J35-CGA!J35</f>
        <v>0</v>
      </c>
      <c r="K35" s="157">
        <f>+MS!K35-CGA!K35</f>
        <v>0</v>
      </c>
      <c r="L35" s="157">
        <f>+MS!L35-CGA!L35</f>
        <v>0</v>
      </c>
      <c r="M35" s="157">
        <f>+MS!M35-CGA!M35</f>
        <v>0</v>
      </c>
      <c r="N35" s="157">
        <f>+MS!N35-CGA!N35</f>
        <v>0</v>
      </c>
    </row>
    <row r="36" spans="1:14" ht="19.5" x14ac:dyDescent="0.25">
      <c r="A36" s="156" t="s">
        <v>93</v>
      </c>
      <c r="B36" s="157">
        <f>+MS!B36-CGA!B36</f>
        <v>0</v>
      </c>
      <c r="C36" s="157">
        <f>+MS!C36-CGA!C36</f>
        <v>7512890</v>
      </c>
      <c r="D36" s="157">
        <f>+MS!D36-CGA!D36</f>
        <v>0.46999999997206032</v>
      </c>
      <c r="E36" s="157">
        <f>+MS!E36-CGA!E36</f>
        <v>0</v>
      </c>
      <c r="F36" s="157">
        <f>+MS!F36-CGA!F36</f>
        <v>0</v>
      </c>
      <c r="G36" s="157">
        <f>+MS!G36-CGA!G36</f>
        <v>0</v>
      </c>
      <c r="H36" s="157">
        <f>+MS!H36-CGA!H36</f>
        <v>0</v>
      </c>
      <c r="I36" s="157">
        <f>+MS!I36-CGA!I36</f>
        <v>0</v>
      </c>
      <c r="J36" s="157">
        <f>+MS!J36-CGA!J36</f>
        <v>0</v>
      </c>
      <c r="K36" s="157">
        <f>+MS!K36-CGA!K36</f>
        <v>99364.419999999925</v>
      </c>
      <c r="L36" s="157">
        <f>+MS!L36-CGA!L36</f>
        <v>658890</v>
      </c>
      <c r="M36" s="157">
        <f>+MS!M36-CGA!M36</f>
        <v>1193126</v>
      </c>
      <c r="N36" s="157">
        <f>+MS!N36-CGA!N36</f>
        <v>9464270.8900000006</v>
      </c>
    </row>
    <row r="37" spans="1:14" x14ac:dyDescent="0.25">
      <c r="A37" s="156" t="s">
        <v>94</v>
      </c>
      <c r="B37" s="157">
        <f>+MS!B37-CGA!B37</f>
        <v>0</v>
      </c>
      <c r="C37" s="157">
        <f>+MS!C37-CGA!C37</f>
        <v>-7512890</v>
      </c>
      <c r="D37" s="157">
        <f>+MS!D37-CGA!D37</f>
        <v>0</v>
      </c>
      <c r="E37" s="157">
        <f>+MS!E37-CGA!E37</f>
        <v>0</v>
      </c>
      <c r="F37" s="157">
        <f>+MS!F37-CGA!F37</f>
        <v>0</v>
      </c>
      <c r="G37" s="157">
        <f>+MS!G37-CGA!G37</f>
        <v>0</v>
      </c>
      <c r="H37" s="157">
        <f>+MS!H37-CGA!H37</f>
        <v>0</v>
      </c>
      <c r="I37" s="157">
        <f>+MS!I37-CGA!I37</f>
        <v>0</v>
      </c>
      <c r="J37" s="157">
        <f>+MS!J37-CGA!J37</f>
        <v>0</v>
      </c>
      <c r="K37" s="157">
        <f>+MS!K37-CGA!K37</f>
        <v>0</v>
      </c>
      <c r="L37" s="157">
        <f>+MS!L37-CGA!L37</f>
        <v>0</v>
      </c>
      <c r="M37" s="157">
        <f>+MS!M37-CGA!M37</f>
        <v>0</v>
      </c>
      <c r="N37" s="157">
        <f>+MS!N37-CGA!N37</f>
        <v>-7512890</v>
      </c>
    </row>
    <row r="38" spans="1:14" x14ac:dyDescent="0.25">
      <c r="A38" s="156" t="s">
        <v>95</v>
      </c>
      <c r="B38" s="157">
        <f>+MS!B38-CGA!B38</f>
        <v>0</v>
      </c>
      <c r="C38" s="157">
        <f>+MS!C38-CGA!C38</f>
        <v>0</v>
      </c>
      <c r="D38" s="157">
        <f>+MS!D38-CGA!D38</f>
        <v>0</v>
      </c>
      <c r="E38" s="157">
        <f>+MS!E38-CGA!E38</f>
        <v>0</v>
      </c>
      <c r="F38" s="157">
        <f>+MS!F38-CGA!F38</f>
        <v>0</v>
      </c>
      <c r="G38" s="157">
        <f>+MS!G38-CGA!G38</f>
        <v>0</v>
      </c>
      <c r="H38" s="157">
        <f>+MS!H38-CGA!H38</f>
        <v>0</v>
      </c>
      <c r="I38" s="157">
        <f>+MS!I38-CGA!I38</f>
        <v>0</v>
      </c>
      <c r="J38" s="157">
        <f>+MS!J38-CGA!J38</f>
        <v>0</v>
      </c>
      <c r="K38" s="157">
        <f>+MS!K38-CGA!K38</f>
        <v>0</v>
      </c>
      <c r="L38" s="157">
        <f>+MS!L38-CGA!L38</f>
        <v>0</v>
      </c>
      <c r="M38" s="157">
        <f>+MS!M38-CGA!M38</f>
        <v>0</v>
      </c>
      <c r="N38" s="157">
        <f>+MS!N38-CGA!N38</f>
        <v>0</v>
      </c>
    </row>
    <row r="39" spans="1:14" x14ac:dyDescent="0.25">
      <c r="A39" s="156" t="s">
        <v>89</v>
      </c>
      <c r="B39" s="157">
        <f>+MS!B39-CGA!B39</f>
        <v>0</v>
      </c>
      <c r="C39" s="157">
        <f>+MS!C39-CGA!C39</f>
        <v>0</v>
      </c>
      <c r="D39" s="157">
        <f>+MS!D39-CGA!D39</f>
        <v>0</v>
      </c>
      <c r="E39" s="157">
        <f>+MS!E39-CGA!E39</f>
        <v>0</v>
      </c>
      <c r="F39" s="157">
        <f>+MS!F39-CGA!F39</f>
        <v>0</v>
      </c>
      <c r="G39" s="157">
        <f>+MS!G39-CGA!G39</f>
        <v>0</v>
      </c>
      <c r="H39" s="157">
        <f>+MS!H39-CGA!H39</f>
        <v>0</v>
      </c>
      <c r="I39" s="157">
        <f>+MS!I39-CGA!I39</f>
        <v>0</v>
      </c>
      <c r="J39" s="157">
        <f>+MS!J39-CGA!J39</f>
        <v>0</v>
      </c>
      <c r="K39" s="157">
        <f>+MS!K39-CGA!K39</f>
        <v>0</v>
      </c>
      <c r="L39" s="157">
        <f>+MS!L39-CGA!L39</f>
        <v>0</v>
      </c>
      <c r="M39" s="157">
        <f>+MS!M39-CGA!M39</f>
        <v>0</v>
      </c>
      <c r="N39" s="157">
        <f>+MS!N39-CGA!N39</f>
        <v>0</v>
      </c>
    </row>
    <row r="40" spans="1:14" x14ac:dyDescent="0.25">
      <c r="A40" s="156" t="s">
        <v>53</v>
      </c>
      <c r="B40" s="157">
        <f>+MS!B40-CGA!B40</f>
        <v>0</v>
      </c>
      <c r="C40" s="157">
        <f>+MS!C40-CGA!C40</f>
        <v>0</v>
      </c>
      <c r="D40" s="157">
        <f>+MS!D40-CGA!D40</f>
        <v>0</v>
      </c>
      <c r="E40" s="157">
        <f>+MS!E40-CGA!E40</f>
        <v>0</v>
      </c>
      <c r="F40" s="157">
        <f>+MS!F40-CGA!F40</f>
        <v>0</v>
      </c>
      <c r="G40" s="157">
        <f>+MS!G40-CGA!G40</f>
        <v>0</v>
      </c>
      <c r="H40" s="157">
        <f>+MS!H40-CGA!H40</f>
        <v>0</v>
      </c>
      <c r="I40" s="157">
        <f>+MS!I40-CGA!I40</f>
        <v>0</v>
      </c>
      <c r="J40" s="157">
        <f>+MS!J40-CGA!J40</f>
        <v>0</v>
      </c>
      <c r="K40" s="157">
        <f>+MS!K40-CGA!K40</f>
        <v>0</v>
      </c>
      <c r="L40" s="157">
        <f>+MS!L40-CGA!L40</f>
        <v>0</v>
      </c>
      <c r="M40" s="157">
        <f>+MS!M40-CGA!M40</f>
        <v>0</v>
      </c>
      <c r="N40" s="157">
        <f>+MS!N40-CGA!N40</f>
        <v>0</v>
      </c>
    </row>
    <row r="41" spans="1:14" x14ac:dyDescent="0.25">
      <c r="A41" s="38" t="s">
        <v>50</v>
      </c>
      <c r="B41" s="159">
        <f>+MS!B41-CGA!B41</f>
        <v>0</v>
      </c>
      <c r="C41" s="159">
        <f>+MS!C41-CGA!C41</f>
        <v>-307234.00999999978</v>
      </c>
      <c r="D41" s="159">
        <f>+MS!D41-CGA!D41</f>
        <v>-4.0000000037252903E-2</v>
      </c>
      <c r="E41" s="159">
        <f>+MS!E41-CGA!E41</f>
        <v>0</v>
      </c>
      <c r="F41" s="159">
        <f>+MS!F41-CGA!F41</f>
        <v>0.78000000002793968</v>
      </c>
      <c r="G41" s="159">
        <f>+MS!G41-CGA!G41</f>
        <v>0</v>
      </c>
      <c r="H41" s="159">
        <f>+MS!H41-CGA!H41</f>
        <v>0</v>
      </c>
      <c r="I41" s="159">
        <f>+MS!I41-CGA!I41</f>
        <v>0</v>
      </c>
      <c r="J41" s="159">
        <f>+MS!J41-CGA!J41</f>
        <v>0</v>
      </c>
      <c r="K41" s="159">
        <f>+MS!K41-CGA!K41</f>
        <v>-1794.7400000002235</v>
      </c>
      <c r="L41" s="159">
        <f>+MS!L41-CGA!L41</f>
        <v>-0.55000000004656613</v>
      </c>
      <c r="M41" s="159">
        <f>+MS!M41-CGA!M41</f>
        <v>-73308</v>
      </c>
      <c r="N41" s="159">
        <f>+MS!N41-CGA!N41</f>
        <v>-382336.56000000238</v>
      </c>
    </row>
    <row r="42" spans="1:14" x14ac:dyDescent="0.25">
      <c r="A42" s="156" t="s">
        <v>96</v>
      </c>
      <c r="B42" s="157">
        <f>+MS!B42-CGA!B42</f>
        <v>0</v>
      </c>
      <c r="C42" s="157">
        <f>+MS!C42-CGA!C42</f>
        <v>0</v>
      </c>
      <c r="D42" s="157">
        <f>+MS!D42-CGA!D42</f>
        <v>0</v>
      </c>
      <c r="E42" s="157">
        <f>+MS!E42-CGA!E42</f>
        <v>0</v>
      </c>
      <c r="F42" s="157">
        <f>+MS!F42-CGA!F42</f>
        <v>0</v>
      </c>
      <c r="G42" s="157">
        <f>+MS!G42-CGA!G42</f>
        <v>0</v>
      </c>
      <c r="H42" s="157">
        <f>+MS!H42-CGA!H42</f>
        <v>0</v>
      </c>
      <c r="I42" s="157">
        <f>+MS!I42-CGA!I42</f>
        <v>0</v>
      </c>
      <c r="J42" s="157">
        <f>+MS!J42-CGA!J42</f>
        <v>0</v>
      </c>
      <c r="K42" s="157">
        <f>+MS!K42-CGA!K42</f>
        <v>0</v>
      </c>
      <c r="L42" s="157">
        <f>+MS!L42-CGA!L42</f>
        <v>0</v>
      </c>
      <c r="M42" s="157">
        <f>+MS!M42-CGA!M42</f>
        <v>0</v>
      </c>
      <c r="N42" s="157">
        <f>SUM(C42:M42)</f>
        <v>0</v>
      </c>
    </row>
    <row r="43" spans="1:14" ht="19.5" x14ac:dyDescent="0.25">
      <c r="A43" s="156" t="s">
        <v>97</v>
      </c>
      <c r="B43" s="157">
        <f>+MS!B43-CGA!B44</f>
        <v>0</v>
      </c>
      <c r="C43" s="157">
        <f>+MS!C43-CGA!C44</f>
        <v>0</v>
      </c>
      <c r="D43" s="157">
        <f>+MS!D43-CGA!D44</f>
        <v>0</v>
      </c>
      <c r="E43" s="157">
        <f>+MS!E43-CGA!E44</f>
        <v>0</v>
      </c>
      <c r="F43" s="157">
        <f>+MS!F43-CGA!F44</f>
        <v>0</v>
      </c>
      <c r="G43" s="157">
        <f>+MS!G43-CGA!G44</f>
        <v>0</v>
      </c>
      <c r="H43" s="157">
        <f>+MS!H43-CGA!H44</f>
        <v>0</v>
      </c>
      <c r="I43" s="157">
        <f>+MS!I43-CGA!I44</f>
        <v>0</v>
      </c>
      <c r="J43" s="157">
        <f>+MS!J43-CGA!J44</f>
        <v>0</v>
      </c>
      <c r="K43" s="157">
        <f>+MS!K43-CGA!K44</f>
        <v>0</v>
      </c>
      <c r="L43" s="157">
        <f>+MS!L43-CGA!L44</f>
        <v>0</v>
      </c>
      <c r="M43" s="157">
        <f>+MS!M43-CGA!M44-CGA!M43</f>
        <v>10000</v>
      </c>
      <c r="N43" s="157">
        <f t="shared" ref="N43:N52" si="0">SUM(C43:M43)</f>
        <v>10000</v>
      </c>
    </row>
    <row r="44" spans="1:14" x14ac:dyDescent="0.25">
      <c r="A44" s="156" t="s">
        <v>98</v>
      </c>
      <c r="B44" s="157">
        <f>+MS!B44-CGA!B45</f>
        <v>0</v>
      </c>
      <c r="C44" s="157">
        <f>+MS!C44-CGA!C45</f>
        <v>0</v>
      </c>
      <c r="D44" s="157">
        <f>+MS!D44-CGA!D45</f>
        <v>0</v>
      </c>
      <c r="E44" s="157">
        <f>+MS!E44-CGA!E45</f>
        <v>0</v>
      </c>
      <c r="F44" s="157">
        <f>+MS!F44-CGA!F45</f>
        <v>0</v>
      </c>
      <c r="G44" s="157">
        <f>+MS!G44-CGA!G45</f>
        <v>0</v>
      </c>
      <c r="H44" s="157">
        <f>+MS!H44-CGA!H45</f>
        <v>0</v>
      </c>
      <c r="I44" s="157">
        <f>+MS!I44-CGA!I45</f>
        <v>0</v>
      </c>
      <c r="J44" s="157">
        <f>+MS!J44-CGA!J45</f>
        <v>0</v>
      </c>
      <c r="K44" s="157">
        <f>+MS!K44-CGA!K45</f>
        <v>0</v>
      </c>
      <c r="L44" s="157">
        <f>+MS!L44-CGA!L45</f>
        <v>0</v>
      </c>
      <c r="M44" s="157">
        <f>+MS!M44-CGA!M45</f>
        <v>0</v>
      </c>
      <c r="N44" s="157">
        <f t="shared" si="0"/>
        <v>0</v>
      </c>
    </row>
    <row r="45" spans="1:14" x14ac:dyDescent="0.25">
      <c r="A45" s="156" t="s">
        <v>99</v>
      </c>
      <c r="B45" s="157">
        <f>+MS!B45-CGA!B46</f>
        <v>0</v>
      </c>
      <c r="C45" s="157">
        <f>+MS!C45-CGA!C46</f>
        <v>0</v>
      </c>
      <c r="D45" s="157">
        <f>+MS!D45-CGA!D46</f>
        <v>0</v>
      </c>
      <c r="E45" s="157">
        <f>+MS!E45-CGA!E46</f>
        <v>0</v>
      </c>
      <c r="F45" s="157">
        <f>+MS!F45-CGA!F46</f>
        <v>0</v>
      </c>
      <c r="G45" s="157">
        <f>+MS!G45-CGA!G46</f>
        <v>0</v>
      </c>
      <c r="H45" s="157">
        <f>+MS!H45-CGA!H46</f>
        <v>0</v>
      </c>
      <c r="I45" s="157">
        <f>+MS!I45-CGA!I46</f>
        <v>0</v>
      </c>
      <c r="J45" s="157">
        <f>+MS!J45-CGA!J46</f>
        <v>0</v>
      </c>
      <c r="K45" s="157">
        <f>+MS!K45-CGA!K46</f>
        <v>0</v>
      </c>
      <c r="L45" s="157">
        <f>+MS!L45-CGA!L46</f>
        <v>0</v>
      </c>
      <c r="M45" s="157">
        <f>+MS!M45-CGA!M46</f>
        <v>0</v>
      </c>
      <c r="N45" s="157">
        <f t="shared" si="0"/>
        <v>0</v>
      </c>
    </row>
    <row r="46" spans="1:14" x14ac:dyDescent="0.25">
      <c r="A46" s="156" t="s">
        <v>100</v>
      </c>
      <c r="B46" s="157">
        <f>+MS!B46-CGA!B47</f>
        <v>0</v>
      </c>
      <c r="C46" s="157">
        <f>+MS!C46-CGA!C47</f>
        <v>0</v>
      </c>
      <c r="D46" s="157">
        <f>+MS!D46-CGA!D47</f>
        <v>0</v>
      </c>
      <c r="E46" s="157">
        <f>+MS!E46-CGA!E47</f>
        <v>0</v>
      </c>
      <c r="F46" s="157">
        <f>+MS!F46-CGA!F47</f>
        <v>0</v>
      </c>
      <c r="G46" s="157">
        <f>+MS!G46-CGA!G47</f>
        <v>0</v>
      </c>
      <c r="H46" s="157">
        <f>+MS!H46-CGA!H47</f>
        <v>0</v>
      </c>
      <c r="I46" s="157">
        <f>+MS!I46-CGA!I47</f>
        <v>0</v>
      </c>
      <c r="J46" s="157">
        <f>+MS!J46-CGA!J47</f>
        <v>0</v>
      </c>
      <c r="K46" s="157">
        <f>+MS!K46-CGA!K47</f>
        <v>0</v>
      </c>
      <c r="L46" s="157">
        <f>+MS!L46-CGA!L47</f>
        <v>0</v>
      </c>
      <c r="M46" s="157">
        <f>+MS!M46-CGA!M47</f>
        <v>0</v>
      </c>
      <c r="N46" s="157">
        <f t="shared" si="0"/>
        <v>0</v>
      </c>
    </row>
    <row r="47" spans="1:14" x14ac:dyDescent="0.25">
      <c r="A47" s="156" t="s">
        <v>5</v>
      </c>
      <c r="B47" s="157">
        <f>+MS!B47-CGA!B49</f>
        <v>0</v>
      </c>
      <c r="C47" s="157">
        <f>+MS!C47-CGA!C49</f>
        <v>1022673.47</v>
      </c>
      <c r="D47" s="157">
        <f>+MS!D47-CGA!D49</f>
        <v>0</v>
      </c>
      <c r="E47" s="157">
        <f>+MS!E47-CGA!E49</f>
        <v>0</v>
      </c>
      <c r="F47" s="157">
        <f>+MS!F47-CGA!F49</f>
        <v>0</v>
      </c>
      <c r="G47" s="157">
        <f>+MS!G47-CGA!G49</f>
        <v>0</v>
      </c>
      <c r="H47" s="157">
        <f>+MS!H47-CGA!H49</f>
        <v>0</v>
      </c>
      <c r="I47" s="157">
        <f>+MS!I47-CGA!I49</f>
        <v>0</v>
      </c>
      <c r="J47" s="157">
        <f>+MS!J47-CGA!J49</f>
        <v>0</v>
      </c>
      <c r="K47" s="157">
        <f>+MS!K47-CGA!K49</f>
        <v>0</v>
      </c>
      <c r="L47" s="157">
        <f>+MS!L47-CGA!L49</f>
        <v>-274690.03999999998</v>
      </c>
      <c r="M47" s="157">
        <f>+MS!M47-CGA!M49</f>
        <v>0</v>
      </c>
      <c r="N47" s="157">
        <f t="shared" si="0"/>
        <v>747983.42999999993</v>
      </c>
    </row>
    <row r="48" spans="1:14" x14ac:dyDescent="0.25">
      <c r="A48" s="156" t="s">
        <v>101</v>
      </c>
      <c r="B48" s="157">
        <f>+MS!B48</f>
        <v>0</v>
      </c>
      <c r="C48" s="157">
        <f>+MS!C48</f>
        <v>0</v>
      </c>
      <c r="D48" s="157">
        <f>+MS!D48</f>
        <v>0</v>
      </c>
      <c r="E48" s="157">
        <f>+MS!E48</f>
        <v>0</v>
      </c>
      <c r="F48" s="157">
        <f>+MS!F48</f>
        <v>0</v>
      </c>
      <c r="G48" s="157">
        <f>+MS!G48</f>
        <v>0</v>
      </c>
      <c r="H48" s="157">
        <f>+MS!H48</f>
        <v>0</v>
      </c>
      <c r="I48" s="157">
        <f>+MS!I48</f>
        <v>0</v>
      </c>
      <c r="J48" s="157">
        <f>+MS!J48</f>
        <v>0</v>
      </c>
      <c r="K48" s="157">
        <f>+MS!K48</f>
        <v>0</v>
      </c>
      <c r="L48" s="157">
        <f>+MS!L48</f>
        <v>274690.03999999998</v>
      </c>
      <c r="M48" s="157">
        <f>+MS!M48</f>
        <v>0</v>
      </c>
      <c r="N48" s="157">
        <f t="shared" si="0"/>
        <v>274690.03999999998</v>
      </c>
    </row>
    <row r="49" spans="1:14" x14ac:dyDescent="0.25">
      <c r="A49" s="156" t="s">
        <v>102</v>
      </c>
      <c r="B49" s="10">
        <f>+MS!B49-CGA!B48</f>
        <v>0</v>
      </c>
      <c r="C49" s="10">
        <f>+MS!C49-CGA!C48</f>
        <v>0</v>
      </c>
      <c r="D49" s="10">
        <f>+MS!D49-CGA!D48</f>
        <v>0</v>
      </c>
      <c r="E49" s="10">
        <f>+MS!E49-CGA!E48</f>
        <v>0</v>
      </c>
      <c r="F49" s="10">
        <f>+MS!F49-CGA!F48</f>
        <v>0</v>
      </c>
      <c r="G49" s="10">
        <f>+MS!G49-CGA!G48</f>
        <v>0</v>
      </c>
      <c r="H49" s="10">
        <f>+MS!H49-CGA!H48</f>
        <v>0</v>
      </c>
      <c r="I49" s="10">
        <f>+MS!I49-CGA!I48</f>
        <v>0</v>
      </c>
      <c r="J49" s="10">
        <f>+MS!J49-CGA!J48</f>
        <v>0</v>
      </c>
      <c r="K49" s="10">
        <f>+MS!K49-CGA!K48</f>
        <v>0</v>
      </c>
      <c r="L49" s="17">
        <f>+MS!L49-CGA!L48</f>
        <v>-56932</v>
      </c>
      <c r="M49" s="17">
        <f>+MS!M49-CGA!M48</f>
        <v>0</v>
      </c>
      <c r="N49" s="157">
        <f t="shared" si="0"/>
        <v>-56932</v>
      </c>
    </row>
    <row r="50" spans="1:14" x14ac:dyDescent="0.25">
      <c r="A50" s="156" t="s">
        <v>103</v>
      </c>
      <c r="B50" s="17">
        <f>+MS!B50-CGA!B50</f>
        <v>0</v>
      </c>
      <c r="C50" s="17">
        <f>+MS!C50-CGA!C50</f>
        <v>-715438.79999999981</v>
      </c>
      <c r="D50" s="17">
        <f>+MS!D50-CGA!D50</f>
        <v>0</v>
      </c>
      <c r="E50" s="17">
        <f>+MS!E50-CGA!E50</f>
        <v>0</v>
      </c>
      <c r="F50" s="17">
        <f>+MS!F50-CGA!F50</f>
        <v>0</v>
      </c>
      <c r="G50" s="17">
        <f>+MS!G50-CGA!G50</f>
        <v>0</v>
      </c>
      <c r="H50" s="17">
        <f>+MS!H50-CGA!H50</f>
        <v>0</v>
      </c>
      <c r="I50" s="17">
        <f>+MS!I50-CGA!I50</f>
        <v>0</v>
      </c>
      <c r="J50" s="17">
        <f>+MS!J50-CGA!J50</f>
        <v>0</v>
      </c>
      <c r="K50" s="17">
        <f>+MS!K50-CGA!K50</f>
        <v>0</v>
      </c>
      <c r="L50" s="17">
        <f>+MS!L50-CGA!L50</f>
        <v>56931.870000000112</v>
      </c>
      <c r="M50" s="17">
        <f>+MS!M50-CGA!M50</f>
        <v>-144964</v>
      </c>
      <c r="N50" s="157">
        <f t="shared" si="0"/>
        <v>-803470.9299999997</v>
      </c>
    </row>
    <row r="51" spans="1:14" x14ac:dyDescent="0.25">
      <c r="A51" s="156" t="s">
        <v>9</v>
      </c>
      <c r="B51" s="17">
        <f>+MS!B51-CGA!B51</f>
        <v>0</v>
      </c>
      <c r="C51" s="17">
        <f>+MS!C51-CGA!C51</f>
        <v>0</v>
      </c>
      <c r="D51" s="17">
        <f>+MS!D51-CGA!D51</f>
        <v>0</v>
      </c>
      <c r="E51" s="17">
        <f>+MS!E51-CGA!E51</f>
        <v>0</v>
      </c>
      <c r="F51" s="17">
        <f>+MS!F51-CGA!F51</f>
        <v>0</v>
      </c>
      <c r="G51" s="17">
        <f>+MS!G51-CGA!G51</f>
        <v>0</v>
      </c>
      <c r="H51" s="17">
        <f>+MS!H51-CGA!H51</f>
        <v>0</v>
      </c>
      <c r="I51" s="17">
        <f>+MS!I51-CGA!I51</f>
        <v>0</v>
      </c>
      <c r="J51" s="17">
        <f>+MS!J51-CGA!J51</f>
        <v>0</v>
      </c>
      <c r="K51" s="17">
        <f>+MS!K51-CGA!K51</f>
        <v>0</v>
      </c>
      <c r="L51" s="17">
        <f>+MS!L51-CGA!L51</f>
        <v>0</v>
      </c>
      <c r="M51" s="17">
        <f>+MS!M51-CGA!M51</f>
        <v>0</v>
      </c>
      <c r="N51" s="157">
        <f t="shared" si="0"/>
        <v>0</v>
      </c>
    </row>
    <row r="52" spans="1:14" x14ac:dyDescent="0.25">
      <c r="A52" s="38" t="s">
        <v>104</v>
      </c>
      <c r="B52" s="19">
        <f>+MS!B52-CGA!B52</f>
        <v>0</v>
      </c>
      <c r="C52" s="19">
        <f>+MS!C52-CGA!C52</f>
        <v>307234.66999999806</v>
      </c>
      <c r="D52" s="19">
        <f>+MS!D52-CGA!D52</f>
        <v>0</v>
      </c>
      <c r="E52" s="19">
        <f>+MS!E52-CGA!E52</f>
        <v>0</v>
      </c>
      <c r="F52" s="19">
        <f>+MS!F52-CGA!F52</f>
        <v>0</v>
      </c>
      <c r="G52" s="19">
        <f>+MS!G52-CGA!G52</f>
        <v>0</v>
      </c>
      <c r="H52" s="19">
        <f>+MS!H52-CGA!H52</f>
        <v>0</v>
      </c>
      <c r="I52" s="19">
        <f>+MS!I52-CGA!I52</f>
        <v>0</v>
      </c>
      <c r="J52" s="19">
        <f>+MS!J52-CGA!J52</f>
        <v>0</v>
      </c>
      <c r="K52" s="19">
        <f>+MS!K52-CGA!K52</f>
        <v>0</v>
      </c>
      <c r="L52" s="19">
        <f>+MS!L52-CGA!L52</f>
        <v>-0.12999999988824129</v>
      </c>
      <c r="M52" s="19">
        <f>+MS!M52-CGA!M52</f>
        <v>-134964</v>
      </c>
      <c r="N52" s="159">
        <f t="shared" si="0"/>
        <v>172270.53999999817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6"/>
  <sheetViews>
    <sheetView workbookViewId="0">
      <selection activeCell="B9" sqref="B9"/>
    </sheetView>
  </sheetViews>
  <sheetFormatPr defaultColWidth="11.42578125" defaultRowHeight="15" x14ac:dyDescent="0.25"/>
  <cols>
    <col min="2" max="2" width="35.85546875" customWidth="1"/>
    <col min="3" max="3" width="12.7109375" bestFit="1" customWidth="1"/>
    <col min="4" max="4" width="13.140625" bestFit="1" customWidth="1"/>
  </cols>
  <sheetData>
    <row r="2" spans="2:5" x14ac:dyDescent="0.25">
      <c r="B2" s="181" t="s">
        <v>183</v>
      </c>
      <c r="C2" s="180" t="s">
        <v>184</v>
      </c>
      <c r="D2" s="180" t="s">
        <v>185</v>
      </c>
      <c r="E2" s="180" t="s">
        <v>12</v>
      </c>
    </row>
    <row r="3" spans="2:5" x14ac:dyDescent="0.25">
      <c r="B3" s="13"/>
      <c r="C3" s="10"/>
      <c r="D3" s="10"/>
      <c r="E3" s="10"/>
    </row>
    <row r="4" spans="2:5" x14ac:dyDescent="0.25">
      <c r="B4" s="13" t="s">
        <v>1</v>
      </c>
      <c r="C4" s="182">
        <v>35042687</v>
      </c>
      <c r="D4" s="182">
        <v>35042687</v>
      </c>
      <c r="E4" s="182">
        <f>C4-D4</f>
        <v>0</v>
      </c>
    </row>
    <row r="5" spans="2:5" x14ac:dyDescent="0.25">
      <c r="B5" s="13" t="s">
        <v>2</v>
      </c>
      <c r="C5" s="182">
        <v>921</v>
      </c>
      <c r="D5" s="182">
        <v>921</v>
      </c>
      <c r="E5" s="182">
        <f>C5-D5</f>
        <v>0</v>
      </c>
    </row>
    <row r="6" spans="2:5" x14ac:dyDescent="0.25">
      <c r="B6" s="13" t="s">
        <v>3</v>
      </c>
      <c r="C6" s="182">
        <v>5274506.4669599999</v>
      </c>
      <c r="D6" s="182">
        <v>5222508.5599999996</v>
      </c>
      <c r="E6" s="182">
        <f>C6-D6</f>
        <v>51997.906960000284</v>
      </c>
    </row>
    <row r="7" spans="2:5" x14ac:dyDescent="0.25">
      <c r="B7" s="13" t="s">
        <v>4</v>
      </c>
      <c r="C7" s="182">
        <v>34797</v>
      </c>
      <c r="D7" s="182">
        <v>34797</v>
      </c>
      <c r="E7" s="182">
        <f>C7-D7</f>
        <v>0</v>
      </c>
    </row>
    <row r="8" spans="2:5" x14ac:dyDescent="0.25">
      <c r="B8" s="13" t="s">
        <v>5</v>
      </c>
      <c r="C8" s="182">
        <v>928676.50240600016</v>
      </c>
      <c r="D8" s="182">
        <v>1423943</v>
      </c>
      <c r="E8" s="182">
        <f>C8-D8</f>
        <v>-495266.49759399984</v>
      </c>
    </row>
    <row r="9" spans="2:5" x14ac:dyDescent="0.25">
      <c r="B9" s="13" t="s">
        <v>6</v>
      </c>
      <c r="C9" s="182">
        <v>309296.75</v>
      </c>
      <c r="D9" s="182">
        <v>227072</v>
      </c>
      <c r="E9" s="182">
        <f>C9-D9</f>
        <v>82224.75</v>
      </c>
    </row>
    <row r="10" spans="2:5" x14ac:dyDescent="0.25">
      <c r="B10" s="13" t="s">
        <v>7</v>
      </c>
      <c r="C10" s="182">
        <v>-3202431</v>
      </c>
      <c r="D10" s="182">
        <v>-3202431</v>
      </c>
      <c r="E10" s="182">
        <f>C10-D10</f>
        <v>0</v>
      </c>
    </row>
    <row r="11" spans="2:5" x14ac:dyDescent="0.25">
      <c r="B11" s="13" t="s">
        <v>8</v>
      </c>
      <c r="C11" s="182">
        <v>33863050.867757007</v>
      </c>
      <c r="D11" s="182">
        <v>36555260.070222624</v>
      </c>
      <c r="E11" s="182">
        <f>C11-D11</f>
        <v>-2692209.2024656162</v>
      </c>
    </row>
    <row r="12" spans="2:5" x14ac:dyDescent="0.25">
      <c r="B12" s="13" t="s">
        <v>9</v>
      </c>
      <c r="C12" s="182">
        <v>7775169.1128769787</v>
      </c>
      <c r="D12" s="182">
        <v>7673392.4197773766</v>
      </c>
      <c r="E12" s="182">
        <f>C12-D12</f>
        <v>101776.69309960213</v>
      </c>
    </row>
    <row r="13" spans="2:5" x14ac:dyDescent="0.25">
      <c r="B13" s="15" t="s">
        <v>186</v>
      </c>
      <c r="C13" s="183">
        <f>SUM(C4:C12)</f>
        <v>80026673.699999988</v>
      </c>
      <c r="D13" s="183">
        <f>SUM(D4:D12)</f>
        <v>82978150.049999997</v>
      </c>
      <c r="E13" s="183">
        <f>SUM(E4:E12)</f>
        <v>-2951476.3500000136</v>
      </c>
    </row>
    <row r="15" spans="2:5" hidden="1" x14ac:dyDescent="0.25">
      <c r="B15" s="5" t="s">
        <v>121</v>
      </c>
      <c r="C15" s="2" t="s">
        <v>10</v>
      </c>
      <c r="D15" s="2" t="s">
        <v>11</v>
      </c>
      <c r="E15" s="2" t="s">
        <v>12</v>
      </c>
    </row>
    <row r="16" spans="2:5" hidden="1" x14ac:dyDescent="0.25">
      <c r="B16" t="s">
        <v>96</v>
      </c>
      <c r="C16" s="3">
        <v>35042687</v>
      </c>
      <c r="D16" s="3">
        <v>35088970</v>
      </c>
      <c r="E16" s="3">
        <f t="shared" ref="E16:E25" si="0">C16-D16</f>
        <v>-46283</v>
      </c>
    </row>
    <row r="17" spans="2:5" hidden="1" x14ac:dyDescent="0.25">
      <c r="B17" t="s">
        <v>97</v>
      </c>
      <c r="C17" s="3">
        <v>920.99999999254942</v>
      </c>
      <c r="D17" s="3">
        <v>9403167.0299999937</v>
      </c>
      <c r="E17" s="3">
        <f t="shared" si="0"/>
        <v>-9402246.0300000012</v>
      </c>
    </row>
    <row r="18" spans="2:5" hidden="1" x14ac:dyDescent="0.25">
      <c r="B18" t="s">
        <v>98</v>
      </c>
      <c r="C18" s="3">
        <v>5274506.4669599999</v>
      </c>
      <c r="D18" s="3">
        <v>5222508.25</v>
      </c>
      <c r="E18" s="3">
        <f t="shared" si="0"/>
        <v>51998.216959999874</v>
      </c>
    </row>
    <row r="19" spans="2:5" hidden="1" x14ac:dyDescent="0.25">
      <c r="B19" t="s">
        <v>99</v>
      </c>
      <c r="C19" s="3">
        <v>34797</v>
      </c>
      <c r="D19" s="3">
        <v>34797</v>
      </c>
      <c r="E19" s="3">
        <f t="shared" si="0"/>
        <v>0</v>
      </c>
    </row>
    <row r="20" spans="2:5" hidden="1" x14ac:dyDescent="0.25">
      <c r="B20" t="s">
        <v>100</v>
      </c>
      <c r="C20" s="3">
        <v>309296.75</v>
      </c>
      <c r="D20" s="3">
        <v>227072</v>
      </c>
      <c r="E20" s="3">
        <f t="shared" si="0"/>
        <v>82224.75</v>
      </c>
    </row>
    <row r="21" spans="2:5" hidden="1" x14ac:dyDescent="0.25">
      <c r="B21" t="s">
        <v>5</v>
      </c>
      <c r="C21" s="3">
        <v>928676.50240600016</v>
      </c>
      <c r="D21" s="3">
        <v>1423943</v>
      </c>
      <c r="E21" s="3">
        <f t="shared" si="0"/>
        <v>-495266.49759399984</v>
      </c>
    </row>
    <row r="22" spans="2:5" hidden="1" x14ac:dyDescent="0.25">
      <c r="B22" t="s">
        <v>101</v>
      </c>
      <c r="C22" s="3"/>
      <c r="D22" s="3">
        <v>3.9999999979045242E-2</v>
      </c>
      <c r="E22" s="3">
        <f t="shared" si="0"/>
        <v>-3.9999999979045242E-2</v>
      </c>
    </row>
    <row r="23" spans="2:5" hidden="1" x14ac:dyDescent="0.25">
      <c r="B23" t="s">
        <v>102</v>
      </c>
      <c r="C23" s="3">
        <v>-3202431</v>
      </c>
      <c r="D23" s="3">
        <v>-3202431</v>
      </c>
      <c r="E23" s="3">
        <f t="shared" si="0"/>
        <v>0</v>
      </c>
    </row>
    <row r="24" spans="2:5" hidden="1" x14ac:dyDescent="0.25">
      <c r="B24" t="s">
        <v>103</v>
      </c>
      <c r="C24" s="3">
        <v>33863050.867757007</v>
      </c>
      <c r="D24" s="3">
        <v>34780124.029999986</v>
      </c>
      <c r="E24" s="3">
        <f t="shared" si="0"/>
        <v>-917073.16224297881</v>
      </c>
    </row>
    <row r="25" spans="2:5" hidden="1" x14ac:dyDescent="0.25">
      <c r="B25" t="s">
        <v>9</v>
      </c>
      <c r="C25" s="3">
        <v>7775169.1128769787</v>
      </c>
      <c r="D25" s="3">
        <v>0</v>
      </c>
      <c r="E25" s="3">
        <f t="shared" si="0"/>
        <v>7775169.1128769787</v>
      </c>
    </row>
    <row r="26" spans="2:5" hidden="1" x14ac:dyDescent="0.25">
      <c r="B26" s="5" t="s">
        <v>104</v>
      </c>
      <c r="C26" s="4">
        <f>SUM(C16:C25)</f>
        <v>80026673.699999988</v>
      </c>
      <c r="D26" s="4">
        <f>SUM(D16:D25)</f>
        <v>82978150.349999979</v>
      </c>
      <c r="E26" s="4">
        <f>SUM(E16:E25)</f>
        <v>-2951476.6500000013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pane ySplit="2" topLeftCell="A15" activePane="bottomLeft" state="frozen"/>
      <selection pane="bottomLeft" activeCell="D20" sqref="D20"/>
    </sheetView>
  </sheetViews>
  <sheetFormatPr defaultColWidth="11.42578125" defaultRowHeight="15" x14ac:dyDescent="0.25"/>
  <cols>
    <col min="1" max="1" width="41.85546875" bestFit="1" customWidth="1"/>
    <col min="2" max="4" width="13.7109375" bestFit="1" customWidth="1"/>
  </cols>
  <sheetData>
    <row r="1" spans="1:4" ht="30" customHeight="1" x14ac:dyDescent="0.25">
      <c r="A1" s="179" t="s">
        <v>0</v>
      </c>
      <c r="B1" s="179"/>
      <c r="C1" s="179"/>
      <c r="D1" s="179"/>
    </row>
    <row r="2" spans="1:4" ht="30" customHeight="1" x14ac:dyDescent="0.25">
      <c r="A2" s="160"/>
      <c r="B2" s="2" t="s">
        <v>10</v>
      </c>
      <c r="C2" s="2" t="s">
        <v>11</v>
      </c>
      <c r="D2" s="2" t="s">
        <v>12</v>
      </c>
    </row>
    <row r="3" spans="1:4" x14ac:dyDescent="0.25">
      <c r="A3" s="5" t="s">
        <v>13</v>
      </c>
    </row>
    <row r="4" spans="1:4" x14ac:dyDescent="0.25">
      <c r="A4" t="s">
        <v>14</v>
      </c>
      <c r="B4" s="3">
        <v>650792.31999999995</v>
      </c>
      <c r="C4" s="3">
        <v>638246.1</v>
      </c>
      <c r="D4" s="3">
        <f t="shared" ref="D4:D12" si="0">B4-C4</f>
        <v>12546.219999999972</v>
      </c>
    </row>
    <row r="5" spans="1:4" x14ac:dyDescent="0.25">
      <c r="A5" t="s">
        <v>15</v>
      </c>
      <c r="B5" s="3">
        <v>72811</v>
      </c>
      <c r="C5" s="3">
        <v>72811</v>
      </c>
      <c r="D5" s="3">
        <f t="shared" si="0"/>
        <v>0</v>
      </c>
    </row>
    <row r="6" spans="1:4" x14ac:dyDescent="0.25">
      <c r="A6" t="s">
        <v>16</v>
      </c>
      <c r="B6" s="3">
        <v>2393444.3199999998</v>
      </c>
      <c r="C6" s="3">
        <v>2393444.3199999998</v>
      </c>
      <c r="D6" s="3">
        <f t="shared" si="0"/>
        <v>0</v>
      </c>
    </row>
    <row r="7" spans="1:4" x14ac:dyDescent="0.25">
      <c r="A7" t="s">
        <v>17</v>
      </c>
      <c r="B7" s="3">
        <v>9245385.339999998</v>
      </c>
      <c r="C7" s="3">
        <v>9331531.839999998</v>
      </c>
      <c r="D7" s="3">
        <f t="shared" si="0"/>
        <v>-86146.5</v>
      </c>
    </row>
    <row r="8" spans="1:4" x14ac:dyDescent="0.25">
      <c r="A8" t="s">
        <v>18</v>
      </c>
      <c r="B8" s="3">
        <v>30388974.310000002</v>
      </c>
      <c r="C8" s="3">
        <v>34206561.799999997</v>
      </c>
      <c r="D8" s="3">
        <f t="shared" si="0"/>
        <v>-3817587.4899999946</v>
      </c>
    </row>
    <row r="9" spans="1:4" x14ac:dyDescent="0.25">
      <c r="A9" t="s">
        <v>19</v>
      </c>
      <c r="B9" s="3">
        <v>759698.83000000007</v>
      </c>
      <c r="C9" s="3">
        <v>750803.66</v>
      </c>
      <c r="D9" s="3">
        <f t="shared" si="0"/>
        <v>8895.1700000000419</v>
      </c>
    </row>
    <row r="10" spans="1:4" x14ac:dyDescent="0.25">
      <c r="A10" t="s">
        <v>20</v>
      </c>
      <c r="B10" s="3">
        <v>9463377.6100000013</v>
      </c>
      <c r="C10" s="3">
        <v>4874120.3400000008</v>
      </c>
      <c r="D10" s="3">
        <f t="shared" si="0"/>
        <v>4589257.2700000005</v>
      </c>
    </row>
    <row r="11" spans="1:4" x14ac:dyDescent="0.25">
      <c r="A11" t="s">
        <v>21</v>
      </c>
      <c r="B11" s="3">
        <v>519657.31</v>
      </c>
      <c r="C11" s="3">
        <v>519657.31</v>
      </c>
      <c r="D11" s="3">
        <f t="shared" si="0"/>
        <v>0</v>
      </c>
    </row>
    <row r="12" spans="1:4" x14ac:dyDescent="0.25">
      <c r="A12" t="s">
        <v>22</v>
      </c>
      <c r="B12" s="3">
        <v>24413616.100000001</v>
      </c>
      <c r="C12" s="3">
        <v>24207401.57</v>
      </c>
      <c r="D12" s="3">
        <f t="shared" si="0"/>
        <v>206214.53000000119</v>
      </c>
    </row>
    <row r="13" spans="1:4" x14ac:dyDescent="0.25">
      <c r="A13" s="5" t="s">
        <v>23</v>
      </c>
      <c r="B13" s="4">
        <f>SUM(B4:B12)</f>
        <v>77907757.140000001</v>
      </c>
      <c r="C13" s="4">
        <f>SUM(C4:C12)</f>
        <v>76994577.939999998</v>
      </c>
      <c r="D13" s="4">
        <f>SUM(D4:D12)</f>
        <v>913179.20000000671</v>
      </c>
    </row>
    <row r="14" spans="1:4" x14ac:dyDescent="0.25">
      <c r="B14" s="3"/>
      <c r="C14" s="3"/>
      <c r="D14" s="3"/>
    </row>
    <row r="15" spans="1:4" x14ac:dyDescent="0.25">
      <c r="A15" s="5" t="s">
        <v>24</v>
      </c>
      <c r="B15" s="2" t="s">
        <v>10</v>
      </c>
      <c r="C15" s="2" t="s">
        <v>11</v>
      </c>
      <c r="D15" s="2" t="s">
        <v>12</v>
      </c>
    </row>
    <row r="16" spans="1:4" x14ac:dyDescent="0.25">
      <c r="A16" t="s">
        <v>20</v>
      </c>
      <c r="B16" s="3">
        <v>1451462.48</v>
      </c>
      <c r="C16" s="3">
        <v>2524487.48</v>
      </c>
      <c r="D16" s="3">
        <f t="shared" ref="D16:D24" si="1">B16-C16</f>
        <v>-1073025</v>
      </c>
    </row>
    <row r="17" spans="1:4" x14ac:dyDescent="0.25">
      <c r="A17" t="s">
        <v>18</v>
      </c>
      <c r="B17" s="3">
        <v>3150764</v>
      </c>
      <c r="C17" s="3">
        <v>2077739</v>
      </c>
      <c r="D17" s="3">
        <f t="shared" si="1"/>
        <v>1073025</v>
      </c>
    </row>
    <row r="18" spans="1:4" x14ac:dyDescent="0.25">
      <c r="A18" t="s">
        <v>25</v>
      </c>
      <c r="B18" s="3">
        <v>102473074.10000001</v>
      </c>
      <c r="C18" s="3">
        <v>103606207.10000001</v>
      </c>
      <c r="D18" s="3">
        <f t="shared" si="1"/>
        <v>-1133133</v>
      </c>
    </row>
    <row r="19" spans="1:4" x14ac:dyDescent="0.25">
      <c r="A19" t="s">
        <v>26</v>
      </c>
      <c r="B19" s="3">
        <v>624011</v>
      </c>
      <c r="C19" s="3">
        <v>624011</v>
      </c>
      <c r="D19" s="3">
        <f t="shared" si="1"/>
        <v>0</v>
      </c>
    </row>
    <row r="20" spans="1:4" x14ac:dyDescent="0.25">
      <c r="A20" t="s">
        <v>27</v>
      </c>
      <c r="B20" s="3">
        <v>13432103.949999999</v>
      </c>
      <c r="C20" s="3">
        <v>13952940.949999999</v>
      </c>
      <c r="D20" s="3">
        <f t="shared" si="1"/>
        <v>-520837</v>
      </c>
    </row>
    <row r="21" spans="1:4" x14ac:dyDescent="0.25">
      <c r="A21" t="s">
        <v>28</v>
      </c>
      <c r="B21" s="3">
        <v>1422229</v>
      </c>
      <c r="C21" s="3">
        <v>1422229</v>
      </c>
      <c r="D21" s="3">
        <f t="shared" si="1"/>
        <v>0</v>
      </c>
    </row>
    <row r="22" spans="1:4" x14ac:dyDescent="0.25">
      <c r="A22" t="s">
        <v>29</v>
      </c>
      <c r="B22" s="3">
        <v>3758999.890000008</v>
      </c>
      <c r="C22" s="3">
        <v>3318028</v>
      </c>
      <c r="D22" s="3">
        <f t="shared" si="1"/>
        <v>440971.89000000805</v>
      </c>
    </row>
    <row r="23" spans="1:4" x14ac:dyDescent="0.25">
      <c r="A23" t="s">
        <v>30</v>
      </c>
      <c r="B23" s="3">
        <v>3331065</v>
      </c>
      <c r="C23" s="3">
        <v>3069465.19</v>
      </c>
      <c r="D23" s="3">
        <f t="shared" si="1"/>
        <v>261599.81000000006</v>
      </c>
    </row>
    <row r="24" spans="1:4" x14ac:dyDescent="0.25">
      <c r="A24" t="s">
        <v>32</v>
      </c>
      <c r="B24" s="3">
        <v>0</v>
      </c>
      <c r="C24" s="3">
        <v>261500</v>
      </c>
      <c r="D24" s="3">
        <f t="shared" si="1"/>
        <v>-261500</v>
      </c>
    </row>
    <row r="25" spans="1:4" x14ac:dyDescent="0.25">
      <c r="A25" s="5" t="s">
        <v>31</v>
      </c>
      <c r="B25" s="4">
        <f>SUM(B16:B24)</f>
        <v>129643709.42000002</v>
      </c>
      <c r="C25" s="4">
        <f t="shared" ref="C25:D25" si="2">SUM(C16:C24)</f>
        <v>130856607.72000001</v>
      </c>
      <c r="D25" s="4">
        <f t="shared" si="2"/>
        <v>-1212898.2999999919</v>
      </c>
    </row>
    <row r="26" spans="1:4" x14ac:dyDescent="0.25">
      <c r="B26" s="3"/>
      <c r="C26" s="3"/>
      <c r="D26" s="3"/>
    </row>
    <row r="27" spans="1:4" x14ac:dyDescent="0.25">
      <c r="A27" s="6" t="s">
        <v>54</v>
      </c>
      <c r="B27" s="4">
        <f>B13+B25</f>
        <v>207551466.56</v>
      </c>
      <c r="C27" s="4">
        <f>C13+C25</f>
        <v>207851185.66000003</v>
      </c>
      <c r="D27" s="4">
        <f>D13+D25</f>
        <v>-299719.09999998519</v>
      </c>
    </row>
    <row r="28" spans="1:4" x14ac:dyDescent="0.25">
      <c r="B28" s="3"/>
      <c r="C28" s="3"/>
      <c r="D28" s="3"/>
    </row>
    <row r="29" spans="1:4" x14ac:dyDescent="0.25">
      <c r="B29" s="3"/>
      <c r="C29" s="3"/>
      <c r="D29" s="3"/>
    </row>
    <row r="30" spans="1:4" x14ac:dyDescent="0.25">
      <c r="A30" s="5" t="s">
        <v>33</v>
      </c>
      <c r="B30" s="2" t="s">
        <v>10</v>
      </c>
      <c r="C30" s="2" t="s">
        <v>11</v>
      </c>
      <c r="D30" s="2" t="s">
        <v>12</v>
      </c>
    </row>
    <row r="31" spans="1:4" x14ac:dyDescent="0.25">
      <c r="A31" t="s">
        <v>34</v>
      </c>
      <c r="B31" s="3">
        <v>3792926</v>
      </c>
      <c r="C31" s="3">
        <v>3794011</v>
      </c>
      <c r="D31" s="3">
        <f t="shared" ref="D31:D56" si="3">B31-C31</f>
        <v>-1085</v>
      </c>
    </row>
    <row r="32" spans="1:4" x14ac:dyDescent="0.25">
      <c r="A32" t="s">
        <v>35</v>
      </c>
      <c r="B32" s="3">
        <v>12460137.199999999</v>
      </c>
      <c r="C32" s="3">
        <v>11469368</v>
      </c>
      <c r="D32" s="3">
        <f t="shared" si="3"/>
        <v>990769.19999999925</v>
      </c>
    </row>
    <row r="33" spans="1:4" x14ac:dyDescent="0.25">
      <c r="A33" t="s">
        <v>36</v>
      </c>
      <c r="B33" s="3">
        <v>8587943</v>
      </c>
      <c r="C33" s="3">
        <v>8587943</v>
      </c>
      <c r="D33" s="3">
        <f t="shared" si="3"/>
        <v>0</v>
      </c>
    </row>
    <row r="34" spans="1:4" x14ac:dyDescent="0.25">
      <c r="A34" t="s">
        <v>37</v>
      </c>
      <c r="B34" s="3">
        <v>17113109.23</v>
      </c>
      <c r="C34" s="3">
        <v>16749996.23</v>
      </c>
      <c r="D34" s="3">
        <f t="shared" si="3"/>
        <v>363113</v>
      </c>
    </row>
    <row r="35" spans="1:4" x14ac:dyDescent="0.25">
      <c r="A35" t="s">
        <v>38</v>
      </c>
      <c r="B35" s="3">
        <v>6097989.3700000001</v>
      </c>
      <c r="C35" s="3">
        <v>2470708.1500000004</v>
      </c>
      <c r="D35" s="3">
        <f t="shared" si="3"/>
        <v>3627281.2199999997</v>
      </c>
    </row>
    <row r="36" spans="1:4" x14ac:dyDescent="0.25">
      <c r="A36" t="s">
        <v>39</v>
      </c>
      <c r="B36" s="3">
        <v>6782826.4100000001</v>
      </c>
      <c r="C36" s="3">
        <v>6735650.8100000005</v>
      </c>
      <c r="D36" s="3">
        <f t="shared" si="3"/>
        <v>47175.599999999627</v>
      </c>
    </row>
    <row r="37" spans="1:4" x14ac:dyDescent="0.25">
      <c r="A37" t="s">
        <v>40</v>
      </c>
      <c r="B37" s="3">
        <v>2354158.7000000002</v>
      </c>
      <c r="C37" s="3">
        <v>4547722.01</v>
      </c>
      <c r="D37" s="3">
        <f t="shared" si="3"/>
        <v>-2193563.3099999996</v>
      </c>
    </row>
    <row r="38" spans="1:4" x14ac:dyDescent="0.25">
      <c r="A38" t="s">
        <v>52</v>
      </c>
      <c r="B38" s="3">
        <v>9667913.5299999993</v>
      </c>
      <c r="C38" s="3">
        <v>9667913.5299999993</v>
      </c>
      <c r="D38" s="3">
        <f t="shared" si="3"/>
        <v>0</v>
      </c>
    </row>
    <row r="39" spans="1:4" x14ac:dyDescent="0.25">
      <c r="A39" t="s">
        <v>41</v>
      </c>
      <c r="B39" s="3">
        <v>6210157.04</v>
      </c>
      <c r="C39" s="3">
        <v>6225397.2999999998</v>
      </c>
      <c r="D39" s="3">
        <f t="shared" si="3"/>
        <v>-15240.259999999776</v>
      </c>
    </row>
    <row r="40" spans="1:4" x14ac:dyDescent="0.25">
      <c r="A40" t="s">
        <v>42</v>
      </c>
      <c r="B40" s="3">
        <v>0</v>
      </c>
      <c r="C40" s="3">
        <v>0</v>
      </c>
      <c r="D40" s="3">
        <f t="shared" si="3"/>
        <v>0</v>
      </c>
    </row>
    <row r="41" spans="1:4" x14ac:dyDescent="0.25">
      <c r="A41" s="5" t="s">
        <v>43</v>
      </c>
      <c r="B41" s="4">
        <f>SUM(B31:B40)</f>
        <v>73067160.480000004</v>
      </c>
      <c r="C41" s="4">
        <f t="shared" ref="C41:D41" si="4">SUM(C31:C40)</f>
        <v>70248710.030000001</v>
      </c>
      <c r="D41" s="4">
        <f t="shared" si="4"/>
        <v>2818450.4499999993</v>
      </c>
    </row>
    <row r="42" spans="1:4" x14ac:dyDescent="0.25">
      <c r="B42" s="3"/>
      <c r="C42" s="3"/>
      <c r="D42" s="3"/>
    </row>
    <row r="43" spans="1:4" x14ac:dyDescent="0.25">
      <c r="A43" s="5" t="s">
        <v>44</v>
      </c>
      <c r="B43" s="2" t="s">
        <v>10</v>
      </c>
      <c r="C43" s="2" t="s">
        <v>11</v>
      </c>
      <c r="D43" s="2" t="s">
        <v>12</v>
      </c>
    </row>
    <row r="44" spans="1:4" x14ac:dyDescent="0.25">
      <c r="A44" t="s">
        <v>45</v>
      </c>
      <c r="B44" s="3">
        <v>4378387</v>
      </c>
      <c r="C44" s="3">
        <v>4378387</v>
      </c>
      <c r="D44" s="3">
        <f t="shared" si="3"/>
        <v>0</v>
      </c>
    </row>
    <row r="45" spans="1:4" x14ac:dyDescent="0.25">
      <c r="A45" t="s">
        <v>46</v>
      </c>
      <c r="B45" s="3">
        <v>2447101</v>
      </c>
      <c r="C45" s="3">
        <v>2447101</v>
      </c>
      <c r="D45" s="3">
        <f t="shared" si="3"/>
        <v>0</v>
      </c>
    </row>
    <row r="46" spans="1:4" x14ac:dyDescent="0.25">
      <c r="A46" t="s">
        <v>37</v>
      </c>
      <c r="B46" s="3">
        <v>2345800</v>
      </c>
      <c r="C46" s="3">
        <v>2345800</v>
      </c>
      <c r="D46" s="3">
        <f t="shared" si="3"/>
        <v>0</v>
      </c>
    </row>
    <row r="47" spans="1:4" x14ac:dyDescent="0.25">
      <c r="A47" t="s">
        <v>38</v>
      </c>
      <c r="B47" s="3">
        <v>10591295.109999999</v>
      </c>
      <c r="C47" s="3">
        <v>11031902</v>
      </c>
      <c r="D47" s="3">
        <f t="shared" si="3"/>
        <v>-440606.8900000006</v>
      </c>
    </row>
    <row r="48" spans="1:4" x14ac:dyDescent="0.25">
      <c r="A48" t="s">
        <v>40</v>
      </c>
      <c r="B48" s="3">
        <v>1359984</v>
      </c>
      <c r="C48" s="3">
        <v>1086071</v>
      </c>
      <c r="D48" s="3">
        <f t="shared" si="3"/>
        <v>273913</v>
      </c>
    </row>
    <row r="49" spans="1:4" x14ac:dyDescent="0.25">
      <c r="A49" t="s">
        <v>47</v>
      </c>
      <c r="B49" s="3">
        <v>5959007.4299999997</v>
      </c>
      <c r="C49" s="3">
        <v>5959007.4299999997</v>
      </c>
      <c r="D49" s="3">
        <f t="shared" si="3"/>
        <v>0</v>
      </c>
    </row>
    <row r="50" spans="1:4" x14ac:dyDescent="0.25">
      <c r="A50" t="s">
        <v>42</v>
      </c>
      <c r="B50" s="3">
        <v>24796057</v>
      </c>
      <c r="C50" s="3">
        <v>24796057</v>
      </c>
      <c r="D50" s="3">
        <f t="shared" si="3"/>
        <v>0</v>
      </c>
    </row>
    <row r="51" spans="1:4" x14ac:dyDescent="0.25">
      <c r="A51" t="s">
        <v>48</v>
      </c>
      <c r="B51" s="3">
        <v>2580000</v>
      </c>
      <c r="C51" s="3">
        <v>0</v>
      </c>
      <c r="D51" s="3">
        <f t="shared" si="3"/>
        <v>2580000</v>
      </c>
    </row>
    <row r="52" spans="1:4" x14ac:dyDescent="0.25">
      <c r="A52" t="s">
        <v>53</v>
      </c>
      <c r="B52" s="3">
        <v>0</v>
      </c>
      <c r="C52" s="3">
        <v>2580000</v>
      </c>
      <c r="D52" s="3">
        <f t="shared" si="3"/>
        <v>-2580000</v>
      </c>
    </row>
    <row r="53" spans="1:4" x14ac:dyDescent="0.25">
      <c r="A53" s="5" t="s">
        <v>49</v>
      </c>
      <c r="B53" s="4">
        <f>SUM(B44:B52)</f>
        <v>54457631.539999999</v>
      </c>
      <c r="C53" s="4">
        <f t="shared" ref="C53:D53" si="5">SUM(C44:C52)</f>
        <v>54624325.43</v>
      </c>
      <c r="D53" s="4">
        <f t="shared" si="5"/>
        <v>-166693.8900000006</v>
      </c>
    </row>
    <row r="54" spans="1:4" x14ac:dyDescent="0.25">
      <c r="A54" s="5" t="s">
        <v>50</v>
      </c>
      <c r="B54" s="4">
        <f>B41+B53</f>
        <v>127524792.02000001</v>
      </c>
      <c r="C54" s="4">
        <f t="shared" ref="C54:D54" si="6">C41+C53</f>
        <v>124873035.46000001</v>
      </c>
      <c r="D54" s="4">
        <f t="shared" si="6"/>
        <v>2651756.5599999987</v>
      </c>
    </row>
    <row r="55" spans="1:4" x14ac:dyDescent="0.25">
      <c r="B55" s="3"/>
      <c r="C55" s="3"/>
      <c r="D55" s="3"/>
    </row>
    <row r="56" spans="1:4" x14ac:dyDescent="0.25">
      <c r="A56" s="5" t="s">
        <v>51</v>
      </c>
      <c r="B56" s="4">
        <f>Patrimonio!C13</f>
        <v>80026673.699999988</v>
      </c>
      <c r="C56" s="4">
        <f>Patrimonio!D13</f>
        <v>82978150.049999997</v>
      </c>
      <c r="D56" s="4">
        <f t="shared" si="3"/>
        <v>-2951476.3500000089</v>
      </c>
    </row>
    <row r="57" spans="1:4" x14ac:dyDescent="0.25">
      <c r="B57" s="3"/>
      <c r="C57" s="3"/>
      <c r="D57" s="3"/>
    </row>
    <row r="58" spans="1:4" x14ac:dyDescent="0.25">
      <c r="A58" s="5" t="s">
        <v>55</v>
      </c>
      <c r="B58" s="4">
        <f>B54+B56</f>
        <v>207551465.72</v>
      </c>
      <c r="C58" s="4">
        <f t="shared" ref="C58:D58" si="7">C54+C56</f>
        <v>207851185.50999999</v>
      </c>
      <c r="D58" s="4">
        <f t="shared" si="7"/>
        <v>-299719.79000001028</v>
      </c>
    </row>
    <row r="59" spans="1:4" x14ac:dyDescent="0.25">
      <c r="B59" s="3">
        <f>B27-B58</f>
        <v>0.84000000357627869</v>
      </c>
      <c r="C59" s="3">
        <f>C27-C58</f>
        <v>0.15000003576278687</v>
      </c>
      <c r="D59" s="3">
        <f>D27-D58</f>
        <v>0.69000002508983016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4"/>
  <sheetViews>
    <sheetView workbookViewId="0">
      <selection activeCell="B8" sqref="B8"/>
    </sheetView>
  </sheetViews>
  <sheetFormatPr defaultColWidth="11.42578125" defaultRowHeight="15" x14ac:dyDescent="0.25"/>
  <cols>
    <col min="1" max="1" width="50.140625" customWidth="1"/>
    <col min="2" max="3" width="13.7109375" bestFit="1" customWidth="1"/>
    <col min="4" max="4" width="11.5703125" bestFit="1" customWidth="1"/>
  </cols>
  <sheetData>
    <row r="2" spans="1:4" ht="30" x14ac:dyDescent="0.25">
      <c r="A2" s="1" t="s">
        <v>0</v>
      </c>
      <c r="B2" s="2" t="s">
        <v>10</v>
      </c>
      <c r="C2" s="2" t="s">
        <v>11</v>
      </c>
      <c r="D2" s="2" t="s">
        <v>12</v>
      </c>
    </row>
    <row r="3" spans="1:4" x14ac:dyDescent="0.25">
      <c r="A3" t="s">
        <v>56</v>
      </c>
      <c r="B3" s="3">
        <v>159860279.42999998</v>
      </c>
      <c r="C3" s="3">
        <v>159845498.00999999</v>
      </c>
      <c r="D3" s="3">
        <f>B3-C3</f>
        <v>14781.419999986887</v>
      </c>
    </row>
    <row r="4" spans="1:4" x14ac:dyDescent="0.25">
      <c r="A4" t="s">
        <v>57</v>
      </c>
      <c r="B4" s="3">
        <v>-105864855.44</v>
      </c>
      <c r="C4" s="3">
        <v>-106153033.23999999</v>
      </c>
      <c r="D4" s="3">
        <f t="shared" ref="D4:D32" si="0">B4-C4</f>
        <v>288177.79999999702</v>
      </c>
    </row>
    <row r="5" spans="1:4" x14ac:dyDescent="0.25">
      <c r="B5" s="3"/>
      <c r="C5" s="3"/>
      <c r="D5" s="3"/>
    </row>
    <row r="6" spans="1:4" x14ac:dyDescent="0.25">
      <c r="A6" s="5" t="s">
        <v>58</v>
      </c>
      <c r="B6" s="4">
        <f>B3+B4</f>
        <v>53995423.98999998</v>
      </c>
      <c r="C6" s="4">
        <f t="shared" ref="C6:D6" si="1">C3+C4</f>
        <v>53692464.769999996</v>
      </c>
      <c r="D6" s="4">
        <f t="shared" si="1"/>
        <v>302959.21999998391</v>
      </c>
    </row>
    <row r="7" spans="1:4" x14ac:dyDescent="0.25">
      <c r="B7" s="3"/>
      <c r="C7" s="3"/>
      <c r="D7" s="3"/>
    </row>
    <row r="8" spans="1:4" x14ac:dyDescent="0.25">
      <c r="A8" t="s">
        <v>59</v>
      </c>
      <c r="B8" s="3"/>
      <c r="C8" s="3"/>
      <c r="D8" s="3"/>
    </row>
    <row r="9" spans="1:4" x14ac:dyDescent="0.25">
      <c r="A9" t="s">
        <v>60</v>
      </c>
      <c r="B9" s="3">
        <v>-37290225.399999999</v>
      </c>
      <c r="C9" s="3">
        <v>-37329669.159999996</v>
      </c>
      <c r="D9" s="3">
        <f t="shared" si="0"/>
        <v>39443.759999997914</v>
      </c>
    </row>
    <row r="10" spans="1:4" x14ac:dyDescent="0.25">
      <c r="B10" s="3"/>
      <c r="C10" s="3"/>
      <c r="D10" s="3"/>
    </row>
    <row r="11" spans="1:4" x14ac:dyDescent="0.25">
      <c r="A11" s="5" t="s">
        <v>61</v>
      </c>
      <c r="B11" s="4">
        <f>B6+B9</f>
        <v>16705198.589999981</v>
      </c>
      <c r="C11" s="4">
        <f>C6+C9</f>
        <v>16362795.609999999</v>
      </c>
      <c r="D11" s="4">
        <f>D6+D9</f>
        <v>342402.97999998182</v>
      </c>
    </row>
    <row r="12" spans="1:4" x14ac:dyDescent="0.25">
      <c r="B12" s="3"/>
      <c r="C12" s="3"/>
      <c r="D12" s="3"/>
    </row>
    <row r="13" spans="1:4" x14ac:dyDescent="0.25">
      <c r="A13" t="s">
        <v>62</v>
      </c>
      <c r="B13" s="3">
        <v>-3672120.1999999997</v>
      </c>
      <c r="C13" s="3">
        <v>-3672120.1999999997</v>
      </c>
      <c r="D13" s="3">
        <f t="shared" si="0"/>
        <v>0</v>
      </c>
    </row>
    <row r="14" spans="1:4" x14ac:dyDescent="0.25">
      <c r="A14" t="s">
        <v>63</v>
      </c>
      <c r="B14" s="3">
        <v>-1111669.7000000002</v>
      </c>
      <c r="C14" s="3">
        <v>-1111669.7000000002</v>
      </c>
      <c r="D14" s="3">
        <f t="shared" si="0"/>
        <v>0</v>
      </c>
    </row>
    <row r="15" spans="1:4" x14ac:dyDescent="0.25">
      <c r="B15" s="3"/>
      <c r="C15" s="3"/>
      <c r="D15" s="3"/>
    </row>
    <row r="16" spans="1:4" x14ac:dyDescent="0.25">
      <c r="A16" s="5" t="s">
        <v>64</v>
      </c>
      <c r="B16" s="4">
        <f>B11+B13+B14</f>
        <v>11921408.689999983</v>
      </c>
      <c r="C16" s="4">
        <f t="shared" ref="C16:D16" si="2">C11+C13+C14</f>
        <v>11579005.710000001</v>
      </c>
      <c r="D16" s="4">
        <f t="shared" si="2"/>
        <v>342402.97999998182</v>
      </c>
    </row>
    <row r="17" spans="1:4" x14ac:dyDescent="0.25">
      <c r="B17" s="3"/>
      <c r="C17" s="3"/>
      <c r="D17" s="3"/>
    </row>
    <row r="18" spans="1:4" x14ac:dyDescent="0.25">
      <c r="A18" t="s">
        <v>65</v>
      </c>
      <c r="B18" s="3">
        <v>-2417615</v>
      </c>
      <c r="C18" s="3">
        <v>-2417615</v>
      </c>
      <c r="D18" s="3">
        <f t="shared" si="0"/>
        <v>0</v>
      </c>
    </row>
    <row r="19" spans="1:4" x14ac:dyDescent="0.25">
      <c r="B19" s="3"/>
      <c r="C19" s="3"/>
      <c r="D19" s="3"/>
    </row>
    <row r="20" spans="1:4" x14ac:dyDescent="0.25">
      <c r="A20" t="s">
        <v>66</v>
      </c>
      <c r="B20" s="3">
        <v>-4232971</v>
      </c>
      <c r="C20" s="3">
        <v>-4254413</v>
      </c>
      <c r="D20" s="3">
        <f t="shared" si="0"/>
        <v>21442</v>
      </c>
    </row>
    <row r="21" spans="1:4" x14ac:dyDescent="0.25">
      <c r="B21" s="3"/>
      <c r="C21" s="3"/>
      <c r="D21" s="3"/>
    </row>
    <row r="22" spans="1:4" x14ac:dyDescent="0.25">
      <c r="A22" s="5" t="s">
        <v>67</v>
      </c>
      <c r="B22" s="4">
        <f>B16+B18+B20</f>
        <v>5270822.6899999827</v>
      </c>
      <c r="C22" s="4">
        <f t="shared" ref="C22:D22" si="3">C16+C18+C20</f>
        <v>4906977.7100000009</v>
      </c>
      <c r="D22" s="4">
        <f t="shared" si="3"/>
        <v>363844.97999998182</v>
      </c>
    </row>
    <row r="23" spans="1:4" x14ac:dyDescent="0.25">
      <c r="B23" s="3"/>
      <c r="C23" s="3"/>
      <c r="D23" s="3"/>
    </row>
    <row r="24" spans="1:4" x14ac:dyDescent="0.25">
      <c r="A24" s="5" t="s">
        <v>68</v>
      </c>
      <c r="B24" s="3"/>
      <c r="C24" s="3"/>
      <c r="D24" s="3"/>
    </row>
    <row r="25" spans="1:4" x14ac:dyDescent="0.25">
      <c r="B25" s="3"/>
      <c r="C25" s="3"/>
      <c r="D25" s="3"/>
    </row>
    <row r="26" spans="1:4" x14ac:dyDescent="0.25">
      <c r="A26" t="s">
        <v>69</v>
      </c>
      <c r="B26" s="3">
        <v>70086</v>
      </c>
      <c r="C26" s="3">
        <v>70086</v>
      </c>
      <c r="D26" s="3">
        <f t="shared" si="0"/>
        <v>0</v>
      </c>
    </row>
    <row r="27" spans="1:4" x14ac:dyDescent="0.25">
      <c r="B27" s="3"/>
      <c r="C27" s="3"/>
      <c r="D27" s="3"/>
    </row>
    <row r="28" spans="1:4" x14ac:dyDescent="0.25">
      <c r="A28" s="5" t="s">
        <v>70</v>
      </c>
      <c r="B28" s="4">
        <f>B22+B26</f>
        <v>5340908.6899999827</v>
      </c>
      <c r="C28" s="4">
        <f t="shared" ref="C28:D28" si="4">C22+C26</f>
        <v>4977063.7100000009</v>
      </c>
      <c r="D28" s="4">
        <f t="shared" si="4"/>
        <v>363844.97999998182</v>
      </c>
    </row>
    <row r="29" spans="1:4" x14ac:dyDescent="0.25">
      <c r="B29" s="3"/>
      <c r="C29" s="3"/>
      <c r="D29" s="3"/>
    </row>
    <row r="30" spans="1:4" x14ac:dyDescent="0.25">
      <c r="A30" s="5" t="s">
        <v>71</v>
      </c>
      <c r="B30" s="4">
        <v>6362707.3569136076</v>
      </c>
      <c r="C30" s="4">
        <v>6002230.8769136071</v>
      </c>
      <c r="D30" s="4">
        <f t="shared" si="0"/>
        <v>360476.48000000045</v>
      </c>
    </row>
    <row r="31" spans="1:4" x14ac:dyDescent="0.25">
      <c r="B31" s="3"/>
      <c r="C31" s="3"/>
      <c r="D31" s="3"/>
    </row>
    <row r="32" spans="1:4" x14ac:dyDescent="0.25">
      <c r="A32" s="5" t="s">
        <v>72</v>
      </c>
      <c r="B32" s="4">
        <v>-1021798.66691362</v>
      </c>
      <c r="C32" s="4">
        <v>-1025167.16691362</v>
      </c>
      <c r="D32" s="4">
        <f t="shared" si="0"/>
        <v>3368.5</v>
      </c>
    </row>
    <row r="34" spans="2:4" x14ac:dyDescent="0.25">
      <c r="B34" s="3">
        <f>B30+B32</f>
        <v>5340908.6899999874</v>
      </c>
      <c r="C34" s="3">
        <f>C30+C32</f>
        <v>4977063.7099999869</v>
      </c>
      <c r="D34" s="3">
        <f>D30+D32</f>
        <v>363844.98000000045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71"/>
  <sheetViews>
    <sheetView workbookViewId="0">
      <selection activeCell="A2" sqref="A2"/>
    </sheetView>
  </sheetViews>
  <sheetFormatPr defaultColWidth="11.42578125" defaultRowHeight="15" x14ac:dyDescent="0.25"/>
  <cols>
    <col min="1" max="1" width="44.42578125" bestFit="1" customWidth="1"/>
    <col min="2" max="2" width="12.7109375" bestFit="1" customWidth="1"/>
    <col min="3" max="3" width="13" bestFit="1" customWidth="1"/>
  </cols>
  <sheetData>
    <row r="2" spans="1:4" x14ac:dyDescent="0.25">
      <c r="A2" s="2" t="s">
        <v>73</v>
      </c>
      <c r="B2" s="2" t="s">
        <v>10</v>
      </c>
      <c r="C2" s="2" t="s">
        <v>11</v>
      </c>
      <c r="D2" s="2" t="s">
        <v>12</v>
      </c>
    </row>
    <row r="3" spans="1:4" x14ac:dyDescent="0.25">
      <c r="A3" t="s">
        <v>74</v>
      </c>
      <c r="B3" s="3">
        <v>7531.2000000000016</v>
      </c>
      <c r="C3" s="3">
        <v>7531.2000000000016</v>
      </c>
      <c r="D3" s="3">
        <f>B3-C3</f>
        <v>0</v>
      </c>
    </row>
    <row r="4" spans="1:4" x14ac:dyDescent="0.25">
      <c r="A4" t="s">
        <v>16</v>
      </c>
      <c r="B4" s="3">
        <v>0</v>
      </c>
      <c r="C4" s="3">
        <v>0</v>
      </c>
      <c r="D4" s="3">
        <f t="shared" ref="D4:D50" si="0">B4-C4</f>
        <v>0</v>
      </c>
    </row>
    <row r="5" spans="1:4" x14ac:dyDescent="0.25">
      <c r="A5" t="s">
        <v>75</v>
      </c>
      <c r="B5" s="3">
        <v>0</v>
      </c>
      <c r="C5" s="3">
        <v>0</v>
      </c>
      <c r="D5" s="3">
        <f t="shared" si="0"/>
        <v>0</v>
      </c>
    </row>
    <row r="6" spans="1:4" x14ac:dyDescent="0.25">
      <c r="A6" t="s">
        <v>76</v>
      </c>
      <c r="B6" s="3">
        <v>88590.87</v>
      </c>
      <c r="C6" s="3">
        <v>88590.87</v>
      </c>
      <c r="D6" s="3">
        <f t="shared" si="0"/>
        <v>0</v>
      </c>
    </row>
    <row r="7" spans="1:4" x14ac:dyDescent="0.25">
      <c r="A7" t="s">
        <v>77</v>
      </c>
      <c r="B7" s="3">
        <v>0</v>
      </c>
      <c r="C7" s="3">
        <v>0</v>
      </c>
      <c r="D7" s="3">
        <f t="shared" si="0"/>
        <v>0</v>
      </c>
    </row>
    <row r="8" spans="1:4" x14ac:dyDescent="0.25">
      <c r="A8" t="s">
        <v>20</v>
      </c>
      <c r="B8" s="3">
        <v>1575.41</v>
      </c>
      <c r="C8" s="3">
        <v>1575.41</v>
      </c>
      <c r="D8" s="3">
        <f t="shared" si="0"/>
        <v>0</v>
      </c>
    </row>
    <row r="9" spans="1:4" x14ac:dyDescent="0.25">
      <c r="A9" t="s">
        <v>19</v>
      </c>
      <c r="B9" s="3">
        <v>90076</v>
      </c>
      <c r="C9" s="3">
        <v>90076</v>
      </c>
      <c r="D9" s="3">
        <f t="shared" si="0"/>
        <v>0</v>
      </c>
    </row>
    <row r="10" spans="1:4" x14ac:dyDescent="0.25">
      <c r="A10" t="s">
        <v>21</v>
      </c>
      <c r="B10" s="3">
        <v>0</v>
      </c>
      <c r="C10" s="3">
        <v>0</v>
      </c>
      <c r="D10" s="3">
        <f t="shared" si="0"/>
        <v>0</v>
      </c>
    </row>
    <row r="11" spans="1:4" x14ac:dyDescent="0.25">
      <c r="A11" t="s">
        <v>22</v>
      </c>
      <c r="B11" s="3">
        <v>0</v>
      </c>
      <c r="C11" s="3">
        <v>0</v>
      </c>
      <c r="D11" s="3">
        <f t="shared" si="0"/>
        <v>0</v>
      </c>
    </row>
    <row r="12" spans="1:4" x14ac:dyDescent="0.25">
      <c r="A12" t="s">
        <v>78</v>
      </c>
      <c r="B12" s="3">
        <v>0</v>
      </c>
      <c r="C12" s="3">
        <v>0</v>
      </c>
      <c r="D12" s="3">
        <f t="shared" si="0"/>
        <v>0</v>
      </c>
    </row>
    <row r="13" spans="1:4" x14ac:dyDescent="0.25">
      <c r="A13" t="s">
        <v>79</v>
      </c>
      <c r="B13" s="3">
        <v>1569.48</v>
      </c>
      <c r="C13" s="3">
        <v>1569.48</v>
      </c>
      <c r="D13" s="3">
        <f t="shared" si="0"/>
        <v>0</v>
      </c>
    </row>
    <row r="14" spans="1:4" x14ac:dyDescent="0.25">
      <c r="A14" t="s">
        <v>80</v>
      </c>
      <c r="B14" s="3">
        <v>314972.68000000023</v>
      </c>
      <c r="C14" s="3">
        <v>314972.68000000023</v>
      </c>
      <c r="D14" s="3">
        <f t="shared" si="0"/>
        <v>0</v>
      </c>
    </row>
    <row r="15" spans="1:4" x14ac:dyDescent="0.25">
      <c r="A15" t="s">
        <v>81</v>
      </c>
      <c r="B15" s="3">
        <v>0</v>
      </c>
      <c r="C15" s="3">
        <v>0</v>
      </c>
      <c r="D15" s="3">
        <f t="shared" si="0"/>
        <v>0</v>
      </c>
    </row>
    <row r="16" spans="1:4" x14ac:dyDescent="0.25">
      <c r="A16" t="s">
        <v>82</v>
      </c>
      <c r="B16" s="3">
        <v>78647.520000000019</v>
      </c>
      <c r="C16" s="3">
        <v>78647.520000000019</v>
      </c>
      <c r="D16" s="3">
        <f t="shared" si="0"/>
        <v>0</v>
      </c>
    </row>
    <row r="17" spans="1:4" x14ac:dyDescent="0.25">
      <c r="A17" t="s">
        <v>28</v>
      </c>
      <c r="B17" s="3">
        <v>0</v>
      </c>
      <c r="C17" s="3">
        <v>0</v>
      </c>
      <c r="D17" s="3">
        <f t="shared" si="0"/>
        <v>0</v>
      </c>
    </row>
    <row r="18" spans="1:4" x14ac:dyDescent="0.25">
      <c r="A18" t="s">
        <v>29</v>
      </c>
      <c r="B18" s="3">
        <v>0</v>
      </c>
      <c r="C18" s="3">
        <v>0</v>
      </c>
      <c r="D18" s="3">
        <f t="shared" si="0"/>
        <v>0</v>
      </c>
    </row>
    <row r="19" spans="1:4" x14ac:dyDescent="0.25">
      <c r="A19" t="s">
        <v>83</v>
      </c>
      <c r="B19" s="3">
        <v>0</v>
      </c>
      <c r="C19" s="3">
        <v>0</v>
      </c>
      <c r="D19" s="3">
        <f t="shared" si="0"/>
        <v>0</v>
      </c>
    </row>
    <row r="20" spans="1:4" x14ac:dyDescent="0.25">
      <c r="A20" t="s">
        <v>30</v>
      </c>
      <c r="B20" s="3">
        <v>0</v>
      </c>
      <c r="C20" s="3">
        <v>0</v>
      </c>
      <c r="D20" s="3">
        <f t="shared" si="0"/>
        <v>0</v>
      </c>
    </row>
    <row r="21" spans="1:4" x14ac:dyDescent="0.25">
      <c r="A21" s="5" t="s">
        <v>84</v>
      </c>
      <c r="B21" s="4">
        <f>SUM(B3:B20)</f>
        <v>582963.16000000027</v>
      </c>
      <c r="C21" s="4">
        <f t="shared" ref="C21:D21" si="1">SUM(C3:C20)</f>
        <v>582963.16000000027</v>
      </c>
      <c r="D21" s="4">
        <f t="shared" si="1"/>
        <v>0</v>
      </c>
    </row>
    <row r="22" spans="1:4" x14ac:dyDescent="0.25">
      <c r="A22" t="s">
        <v>85</v>
      </c>
      <c r="B22" s="3">
        <v>0</v>
      </c>
      <c r="C22" s="3">
        <v>0</v>
      </c>
      <c r="D22" s="3">
        <f t="shared" si="0"/>
        <v>0</v>
      </c>
    </row>
    <row r="23" spans="1:4" x14ac:dyDescent="0.25">
      <c r="A23" t="s">
        <v>35</v>
      </c>
      <c r="B23" s="3">
        <v>990769.2</v>
      </c>
      <c r="C23" s="3">
        <v>0</v>
      </c>
      <c r="D23" s="3">
        <f t="shared" si="0"/>
        <v>990769.2</v>
      </c>
    </row>
    <row r="24" spans="1:4" x14ac:dyDescent="0.25">
      <c r="A24" t="s">
        <v>86</v>
      </c>
      <c r="B24" s="3">
        <v>0</v>
      </c>
      <c r="C24" s="3">
        <v>0</v>
      </c>
      <c r="D24" s="3">
        <f t="shared" si="0"/>
        <v>0</v>
      </c>
    </row>
    <row r="25" spans="1:4" x14ac:dyDescent="0.25">
      <c r="A25" t="s">
        <v>87</v>
      </c>
      <c r="B25" s="3">
        <v>0</v>
      </c>
      <c r="C25" s="3">
        <v>14034.17</v>
      </c>
      <c r="D25" s="3">
        <f t="shared" si="0"/>
        <v>-14034.17</v>
      </c>
    </row>
    <row r="26" spans="1:4" x14ac:dyDescent="0.25">
      <c r="A26" t="s">
        <v>88</v>
      </c>
      <c r="B26" s="3">
        <v>0</v>
      </c>
      <c r="C26" s="3">
        <v>282302</v>
      </c>
      <c r="D26" s="3">
        <f t="shared" si="0"/>
        <v>-282302</v>
      </c>
    </row>
    <row r="27" spans="1:4" x14ac:dyDescent="0.25">
      <c r="A27" t="s">
        <v>39</v>
      </c>
      <c r="B27" s="3">
        <v>13582.420000000002</v>
      </c>
      <c r="C27" s="3">
        <v>13582.420000000002</v>
      </c>
      <c r="D27" s="3">
        <f t="shared" si="0"/>
        <v>0</v>
      </c>
    </row>
    <row r="28" spans="1:4" x14ac:dyDescent="0.25">
      <c r="A28" t="s">
        <v>40</v>
      </c>
      <c r="B28" s="3">
        <v>5839.7800000000279</v>
      </c>
      <c r="C28" s="3">
        <v>41383</v>
      </c>
      <c r="D28" s="3">
        <f t="shared" si="0"/>
        <v>-35543.219999999972</v>
      </c>
    </row>
    <row r="29" spans="1:4" x14ac:dyDescent="0.25">
      <c r="A29" t="s">
        <v>89</v>
      </c>
      <c r="B29" s="3">
        <v>0</v>
      </c>
      <c r="C29" s="3">
        <v>0</v>
      </c>
      <c r="D29" s="3">
        <f t="shared" si="0"/>
        <v>0</v>
      </c>
    </row>
    <row r="30" spans="1:4" x14ac:dyDescent="0.25">
      <c r="A30" t="s">
        <v>90</v>
      </c>
      <c r="B30" s="3">
        <v>17426.740000000002</v>
      </c>
      <c r="C30" s="3">
        <v>17426</v>
      </c>
      <c r="D30" s="3">
        <f t="shared" si="0"/>
        <v>0.74000000000160071</v>
      </c>
    </row>
    <row r="31" spans="1:4" x14ac:dyDescent="0.25">
      <c r="A31" t="s">
        <v>91</v>
      </c>
      <c r="B31" s="3">
        <v>0</v>
      </c>
      <c r="C31" s="3">
        <v>0</v>
      </c>
      <c r="D31" s="3">
        <f t="shared" si="0"/>
        <v>0</v>
      </c>
    </row>
    <row r="32" spans="1:4" x14ac:dyDescent="0.25">
      <c r="A32" t="s">
        <v>46</v>
      </c>
      <c r="B32" s="3">
        <v>0</v>
      </c>
      <c r="C32" s="3">
        <v>0</v>
      </c>
      <c r="D32" s="3">
        <f t="shared" si="0"/>
        <v>0</v>
      </c>
    </row>
    <row r="33" spans="1:4" x14ac:dyDescent="0.25">
      <c r="A33" t="s">
        <v>92</v>
      </c>
      <c r="B33" s="3">
        <v>0</v>
      </c>
      <c r="C33" s="3">
        <v>0</v>
      </c>
      <c r="D33" s="3">
        <f t="shared" si="0"/>
        <v>0</v>
      </c>
    </row>
    <row r="34" spans="1:4" x14ac:dyDescent="0.25">
      <c r="A34" t="s">
        <v>93</v>
      </c>
      <c r="B34" s="3">
        <v>0</v>
      </c>
      <c r="C34" s="3">
        <v>658890</v>
      </c>
      <c r="D34" s="3">
        <f t="shared" si="0"/>
        <v>-658890</v>
      </c>
    </row>
    <row r="35" spans="1:4" x14ac:dyDescent="0.25">
      <c r="A35" t="s">
        <v>94</v>
      </c>
      <c r="B35" s="3">
        <v>0</v>
      </c>
      <c r="C35" s="3">
        <v>0</v>
      </c>
      <c r="D35" s="3">
        <f t="shared" si="0"/>
        <v>0</v>
      </c>
    </row>
    <row r="36" spans="1:4" x14ac:dyDescent="0.25">
      <c r="A36" t="s">
        <v>95</v>
      </c>
      <c r="B36" s="3">
        <v>49648.600000000006</v>
      </c>
      <c r="C36" s="3">
        <v>49648.600000000006</v>
      </c>
      <c r="D36" s="3">
        <f t="shared" si="0"/>
        <v>0</v>
      </c>
    </row>
    <row r="37" spans="1:4" x14ac:dyDescent="0.25">
      <c r="A37" t="s">
        <v>89</v>
      </c>
      <c r="B37" s="3">
        <v>0</v>
      </c>
      <c r="C37" s="3">
        <v>0</v>
      </c>
      <c r="D37" s="3">
        <f t="shared" si="0"/>
        <v>0</v>
      </c>
    </row>
    <row r="38" spans="1:4" x14ac:dyDescent="0.25">
      <c r="A38" t="s">
        <v>53</v>
      </c>
      <c r="B38" s="3">
        <v>0</v>
      </c>
      <c r="C38" s="3">
        <v>0</v>
      </c>
      <c r="D38" s="3">
        <f t="shared" si="0"/>
        <v>0</v>
      </c>
    </row>
    <row r="39" spans="1:4" x14ac:dyDescent="0.25">
      <c r="A39" s="5" t="s">
        <v>50</v>
      </c>
      <c r="B39" s="4">
        <f>SUM(B22:B38)</f>
        <v>1077266.74</v>
      </c>
      <c r="C39" s="4">
        <f t="shared" ref="C39:D39" si="2">SUM(C22:C38)</f>
        <v>1077266.19</v>
      </c>
      <c r="D39" s="4">
        <f t="shared" si="2"/>
        <v>0.54999999993015081</v>
      </c>
    </row>
    <row r="40" spans="1:4" x14ac:dyDescent="0.25">
      <c r="A40" t="s">
        <v>96</v>
      </c>
      <c r="B40" s="3">
        <v>3661400</v>
      </c>
      <c r="C40" s="3">
        <v>3661400</v>
      </c>
      <c r="D40" s="3">
        <f t="shared" si="0"/>
        <v>0</v>
      </c>
    </row>
    <row r="41" spans="1:4" x14ac:dyDescent="0.25">
      <c r="A41" t="s">
        <v>105</v>
      </c>
      <c r="B41" s="3">
        <v>0</v>
      </c>
      <c r="C41" s="3">
        <v>0</v>
      </c>
      <c r="D41" s="3">
        <f t="shared" si="0"/>
        <v>0</v>
      </c>
    </row>
    <row r="42" spans="1:4" x14ac:dyDescent="0.25">
      <c r="A42" t="s">
        <v>97</v>
      </c>
      <c r="B42" s="3">
        <v>406799.86000000004</v>
      </c>
      <c r="C42" s="3">
        <v>406799.86000000004</v>
      </c>
      <c r="D42" s="3">
        <f t="shared" si="0"/>
        <v>0</v>
      </c>
    </row>
    <row r="43" spans="1:4" x14ac:dyDescent="0.25">
      <c r="A43" t="s">
        <v>98</v>
      </c>
      <c r="B43" s="3">
        <v>0</v>
      </c>
      <c r="C43" s="3">
        <v>0</v>
      </c>
      <c r="D43" s="3">
        <f t="shared" si="0"/>
        <v>0</v>
      </c>
    </row>
    <row r="44" spans="1:4" x14ac:dyDescent="0.25">
      <c r="A44" t="s">
        <v>99</v>
      </c>
      <c r="B44" s="3">
        <v>0</v>
      </c>
      <c r="C44" s="3">
        <v>0</v>
      </c>
      <c r="D44" s="3">
        <f t="shared" si="0"/>
        <v>0</v>
      </c>
    </row>
    <row r="45" spans="1:4" x14ac:dyDescent="0.25">
      <c r="A45" t="s">
        <v>100</v>
      </c>
      <c r="B45" s="3">
        <v>0</v>
      </c>
      <c r="C45" s="3">
        <v>0</v>
      </c>
      <c r="D45" s="3">
        <f t="shared" si="0"/>
        <v>0</v>
      </c>
    </row>
    <row r="46" spans="1:4" x14ac:dyDescent="0.25">
      <c r="A46" t="s">
        <v>5</v>
      </c>
      <c r="B46" s="3">
        <v>0</v>
      </c>
      <c r="C46" s="3">
        <v>0</v>
      </c>
      <c r="D46" s="3">
        <f t="shared" si="0"/>
        <v>0</v>
      </c>
    </row>
    <row r="47" spans="1:4" x14ac:dyDescent="0.25">
      <c r="A47" t="s">
        <v>101</v>
      </c>
      <c r="B47" s="3">
        <v>274690.03999999998</v>
      </c>
      <c r="C47" s="3">
        <v>274690.03999999998</v>
      </c>
      <c r="D47" s="3">
        <f t="shared" si="0"/>
        <v>0</v>
      </c>
    </row>
    <row r="48" spans="1:4" x14ac:dyDescent="0.25">
      <c r="A48" t="s">
        <v>102</v>
      </c>
      <c r="B48" s="3">
        <v>0</v>
      </c>
      <c r="C48" s="3">
        <v>-56932</v>
      </c>
      <c r="D48" s="3">
        <f t="shared" si="0"/>
        <v>56932</v>
      </c>
    </row>
    <row r="49" spans="1:4" x14ac:dyDescent="0.25">
      <c r="A49" t="s">
        <v>103</v>
      </c>
      <c r="B49" s="3">
        <v>-4837193.87</v>
      </c>
      <c r="C49" s="3">
        <v>-4780262</v>
      </c>
      <c r="D49" s="3">
        <f t="shared" si="0"/>
        <v>-56931.870000000112</v>
      </c>
    </row>
    <row r="50" spans="1:4" x14ac:dyDescent="0.25">
      <c r="A50" t="s">
        <v>9</v>
      </c>
      <c r="B50" s="3">
        <v>0</v>
      </c>
      <c r="C50" s="3">
        <v>0</v>
      </c>
      <c r="D50" s="3">
        <f t="shared" si="0"/>
        <v>0</v>
      </c>
    </row>
    <row r="51" spans="1:4" x14ac:dyDescent="0.25">
      <c r="A51" s="5" t="s">
        <v>104</v>
      </c>
      <c r="B51" s="4">
        <f>SUM(B40:B50)</f>
        <v>-494303.97000000067</v>
      </c>
      <c r="C51" s="4">
        <f>SUM(C40:C50)</f>
        <v>-494304.10000000056</v>
      </c>
      <c r="D51" s="4">
        <f>SUM(D40:D50)</f>
        <v>0.12999999988824129</v>
      </c>
    </row>
    <row r="54" spans="1:4" x14ac:dyDescent="0.25">
      <c r="A54" t="s">
        <v>106</v>
      </c>
    </row>
    <row r="55" spans="1:4" x14ac:dyDescent="0.25">
      <c r="A55" t="s">
        <v>109</v>
      </c>
      <c r="B55" s="3">
        <v>-3575591.2</v>
      </c>
      <c r="C55" s="3">
        <v>-4291030</v>
      </c>
      <c r="D55" s="3">
        <f t="shared" ref="D55:D58" si="3">B55-C55</f>
        <v>715438.79999999981</v>
      </c>
    </row>
    <row r="56" spans="1:4" x14ac:dyDescent="0.25">
      <c r="A56" t="s">
        <v>107</v>
      </c>
      <c r="B56" s="3">
        <v>-4837193.87</v>
      </c>
      <c r="C56" s="3">
        <v>-4780262</v>
      </c>
      <c r="D56" s="3">
        <f t="shared" si="3"/>
        <v>-56931.870000000112</v>
      </c>
    </row>
    <row r="57" spans="1:4" x14ac:dyDescent="0.25">
      <c r="A57" t="s">
        <v>108</v>
      </c>
      <c r="B57" s="3">
        <v>-439560</v>
      </c>
      <c r="C57" s="3">
        <v>-584524</v>
      </c>
      <c r="D57" s="3">
        <f t="shared" si="3"/>
        <v>144964</v>
      </c>
    </row>
    <row r="58" spans="1:4" x14ac:dyDescent="0.25">
      <c r="A58" s="5" t="s">
        <v>110</v>
      </c>
      <c r="B58" s="4">
        <f>SUM(B55:B57)</f>
        <v>-8852345.0700000003</v>
      </c>
      <c r="C58" s="4">
        <f>SUM(C55:C57)</f>
        <v>-9655816</v>
      </c>
      <c r="D58" s="4">
        <f t="shared" si="3"/>
        <v>803470.9299999997</v>
      </c>
    </row>
    <row r="60" spans="1:4" x14ac:dyDescent="0.25">
      <c r="A60" s="7" t="s">
        <v>109</v>
      </c>
      <c r="B60" s="3">
        <v>32549629.790000003</v>
      </c>
      <c r="C60" s="3">
        <v>32856864.460000001</v>
      </c>
      <c r="D60" s="3">
        <f>B60-C60</f>
        <v>-307234.66999999806</v>
      </c>
    </row>
    <row r="61" spans="1:4" x14ac:dyDescent="0.25">
      <c r="A61" s="7" t="s">
        <v>113</v>
      </c>
      <c r="B61" s="3">
        <v>2032366.94</v>
      </c>
      <c r="C61" s="3">
        <v>2032366.94</v>
      </c>
      <c r="D61" s="3">
        <f t="shared" ref="D61:D70" si="4">B61-C61</f>
        <v>0</v>
      </c>
    </row>
    <row r="62" spans="1:4" x14ac:dyDescent="0.25">
      <c r="A62" s="7" t="s">
        <v>114</v>
      </c>
      <c r="B62" s="3">
        <v>119190.30000000002</v>
      </c>
      <c r="C62" s="3">
        <v>119190.30000000002</v>
      </c>
      <c r="D62" s="3">
        <f t="shared" si="4"/>
        <v>0</v>
      </c>
    </row>
    <row r="63" spans="1:4" x14ac:dyDescent="0.25">
      <c r="A63" s="7" t="s">
        <v>115</v>
      </c>
      <c r="B63" s="3">
        <v>-1090514.99</v>
      </c>
      <c r="C63" s="3">
        <v>-1090514.99</v>
      </c>
      <c r="D63" s="3">
        <f t="shared" si="4"/>
        <v>0</v>
      </c>
    </row>
    <row r="64" spans="1:4" x14ac:dyDescent="0.25">
      <c r="A64" s="7" t="s">
        <v>116</v>
      </c>
      <c r="B64" s="3">
        <v>360239</v>
      </c>
      <c r="C64" s="3">
        <v>360239</v>
      </c>
      <c r="D64" s="3">
        <f t="shared" si="4"/>
        <v>0</v>
      </c>
    </row>
    <row r="65" spans="1:4" x14ac:dyDescent="0.25">
      <c r="A65" s="7" t="s">
        <v>117</v>
      </c>
      <c r="B65" s="3">
        <v>7988.59</v>
      </c>
      <c r="C65" s="3">
        <v>7988.59</v>
      </c>
      <c r="D65" s="3">
        <f t="shared" si="4"/>
        <v>0</v>
      </c>
    </row>
    <row r="66" spans="1:4" x14ac:dyDescent="0.25">
      <c r="A66" s="7" t="s">
        <v>118</v>
      </c>
      <c r="B66" s="3">
        <v>10000</v>
      </c>
      <c r="C66" s="3">
        <v>10000</v>
      </c>
      <c r="D66" s="3">
        <f t="shared" si="4"/>
        <v>0</v>
      </c>
    </row>
    <row r="67" spans="1:4" x14ac:dyDescent="0.25">
      <c r="A67" s="7" t="s">
        <v>119</v>
      </c>
      <c r="B67" s="3">
        <v>1140</v>
      </c>
      <c r="C67" s="3">
        <v>1140</v>
      </c>
      <c r="D67" s="3">
        <f t="shared" si="4"/>
        <v>0</v>
      </c>
    </row>
    <row r="68" spans="1:4" x14ac:dyDescent="0.25">
      <c r="A68" s="7" t="s">
        <v>120</v>
      </c>
      <c r="B68" s="3">
        <v>821390.42999999993</v>
      </c>
      <c r="C68" s="3">
        <v>821390.42999999993</v>
      </c>
      <c r="D68" s="3">
        <f t="shared" si="4"/>
        <v>0</v>
      </c>
    </row>
    <row r="69" spans="1:4" x14ac:dyDescent="0.25">
      <c r="A69" t="s">
        <v>111</v>
      </c>
      <c r="B69" s="3">
        <v>-494303.97000000067</v>
      </c>
      <c r="C69" s="3">
        <v>-494304.10000000056</v>
      </c>
      <c r="D69" s="3">
        <f t="shared" si="4"/>
        <v>0.12999999988824129</v>
      </c>
    </row>
    <row r="70" spans="1:4" x14ac:dyDescent="0.25">
      <c r="A70" t="s">
        <v>112</v>
      </c>
      <c r="B70" s="3">
        <v>-439560</v>
      </c>
      <c r="C70" s="3">
        <v>-574524</v>
      </c>
      <c r="D70" s="3">
        <f t="shared" si="4"/>
        <v>134964</v>
      </c>
    </row>
    <row r="71" spans="1:4" x14ac:dyDescent="0.25">
      <c r="A71" s="8" t="s">
        <v>110</v>
      </c>
      <c r="B71" s="4">
        <f>SUM(B60:B70)</f>
        <v>33877566.090000004</v>
      </c>
      <c r="C71" s="4">
        <f t="shared" ref="C71:D71" si="5">SUM(C60:C70)</f>
        <v>34049836.629999995</v>
      </c>
      <c r="D71" s="4">
        <f t="shared" si="5"/>
        <v>-172270.53999999817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Resumen</vt:lpstr>
      <vt:lpstr>MS</vt:lpstr>
      <vt:lpstr>CGA</vt:lpstr>
      <vt:lpstr>Diferencias</vt:lpstr>
      <vt:lpstr>Patrimonio</vt:lpstr>
      <vt:lpstr>Balance</vt:lpstr>
      <vt:lpstr>Resultados</vt:lpstr>
      <vt:lpstr>Linkotel</vt:lpstr>
    </vt:vector>
  </TitlesOfParts>
  <Company>Wi-Black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Latinserver</dc:creator>
  <cp:lastModifiedBy>Carlos Almeida</cp:lastModifiedBy>
  <dcterms:created xsi:type="dcterms:W3CDTF">2019-05-27T17:58:31Z</dcterms:created>
  <dcterms:modified xsi:type="dcterms:W3CDTF">2019-06-07T19:04:12Z</dcterms:modified>
</cp:coreProperties>
</file>