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Telconet y subsidiarias 2018\"/>
    </mc:Choice>
  </mc:AlternateContent>
  <xr:revisionPtr revIDLastSave="0" documentId="13_ncr:1_{78327132-81AF-4DA8-864F-59070F17450A}" xr6:coauthVersionLast="43" xr6:coauthVersionMax="43" xr10:uidLastSave="{00000000-0000-0000-0000-000000000000}"/>
  <bookViews>
    <workbookView xWindow="-120" yWindow="-120" windowWidth="20730" windowHeight="11160" tabRatio="902" firstSheet="13" activeTab="20" xr2:uid="{00000000-000D-0000-FFFF-FFFF00000000}"/>
  </bookViews>
  <sheets>
    <sheet name="ESF - ERI" sheetId="2" r:id="rId1"/>
    <sheet name="EF Informe" sheetId="21" r:id="rId2"/>
    <sheet name="PyG Informe" sheetId="22" state="hidden" r:id="rId3"/>
    <sheet name="Estado de Cambios en el Patr." sheetId="23" state="hidden" r:id="rId4"/>
    <sheet name="Diario 2015 (a)" sheetId="15" r:id="rId5"/>
    <sheet name="Diarios Cxc Cxp relac (c)" sheetId="16" r:id="rId6"/>
    <sheet name="Ventas-Compras (d)" sheetId="19" r:id="rId7"/>
    <sheet name="Asientos - para Consolidado" sheetId="1" state="hidden" r:id="rId8"/>
    <sheet name="PNC" sheetId="4" state="hidden" r:id="rId9"/>
    <sheet name="Hoja2" sheetId="6" state="hidden" r:id="rId10"/>
    <sheet name="Variación Patrimonio 2017-2016" sheetId="18" r:id="rId11"/>
    <sheet name="Variación Patrimonio 2018-2017" sheetId="40" r:id="rId12"/>
    <sheet name="Transacciones 2018" sheetId="37" r:id="rId13"/>
    <sheet name="Saldos interco. 2018" sheetId="38" r:id="rId14"/>
    <sheet name="Participaciones 2018" sheetId="39" r:id="rId15"/>
    <sheet name="Inversiones 2018" sheetId="17" r:id="rId16"/>
    <sheet name="Planilla Final 2018" sheetId="36" r:id="rId17"/>
    <sheet name="ESF 2018-2017" sheetId="32" r:id="rId18"/>
    <sheet name="ERI 2018-2017" sheetId="33" r:id="rId19"/>
    <sheet name="EFE 2018-2017" sheetId="31" r:id="rId20"/>
    <sheet name="ECP 2018-2017" sheetId="35" r:id="rId21"/>
    <sheet name="EFE Subs 2018-2017" sheetId="41" r:id="rId22"/>
    <sheet name="Planilla Final 2017" sheetId="34" r:id="rId23"/>
    <sheet name="Participaciones 2017" sheetId="30" r:id="rId24"/>
  </sheets>
  <externalReferences>
    <externalReference r:id="rId25"/>
    <externalReference r:id="rId26"/>
  </externalReferences>
  <definedNames>
    <definedName name="_xlnm.Print_Area" localSheetId="7">'Asientos - para Consolidado'!$A$1:$M$75</definedName>
    <definedName name="_xlnm.Print_Area" localSheetId="0">'ESF - ERI'!$A$1:$AI$79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" i="35" l="1"/>
  <c r="Y47" i="35"/>
  <c r="H65" i="31" l="1"/>
  <c r="H64" i="31"/>
  <c r="N53" i="41"/>
  <c r="N45" i="41"/>
  <c r="N39" i="41"/>
  <c r="V42" i="31" l="1"/>
  <c r="V41" i="31"/>
  <c r="V40" i="31"/>
  <c r="V39" i="31"/>
  <c r="V38" i="31"/>
  <c r="V36" i="31"/>
  <c r="V34" i="31"/>
  <c r="V32" i="31"/>
  <c r="M32" i="31" s="1"/>
  <c r="V30" i="31"/>
  <c r="V29" i="31"/>
  <c r="V28" i="31"/>
  <c r="V27" i="31"/>
  <c r="V26" i="31"/>
  <c r="V19" i="31"/>
  <c r="B14" i="31" l="1"/>
  <c r="U16" i="31" l="1"/>
  <c r="V16" i="31"/>
  <c r="M16" i="31" s="1"/>
  <c r="C40" i="31"/>
  <c r="D18" i="38" l="1"/>
  <c r="B61" i="36" l="1"/>
  <c r="B60" i="36"/>
  <c r="B42" i="17"/>
  <c r="J47" i="36"/>
  <c r="N19" i="41" l="1"/>
  <c r="N8" i="41"/>
  <c r="B8" i="31" s="1"/>
  <c r="B15" i="41"/>
  <c r="S59" i="41" l="1"/>
  <c r="Q59" i="41"/>
  <c r="U55" i="41"/>
  <c r="S55" i="41"/>
  <c r="Q55" i="41"/>
  <c r="U54" i="41"/>
  <c r="S54" i="41"/>
  <c r="Q54" i="41"/>
  <c r="S49" i="41"/>
  <c r="U47" i="41"/>
  <c r="U50" i="41" s="1"/>
  <c r="S44" i="41"/>
  <c r="Q44" i="41"/>
  <c r="S43" i="41"/>
  <c r="Q43" i="41"/>
  <c r="S37" i="41"/>
  <c r="Q37" i="41"/>
  <c r="S35" i="41"/>
  <c r="Q35" i="41"/>
  <c r="S34" i="41"/>
  <c r="Q34" i="41"/>
  <c r="S33" i="41"/>
  <c r="Q33" i="41"/>
  <c r="S32" i="41"/>
  <c r="Q32" i="41"/>
  <c r="U31" i="41"/>
  <c r="S31" i="41"/>
  <c r="Q31" i="41"/>
  <c r="S30" i="41"/>
  <c r="Q30" i="41"/>
  <c r="S29" i="41"/>
  <c r="Q29" i="41"/>
  <c r="S28" i="41"/>
  <c r="Q28" i="41"/>
  <c r="N28" i="41"/>
  <c r="N27" i="41"/>
  <c r="S26" i="41"/>
  <c r="Q26" i="41"/>
  <c r="S25" i="41"/>
  <c r="Q25" i="41"/>
  <c r="S24" i="41"/>
  <c r="Q24" i="41"/>
  <c r="S23" i="41"/>
  <c r="Q23" i="41"/>
  <c r="S22" i="41"/>
  <c r="Q22" i="41"/>
  <c r="S21" i="41"/>
  <c r="Q21" i="41"/>
  <c r="N18" i="41"/>
  <c r="S17" i="41"/>
  <c r="Q17" i="41"/>
  <c r="N17" i="41"/>
  <c r="N16" i="41"/>
  <c r="B17" i="31" s="1"/>
  <c r="S15" i="41"/>
  <c r="Q15" i="41"/>
  <c r="N15" i="41"/>
  <c r="N14" i="41"/>
  <c r="N13" i="41"/>
  <c r="B13" i="31" s="1"/>
  <c r="N12" i="41"/>
  <c r="B12" i="31" s="1"/>
  <c r="N11" i="41"/>
  <c r="B11" i="31" s="1"/>
  <c r="D10" i="41"/>
  <c r="N10" i="41" s="1"/>
  <c r="B10" i="31" s="1"/>
  <c r="N9" i="41"/>
  <c r="B9" i="31" s="1"/>
  <c r="U6" i="41"/>
  <c r="U19" i="41" s="1"/>
  <c r="S6" i="41"/>
  <c r="Q6" i="41"/>
  <c r="S19" i="41" l="1"/>
  <c r="U36" i="41"/>
  <c r="U40" i="41" s="1"/>
  <c r="U58" i="41" s="1"/>
  <c r="U60" i="41" s="1"/>
  <c r="R12" i="31"/>
  <c r="V12" i="31" s="1"/>
  <c r="M12" i="31" s="1"/>
  <c r="S9" i="31"/>
  <c r="S22" i="31" s="1"/>
  <c r="V22" i="31" s="1"/>
  <c r="M22" i="31" s="1"/>
  <c r="R11" i="31"/>
  <c r="O10" i="31"/>
  <c r="T13" i="31"/>
  <c r="Q56" i="41"/>
  <c r="V10" i="31"/>
  <c r="M10" i="31" s="1"/>
  <c r="O18" i="31"/>
  <c r="V13" i="31"/>
  <c r="M13" i="31" s="1"/>
  <c r="V11" i="31"/>
  <c r="M11" i="31" s="1"/>
  <c r="Q50" i="41"/>
  <c r="Q58" i="41" s="1"/>
  <c r="Q60" i="41" s="1"/>
  <c r="U56" i="41"/>
  <c r="S50" i="41"/>
  <c r="S36" i="41"/>
  <c r="S40" i="41" s="1"/>
  <c r="S56" i="41"/>
  <c r="V9" i="31" l="1"/>
  <c r="M9" i="31"/>
  <c r="I39" i="31"/>
  <c r="S43" i="31"/>
  <c r="O43" i="31"/>
  <c r="S58" i="41"/>
  <c r="S60" i="41" s="1"/>
  <c r="V52" i="35" l="1"/>
  <c r="B70" i="34" l="1"/>
  <c r="F18" i="32" l="1"/>
  <c r="B58" i="36" l="1"/>
  <c r="B62" i="36" s="1"/>
  <c r="W18" i="17" l="1"/>
  <c r="P18" i="36" l="1"/>
  <c r="C118" i="17"/>
  <c r="V47" i="35" l="1"/>
  <c r="H11" i="40"/>
  <c r="G12" i="40"/>
  <c r="G11" i="40"/>
  <c r="G10" i="40"/>
  <c r="G9" i="40"/>
  <c r="G8" i="40"/>
  <c r="G7" i="40"/>
  <c r="G6" i="40"/>
  <c r="G5" i="40"/>
  <c r="G4" i="40"/>
  <c r="C14" i="40" l="1"/>
  <c r="D14" i="40"/>
  <c r="E11" i="40"/>
  <c r="E12" i="40"/>
  <c r="E10" i="40"/>
  <c r="E9" i="40"/>
  <c r="E8" i="40"/>
  <c r="E7" i="40"/>
  <c r="E6" i="40"/>
  <c r="E5" i="40"/>
  <c r="E4" i="40"/>
  <c r="E14" i="40" l="1"/>
  <c r="E38" i="38" l="1"/>
  <c r="Q10" i="36" s="1"/>
  <c r="D33" i="38"/>
  <c r="P37" i="36" s="1"/>
  <c r="P27" i="36"/>
  <c r="E37" i="38"/>
  <c r="Q18" i="36" s="1"/>
  <c r="Q14" i="36"/>
  <c r="D34" i="38"/>
  <c r="D28" i="38"/>
  <c r="D32" i="38" s="1"/>
  <c r="P36" i="36" s="1"/>
  <c r="D27" i="38"/>
  <c r="D26" i="38"/>
  <c r="E14" i="38"/>
  <c r="E29" i="38" l="1"/>
  <c r="E35" i="38"/>
  <c r="E40" i="38" s="1"/>
  <c r="E41" i="38" s="1"/>
  <c r="D31" i="38"/>
  <c r="D40" i="38" s="1"/>
  <c r="P28" i="36"/>
  <c r="D29" i="38"/>
  <c r="F29" i="38" s="1"/>
  <c r="Q9" i="36"/>
  <c r="D41" i="38" l="1"/>
  <c r="B49" i="17"/>
  <c r="B41" i="17"/>
  <c r="B48" i="17"/>
  <c r="B39" i="17"/>
  <c r="B37" i="17"/>
  <c r="B47" i="17"/>
  <c r="B36" i="17"/>
  <c r="B46" i="17"/>
  <c r="B33" i="17"/>
  <c r="B44" i="17"/>
  <c r="P49" i="36"/>
  <c r="O25" i="40" l="1"/>
  <c r="P24" i="40" s="1"/>
  <c r="P23" i="40" l="1"/>
  <c r="C211" i="40"/>
  <c r="E211" i="40" s="1"/>
  <c r="C210" i="40"/>
  <c r="E210" i="40" s="1"/>
  <c r="C209" i="40"/>
  <c r="E209" i="40" s="1"/>
  <c r="C208" i="40"/>
  <c r="C207" i="40"/>
  <c r="E207" i="40" s="1"/>
  <c r="D194" i="40"/>
  <c r="C189" i="40"/>
  <c r="E189" i="40" s="1"/>
  <c r="C188" i="40"/>
  <c r="E188" i="40" s="1"/>
  <c r="C187" i="40"/>
  <c r="E187" i="40" s="1"/>
  <c r="C173" i="40"/>
  <c r="E173" i="40" s="1"/>
  <c r="C172" i="40"/>
  <c r="E172" i="40" s="1"/>
  <c r="C171" i="40"/>
  <c r="E171" i="40" s="1"/>
  <c r="C170" i="40"/>
  <c r="E170" i="40" s="1"/>
  <c r="C157" i="40"/>
  <c r="E157" i="40" s="1"/>
  <c r="C156" i="40"/>
  <c r="E156" i="40" s="1"/>
  <c r="C154" i="40"/>
  <c r="E154" i="40" s="1"/>
  <c r="C153" i="40"/>
  <c r="E153" i="40" s="1"/>
  <c r="C152" i="40"/>
  <c r="E152" i="40" s="1"/>
  <c r="C140" i="40"/>
  <c r="E140" i="40" s="1"/>
  <c r="C139" i="40"/>
  <c r="E139" i="40" s="1"/>
  <c r="C138" i="40"/>
  <c r="E138" i="40" s="1"/>
  <c r="C137" i="40"/>
  <c r="E137" i="40" s="1"/>
  <c r="C136" i="40"/>
  <c r="E136" i="40" s="1"/>
  <c r="C135" i="40"/>
  <c r="E135" i="40" s="1"/>
  <c r="E124" i="40"/>
  <c r="E123" i="40"/>
  <c r="E122" i="40"/>
  <c r="E121" i="40"/>
  <c r="E120" i="40"/>
  <c r="E119" i="40"/>
  <c r="E118" i="40"/>
  <c r="E117" i="40"/>
  <c r="C126" i="40"/>
  <c r="C128" i="40" s="1"/>
  <c r="C102" i="40"/>
  <c r="E102" i="40" s="1"/>
  <c r="C100" i="40"/>
  <c r="E100" i="40" s="1"/>
  <c r="C99" i="40"/>
  <c r="E99" i="40" s="1"/>
  <c r="C82" i="40"/>
  <c r="E82" i="40" s="1"/>
  <c r="C81" i="40"/>
  <c r="E81" i="40" s="1"/>
  <c r="C80" i="40"/>
  <c r="E80" i="40" s="1"/>
  <c r="E49" i="40"/>
  <c r="C65" i="40"/>
  <c r="E65" i="40" s="1"/>
  <c r="C64" i="40"/>
  <c r="E64" i="40" s="1"/>
  <c r="C44" i="40"/>
  <c r="E44" i="40" s="1"/>
  <c r="C43" i="40"/>
  <c r="E43" i="40" s="1"/>
  <c r="C42" i="40"/>
  <c r="E42" i="40" s="1"/>
  <c r="C41" i="40"/>
  <c r="E41" i="40" s="1"/>
  <c r="C26" i="40"/>
  <c r="E26" i="40" s="1"/>
  <c r="C25" i="40"/>
  <c r="E25" i="40" s="1"/>
  <c r="C24" i="40"/>
  <c r="E24" i="40" s="1"/>
  <c r="C63" i="40"/>
  <c r="E63" i="40" s="1"/>
  <c r="C61" i="40"/>
  <c r="E61" i="40" s="1"/>
  <c r="G31" i="40"/>
  <c r="F31" i="40"/>
  <c r="E126" i="40" l="1"/>
  <c r="C127" i="40"/>
  <c r="C129" i="40" s="1"/>
  <c r="E208" i="40"/>
  <c r="Q27" i="39"/>
  <c r="Q26" i="39"/>
  <c r="Q25" i="39"/>
  <c r="Q23" i="39"/>
  <c r="Q24" i="39"/>
  <c r="Q22" i="39"/>
  <c r="Q21" i="39"/>
  <c r="Q20" i="39"/>
  <c r="M26" i="39"/>
  <c r="M25" i="39"/>
  <c r="M24" i="39"/>
  <c r="M22" i="39"/>
  <c r="M21" i="39"/>
  <c r="K26" i="39"/>
  <c r="K25" i="39"/>
  <c r="K23" i="39"/>
  <c r="K24" i="39"/>
  <c r="K22" i="39"/>
  <c r="F43" i="17"/>
  <c r="F42" i="17"/>
  <c r="F41" i="17"/>
  <c r="F40" i="17"/>
  <c r="F39" i="17"/>
  <c r="F38" i="17"/>
  <c r="F37" i="17"/>
  <c r="F36" i="17"/>
  <c r="F35" i="17"/>
  <c r="F34" i="17"/>
  <c r="F33" i="17"/>
  <c r="Q41" i="36"/>
  <c r="W25" i="17"/>
  <c r="L60" i="36"/>
  <c r="D60" i="36"/>
  <c r="C130" i="40" l="1"/>
  <c r="L19" i="17" l="1"/>
  <c r="M19" i="17"/>
  <c r="K19" i="17"/>
  <c r="J19" i="17"/>
  <c r="I19" i="17"/>
  <c r="H19" i="17"/>
  <c r="G19" i="17"/>
  <c r="F19" i="17"/>
  <c r="E19" i="17"/>
  <c r="D19" i="17"/>
  <c r="C19" i="17"/>
  <c r="X25" i="17"/>
  <c r="Y24" i="17"/>
  <c r="X16" i="17"/>
  <c r="C69" i="17" s="1"/>
  <c r="W16" i="17"/>
  <c r="W17" i="17" s="1"/>
  <c r="Q20" i="17"/>
  <c r="O22" i="17"/>
  <c r="X17" i="17"/>
  <c r="X18" i="17" s="1"/>
  <c r="O19" i="17" s="1"/>
  <c r="O23" i="17"/>
  <c r="M23" i="17"/>
  <c r="C61" i="17" s="1"/>
  <c r="D61" i="17" s="1"/>
  <c r="K23" i="17"/>
  <c r="C59" i="17" s="1"/>
  <c r="D59" i="17" s="1"/>
  <c r="J23" i="17"/>
  <c r="C58" i="17" s="1"/>
  <c r="L23" i="17"/>
  <c r="C60" i="17" s="1"/>
  <c r="D60" i="17" s="1"/>
  <c r="I23" i="17"/>
  <c r="C57" i="17" s="1"/>
  <c r="D57" i="17" s="1"/>
  <c r="H23" i="17"/>
  <c r="C56" i="17" s="1"/>
  <c r="G23" i="17"/>
  <c r="C55" i="17" s="1"/>
  <c r="D55" i="17" s="1"/>
  <c r="Q21" i="17" l="1"/>
  <c r="B67" i="17"/>
  <c r="P20" i="36" s="1"/>
  <c r="Q22" i="17"/>
  <c r="W26" i="17"/>
  <c r="X26" i="17"/>
  <c r="B70" i="17" l="1"/>
  <c r="P23" i="36"/>
  <c r="P18" i="17"/>
  <c r="F23" i="17" l="1"/>
  <c r="C54" i="17" s="1"/>
  <c r="D54" i="17" s="1"/>
  <c r="E23" i="17"/>
  <c r="C53" i="17" s="1"/>
  <c r="D23" i="17"/>
  <c r="C52" i="17" s="1"/>
  <c r="C23" i="17"/>
  <c r="N19" i="17"/>
  <c r="P19" i="17" s="1"/>
  <c r="C51" i="17" l="1"/>
  <c r="D51" i="17" s="1"/>
  <c r="N23" i="17"/>
  <c r="Y16" i="17"/>
  <c r="C68" i="17" s="1"/>
  <c r="Y15" i="17"/>
  <c r="Z15" i="17" s="1"/>
  <c r="Y23" i="17"/>
  <c r="Y14" i="17"/>
  <c r="Z14" i="17" s="1"/>
  <c r="Y6" i="17"/>
  <c r="Z6" i="17" s="1"/>
  <c r="Y13" i="17"/>
  <c r="Z13" i="17" s="1"/>
  <c r="Y22" i="17"/>
  <c r="Y12" i="17"/>
  <c r="Z12" i="17" s="1"/>
  <c r="Y11" i="17"/>
  <c r="Z11" i="17" s="1"/>
  <c r="Y21" i="17"/>
  <c r="Y20" i="17"/>
  <c r="Y19" i="17"/>
  <c r="Y10" i="17"/>
  <c r="Z10" i="17" s="1"/>
  <c r="Y9" i="17"/>
  <c r="Z9" i="17" s="1"/>
  <c r="Y8" i="17"/>
  <c r="Z8" i="17" s="1"/>
  <c r="Y7" i="17"/>
  <c r="Z7" i="17" s="1"/>
  <c r="Y5" i="17"/>
  <c r="Z5" i="17" s="1"/>
  <c r="P23" i="17" l="1"/>
  <c r="C70" i="17"/>
  <c r="Q61" i="36"/>
  <c r="Q20" i="36"/>
  <c r="Y25" i="17"/>
  <c r="Z16" i="17"/>
  <c r="Y17" i="17"/>
  <c r="Y18" i="17" l="1"/>
  <c r="Y26" i="17"/>
  <c r="Z17" i="17"/>
  <c r="AE40" i="39"/>
  <c r="AC40" i="39"/>
  <c r="AE26" i="39"/>
  <c r="AE25" i="39"/>
  <c r="AE23" i="39"/>
  <c r="W11" i="39"/>
  <c r="AC22" i="39"/>
  <c r="P46" i="36" s="1"/>
  <c r="AE22" i="39"/>
  <c r="Y3" i="39"/>
  <c r="Y26" i="39"/>
  <c r="Y25" i="39"/>
  <c r="Y23" i="39"/>
  <c r="Y24" i="39"/>
  <c r="Y22" i="39"/>
  <c r="Y21" i="39"/>
  <c r="Y20" i="39"/>
  <c r="W26" i="39"/>
  <c r="W38" i="39" s="1"/>
  <c r="W25" i="39"/>
  <c r="W37" i="39" s="1"/>
  <c r="W23" i="39"/>
  <c r="W35" i="39" s="1"/>
  <c r="W22" i="39"/>
  <c r="W34" i="39" s="1"/>
  <c r="W21" i="39"/>
  <c r="W33" i="39" s="1"/>
  <c r="U26" i="39"/>
  <c r="U38" i="39" s="1"/>
  <c r="U25" i="39"/>
  <c r="U23" i="39"/>
  <c r="U24" i="39"/>
  <c r="U22" i="39"/>
  <c r="U21" i="39"/>
  <c r="Y11" i="39"/>
  <c r="W8" i="39"/>
  <c r="C190" i="40" s="1"/>
  <c r="E190" i="40" s="1"/>
  <c r="W4" i="39"/>
  <c r="W3" i="39"/>
  <c r="U4" i="39"/>
  <c r="U3" i="39"/>
  <c r="C168" i="40" s="1"/>
  <c r="S11" i="39"/>
  <c r="S3" i="39"/>
  <c r="Q3" i="39"/>
  <c r="O11" i="39"/>
  <c r="O5" i="39"/>
  <c r="O3" i="39"/>
  <c r="G38" i="17" s="1"/>
  <c r="H38" i="17" s="1"/>
  <c r="E26" i="39"/>
  <c r="E25" i="39"/>
  <c r="E23" i="39"/>
  <c r="E22" i="39"/>
  <c r="E21" i="39"/>
  <c r="E32" i="30"/>
  <c r="M7" i="39"/>
  <c r="M4" i="39"/>
  <c r="M3" i="39"/>
  <c r="C97" i="40" s="1"/>
  <c r="K5" i="39"/>
  <c r="K4" i="39"/>
  <c r="K3" i="39"/>
  <c r="C77" i="40" s="1"/>
  <c r="E77" i="40" s="1"/>
  <c r="I11" i="39"/>
  <c r="C66" i="40" s="1"/>
  <c r="I5" i="39"/>
  <c r="C62" i="40" s="1"/>
  <c r="I3" i="39"/>
  <c r="G4" i="39"/>
  <c r="G3" i="39"/>
  <c r="E8" i="39"/>
  <c r="E11" i="39"/>
  <c r="E4" i="39"/>
  <c r="E3" i="39"/>
  <c r="Q229" i="40"/>
  <c r="S229" i="40" s="1"/>
  <c r="S223" i="40"/>
  <c r="H215" i="40"/>
  <c r="D212" i="40"/>
  <c r="I211" i="40"/>
  <c r="I210" i="40"/>
  <c r="I209" i="40"/>
  <c r="R208" i="40"/>
  <c r="K205" i="40" s="1"/>
  <c r="I208" i="40"/>
  <c r="R207" i="40"/>
  <c r="J205" i="40" s="1"/>
  <c r="I207" i="40"/>
  <c r="I206" i="40"/>
  <c r="H197" i="40"/>
  <c r="H194" i="40"/>
  <c r="H195" i="40" s="1"/>
  <c r="H200" i="40" s="1"/>
  <c r="D195" i="40"/>
  <c r="I192" i="40"/>
  <c r="I191" i="40"/>
  <c r="I190" i="40"/>
  <c r="I189" i="40"/>
  <c r="I188" i="40"/>
  <c r="S187" i="40"/>
  <c r="Q187" i="40"/>
  <c r="I187" i="40"/>
  <c r="I186" i="40"/>
  <c r="I185" i="40"/>
  <c r="H177" i="40"/>
  <c r="D175" i="40"/>
  <c r="D174" i="40"/>
  <c r="I173" i="40"/>
  <c r="I172" i="40"/>
  <c r="S171" i="40"/>
  <c r="T169" i="40" s="1"/>
  <c r="Q171" i="40"/>
  <c r="R170" i="40" s="1"/>
  <c r="K167" i="40" s="1"/>
  <c r="I171" i="40"/>
  <c r="U170" i="40"/>
  <c r="T170" i="40"/>
  <c r="I170" i="40"/>
  <c r="U169" i="40"/>
  <c r="D169" i="40"/>
  <c r="I168" i="40"/>
  <c r="H160" i="40"/>
  <c r="D160" i="40"/>
  <c r="I158" i="40"/>
  <c r="I157" i="40"/>
  <c r="I156" i="40"/>
  <c r="I155" i="40"/>
  <c r="S154" i="40"/>
  <c r="T153" i="40" s="1"/>
  <c r="Q154" i="40"/>
  <c r="R153" i="40" s="1"/>
  <c r="I154" i="40"/>
  <c r="U153" i="40"/>
  <c r="I153" i="40"/>
  <c r="U152" i="40"/>
  <c r="I152" i="40"/>
  <c r="I151" i="40"/>
  <c r="H143" i="40"/>
  <c r="D143" i="40"/>
  <c r="I141" i="40"/>
  <c r="I140" i="40"/>
  <c r="I139" i="40"/>
  <c r="I138" i="40"/>
  <c r="S137" i="40"/>
  <c r="T136" i="40" s="1"/>
  <c r="Q137" i="40"/>
  <c r="R136" i="40" s="1"/>
  <c r="I137" i="40"/>
  <c r="U136" i="40"/>
  <c r="I136" i="40"/>
  <c r="U135" i="40"/>
  <c r="I135" i="40"/>
  <c r="I134" i="40"/>
  <c r="H126" i="40"/>
  <c r="D126" i="40"/>
  <c r="I124" i="40"/>
  <c r="I123" i="40"/>
  <c r="I122" i="40"/>
  <c r="I121" i="40"/>
  <c r="S120" i="40"/>
  <c r="T118" i="40" s="1"/>
  <c r="Q120" i="40"/>
  <c r="R119" i="40" s="1"/>
  <c r="K116" i="40" s="1"/>
  <c r="I120" i="40"/>
  <c r="U119" i="40"/>
  <c r="T119" i="40"/>
  <c r="I119" i="40"/>
  <c r="U118" i="40"/>
  <c r="I118" i="40"/>
  <c r="I117" i="40"/>
  <c r="H107" i="40"/>
  <c r="D107" i="40"/>
  <c r="D104" i="40"/>
  <c r="H103" i="40"/>
  <c r="H106" i="40" s="1"/>
  <c r="D103" i="40"/>
  <c r="I102" i="40"/>
  <c r="I101" i="40"/>
  <c r="S100" i="40"/>
  <c r="T99" i="40" s="1"/>
  <c r="Q100" i="40"/>
  <c r="R99" i="40" s="1"/>
  <c r="K96" i="40" s="1"/>
  <c r="I100" i="40"/>
  <c r="U99" i="40"/>
  <c r="I99" i="40"/>
  <c r="U98" i="40"/>
  <c r="I98" i="40"/>
  <c r="I97" i="40"/>
  <c r="H87" i="40"/>
  <c r="D87" i="40"/>
  <c r="D84" i="40"/>
  <c r="H83" i="40"/>
  <c r="H86" i="40" s="1"/>
  <c r="D83" i="40"/>
  <c r="I82" i="40"/>
  <c r="I81" i="40"/>
  <c r="S80" i="40"/>
  <c r="T78" i="40" s="1"/>
  <c r="Q80" i="40"/>
  <c r="R79" i="40" s="1"/>
  <c r="K76" i="40" s="1"/>
  <c r="I80" i="40"/>
  <c r="U79" i="40"/>
  <c r="T79" i="40"/>
  <c r="I79" i="40"/>
  <c r="K79" i="40" s="1"/>
  <c r="U78" i="40"/>
  <c r="I78" i="40"/>
  <c r="I77" i="40"/>
  <c r="H69" i="40"/>
  <c r="D67" i="40"/>
  <c r="R66" i="40"/>
  <c r="D66" i="40"/>
  <c r="I65" i="40"/>
  <c r="I64" i="40"/>
  <c r="S63" i="40"/>
  <c r="T61" i="40" s="1"/>
  <c r="Q63" i="40"/>
  <c r="I63" i="40"/>
  <c r="U62" i="40"/>
  <c r="T62" i="40"/>
  <c r="D62" i="40"/>
  <c r="I62" i="40" s="1"/>
  <c r="U61" i="40"/>
  <c r="U63" i="40" s="1"/>
  <c r="I61" i="40"/>
  <c r="I60" i="40"/>
  <c r="H50" i="40"/>
  <c r="D50" i="40"/>
  <c r="H48" i="40"/>
  <c r="D46" i="40"/>
  <c r="D45" i="40"/>
  <c r="I44" i="40"/>
  <c r="I43" i="40"/>
  <c r="S42" i="40"/>
  <c r="T40" i="40" s="1"/>
  <c r="Q42" i="40"/>
  <c r="R41" i="40" s="1"/>
  <c r="K38" i="40" s="1"/>
  <c r="I42" i="40"/>
  <c r="U41" i="40"/>
  <c r="T41" i="40"/>
  <c r="I41" i="40"/>
  <c r="U40" i="40"/>
  <c r="I40" i="40"/>
  <c r="I39" i="40"/>
  <c r="H31" i="40"/>
  <c r="S30" i="40"/>
  <c r="T29" i="40" s="1"/>
  <c r="U29" i="40"/>
  <c r="D29" i="40"/>
  <c r="I29" i="40" s="1"/>
  <c r="Q28" i="40"/>
  <c r="Q223" i="40" s="1"/>
  <c r="D28" i="40"/>
  <c r="E28" i="40" s="1"/>
  <c r="I27" i="40"/>
  <c r="I26" i="40"/>
  <c r="S25" i="40"/>
  <c r="T24" i="40" s="1"/>
  <c r="X28" i="40" s="1"/>
  <c r="Q25" i="40"/>
  <c r="R24" i="40" s="1"/>
  <c r="I25" i="40"/>
  <c r="U24" i="40"/>
  <c r="I24" i="40"/>
  <c r="U23" i="40"/>
  <c r="R23" i="40"/>
  <c r="J21" i="40" s="1"/>
  <c r="J27" i="40" s="1"/>
  <c r="D23" i="40"/>
  <c r="I22" i="40"/>
  <c r="C9" i="39"/>
  <c r="C7" i="39"/>
  <c r="C8" i="39"/>
  <c r="C6" i="39"/>
  <c r="C5" i="39"/>
  <c r="C4" i="39"/>
  <c r="C3" i="39"/>
  <c r="T28" i="40" l="1"/>
  <c r="U137" i="40"/>
  <c r="R98" i="40"/>
  <c r="J96" i="40" s="1"/>
  <c r="J97" i="40" s="1"/>
  <c r="K120" i="40"/>
  <c r="H128" i="40"/>
  <c r="K118" i="40"/>
  <c r="T135" i="40"/>
  <c r="V135" i="40" s="1"/>
  <c r="U120" i="40"/>
  <c r="R40" i="40"/>
  <c r="J38" i="40" s="1"/>
  <c r="H52" i="40"/>
  <c r="R78" i="40"/>
  <c r="J76" i="40" s="1"/>
  <c r="J79" i="40" s="1"/>
  <c r="K117" i="40"/>
  <c r="V119" i="40"/>
  <c r="H217" i="40"/>
  <c r="V24" i="40"/>
  <c r="U80" i="40"/>
  <c r="V136" i="40"/>
  <c r="T98" i="40"/>
  <c r="R118" i="40"/>
  <c r="J116" i="40" s="1"/>
  <c r="J123" i="40" s="1"/>
  <c r="R135" i="40"/>
  <c r="J133" i="40" s="1"/>
  <c r="H144" i="40" s="1"/>
  <c r="T152" i="40"/>
  <c r="K20" i="39"/>
  <c r="C78" i="40"/>
  <c r="M20" i="39"/>
  <c r="C98" i="40"/>
  <c r="G40" i="17"/>
  <c r="H40" i="17" s="1"/>
  <c r="C151" i="40"/>
  <c r="U20" i="39"/>
  <c r="C169" i="40"/>
  <c r="E169" i="40" s="1"/>
  <c r="G42" i="17"/>
  <c r="H42" i="17" s="1"/>
  <c r="C185" i="40"/>
  <c r="G43" i="17"/>
  <c r="H43" i="17" s="1"/>
  <c r="C206" i="40"/>
  <c r="E66" i="40"/>
  <c r="K21" i="39"/>
  <c r="C79" i="40"/>
  <c r="E79" i="40" s="1"/>
  <c r="E97" i="40"/>
  <c r="M23" i="39"/>
  <c r="C101" i="40"/>
  <c r="E101" i="40" s="1"/>
  <c r="G39" i="17"/>
  <c r="H39" i="17" s="1"/>
  <c r="C134" i="40"/>
  <c r="E168" i="40"/>
  <c r="W20" i="39"/>
  <c r="W32" i="39" s="1"/>
  <c r="C186" i="40"/>
  <c r="E186" i="40" s="1"/>
  <c r="Y27" i="39"/>
  <c r="H54" i="40"/>
  <c r="K101" i="40"/>
  <c r="I174" i="40"/>
  <c r="K174" i="40" s="1"/>
  <c r="U25" i="40"/>
  <c r="U42" i="40"/>
  <c r="V41" i="40"/>
  <c r="K42" i="40"/>
  <c r="K82" i="40"/>
  <c r="H109" i="40"/>
  <c r="R152" i="40"/>
  <c r="J150" i="40" s="1"/>
  <c r="J158" i="40" s="1"/>
  <c r="U154" i="40"/>
  <c r="I175" i="40"/>
  <c r="K175" i="40" s="1"/>
  <c r="D31" i="40"/>
  <c r="D48" i="40"/>
  <c r="D52" i="40" s="1"/>
  <c r="I66" i="40"/>
  <c r="I28" i="40"/>
  <c r="J28" i="40" s="1"/>
  <c r="I104" i="40"/>
  <c r="K104" i="40" s="1"/>
  <c r="I212" i="40"/>
  <c r="K212" i="40" s="1"/>
  <c r="D106" i="40"/>
  <c r="I67" i="40"/>
  <c r="I84" i="40"/>
  <c r="K84" i="40" s="1"/>
  <c r="I46" i="40"/>
  <c r="K46" i="40" s="1"/>
  <c r="E62" i="40"/>
  <c r="I45" i="40"/>
  <c r="K45" i="40" s="1"/>
  <c r="J99" i="40"/>
  <c r="J210" i="40"/>
  <c r="J206" i="40"/>
  <c r="J25" i="40"/>
  <c r="J134" i="40"/>
  <c r="J136" i="40"/>
  <c r="K209" i="40"/>
  <c r="K211" i="40"/>
  <c r="I23" i="40"/>
  <c r="J23" i="40" s="1"/>
  <c r="T23" i="40"/>
  <c r="V23" i="40" s="1"/>
  <c r="J26" i="40"/>
  <c r="U28" i="40"/>
  <c r="U30" i="40" s="1"/>
  <c r="K43" i="40"/>
  <c r="K78" i="40"/>
  <c r="K80" i="40"/>
  <c r="H89" i="40"/>
  <c r="H91" i="40" s="1"/>
  <c r="J98" i="40"/>
  <c r="K121" i="40"/>
  <c r="K123" i="40"/>
  <c r="J135" i="40"/>
  <c r="R169" i="40"/>
  <c r="J167" i="40" s="1"/>
  <c r="H216" i="40" s="1"/>
  <c r="H218" i="40" s="1"/>
  <c r="H219" i="40" s="1"/>
  <c r="U171" i="40"/>
  <c r="V170" i="40"/>
  <c r="J207" i="40"/>
  <c r="J209" i="40"/>
  <c r="J211" i="40"/>
  <c r="C23" i="40"/>
  <c r="E23" i="40" s="1"/>
  <c r="E20" i="39"/>
  <c r="E24" i="39"/>
  <c r="AE8" i="39" s="1"/>
  <c r="C27" i="40"/>
  <c r="E27" i="40" s="1"/>
  <c r="C39" i="40"/>
  <c r="E39" i="40" s="1"/>
  <c r="G34" i="17"/>
  <c r="H34" i="17" s="1"/>
  <c r="K19" i="39"/>
  <c r="G36" i="17"/>
  <c r="H36" i="17" s="1"/>
  <c r="M19" i="39"/>
  <c r="G37" i="17"/>
  <c r="H37" i="17" s="1"/>
  <c r="W24" i="39"/>
  <c r="AC8" i="39" s="1"/>
  <c r="C22" i="40"/>
  <c r="E19" i="39"/>
  <c r="G33" i="17"/>
  <c r="H33" i="17" s="1"/>
  <c r="E27" i="39"/>
  <c r="C29" i="40"/>
  <c r="E29" i="40" s="1"/>
  <c r="C40" i="40"/>
  <c r="C60" i="40"/>
  <c r="G35" i="17"/>
  <c r="H35" i="17" s="1"/>
  <c r="U19" i="39"/>
  <c r="G41" i="17"/>
  <c r="H41" i="17" s="1"/>
  <c r="J24" i="40"/>
  <c r="H32" i="40"/>
  <c r="R62" i="40"/>
  <c r="R61" i="40"/>
  <c r="D86" i="40"/>
  <c r="K98" i="40"/>
  <c r="K100" i="40"/>
  <c r="I143" i="40"/>
  <c r="J155" i="40"/>
  <c r="I160" i="40"/>
  <c r="K170" i="40"/>
  <c r="K172" i="40"/>
  <c r="D200" i="40"/>
  <c r="K21" i="40"/>
  <c r="K27" i="40" s="1"/>
  <c r="J22" i="40"/>
  <c r="Q230" i="40"/>
  <c r="J29" i="40"/>
  <c r="Q30" i="40"/>
  <c r="K41" i="40"/>
  <c r="K44" i="40"/>
  <c r="D69" i="40"/>
  <c r="K77" i="40"/>
  <c r="V79" i="40"/>
  <c r="K81" i="40"/>
  <c r="I83" i="40"/>
  <c r="U100" i="40"/>
  <c r="K99" i="40"/>
  <c r="V99" i="40"/>
  <c r="K102" i="40"/>
  <c r="I103" i="40"/>
  <c r="I126" i="40"/>
  <c r="K119" i="40"/>
  <c r="K122" i="40"/>
  <c r="K124" i="40"/>
  <c r="K133" i="40"/>
  <c r="H145" i="40" s="1"/>
  <c r="V153" i="40"/>
  <c r="K150" i="40"/>
  <c r="H162" i="40" s="1"/>
  <c r="K173" i="40"/>
  <c r="H179" i="40"/>
  <c r="I194" i="40"/>
  <c r="S224" i="40"/>
  <c r="S225" i="40" s="1"/>
  <c r="S188" i="40"/>
  <c r="T186" i="40" s="1"/>
  <c r="K207" i="40"/>
  <c r="J208" i="40"/>
  <c r="K208" i="40"/>
  <c r="K97" i="40"/>
  <c r="D128" i="40"/>
  <c r="D177" i="40"/>
  <c r="I169" i="40"/>
  <c r="K171" i="40"/>
  <c r="Q224" i="40"/>
  <c r="Q225" i="40" s="1"/>
  <c r="Q188" i="40"/>
  <c r="R186" i="40" s="1"/>
  <c r="J184" i="40" s="1"/>
  <c r="J188" i="40" s="1"/>
  <c r="K210" i="40"/>
  <c r="K168" i="40"/>
  <c r="K206" i="40"/>
  <c r="J104" i="40" l="1"/>
  <c r="J102" i="40"/>
  <c r="H110" i="40"/>
  <c r="H112" i="40" s="1"/>
  <c r="H113" i="40" s="1"/>
  <c r="K157" i="40"/>
  <c r="H111" i="40"/>
  <c r="J100" i="40"/>
  <c r="J101" i="40"/>
  <c r="J157" i="40"/>
  <c r="V98" i="40"/>
  <c r="V40" i="40"/>
  <c r="J43" i="40"/>
  <c r="J41" i="40"/>
  <c r="J44" i="40"/>
  <c r="H53" i="40"/>
  <c r="H55" i="40" s="1"/>
  <c r="H56" i="40" s="1"/>
  <c r="K154" i="40"/>
  <c r="J152" i="40"/>
  <c r="J212" i="40"/>
  <c r="D144" i="40"/>
  <c r="I144" i="40" s="1"/>
  <c r="J140" i="40"/>
  <c r="J139" i="40"/>
  <c r="J141" i="40"/>
  <c r="V169" i="40"/>
  <c r="J154" i="40"/>
  <c r="H146" i="40"/>
  <c r="H147" i="40" s="1"/>
  <c r="D161" i="40"/>
  <c r="J122" i="40"/>
  <c r="J137" i="40"/>
  <c r="J138" i="40"/>
  <c r="J120" i="40"/>
  <c r="H127" i="40"/>
  <c r="H129" i="40" s="1"/>
  <c r="H130" i="40" s="1"/>
  <c r="D127" i="40"/>
  <c r="E127" i="40" s="1"/>
  <c r="J119" i="40"/>
  <c r="V118" i="40"/>
  <c r="V78" i="40"/>
  <c r="J121" i="40"/>
  <c r="K156" i="40"/>
  <c r="J117" i="40"/>
  <c r="J124" i="40"/>
  <c r="J118" i="40"/>
  <c r="I69" i="40"/>
  <c r="J151" i="40"/>
  <c r="D197" i="40"/>
  <c r="K140" i="40"/>
  <c r="J156" i="40"/>
  <c r="K137" i="40"/>
  <c r="J153" i="40"/>
  <c r="E177" i="40"/>
  <c r="E206" i="40"/>
  <c r="E215" i="40" s="1"/>
  <c r="E185" i="40"/>
  <c r="E151" i="40"/>
  <c r="E98" i="40"/>
  <c r="C107" i="40"/>
  <c r="E107" i="40" s="1"/>
  <c r="E78" i="40"/>
  <c r="C87" i="40"/>
  <c r="E87" i="40" s="1"/>
  <c r="E134" i="40"/>
  <c r="E143" i="40" s="1"/>
  <c r="J174" i="40"/>
  <c r="I128" i="40"/>
  <c r="E128" i="40"/>
  <c r="D109" i="40"/>
  <c r="D110" i="40" s="1"/>
  <c r="I31" i="40"/>
  <c r="H161" i="40"/>
  <c r="H163" i="40" s="1"/>
  <c r="H164" i="40" s="1"/>
  <c r="V152" i="40"/>
  <c r="D54" i="40"/>
  <c r="I54" i="40" s="1"/>
  <c r="I52" i="40"/>
  <c r="I48" i="40"/>
  <c r="I86" i="40"/>
  <c r="D89" i="40"/>
  <c r="I89" i="40" s="1"/>
  <c r="C50" i="40"/>
  <c r="E50" i="40" s="1"/>
  <c r="E40" i="40"/>
  <c r="J45" i="40"/>
  <c r="J31" i="40"/>
  <c r="E60" i="40"/>
  <c r="E69" i="40" s="1"/>
  <c r="J175" i="40"/>
  <c r="J170" i="40"/>
  <c r="K141" i="40"/>
  <c r="K152" i="40"/>
  <c r="K151" i="40"/>
  <c r="K138" i="40"/>
  <c r="K135" i="40"/>
  <c r="K155" i="40"/>
  <c r="D145" i="40"/>
  <c r="K136" i="40"/>
  <c r="J46" i="40"/>
  <c r="J42" i="40"/>
  <c r="D53" i="40"/>
  <c r="I53" i="40" s="1"/>
  <c r="K23" i="40"/>
  <c r="E22" i="40"/>
  <c r="E31" i="40" s="1"/>
  <c r="C31" i="40"/>
  <c r="W36" i="39"/>
  <c r="J191" i="40"/>
  <c r="J189" i="40"/>
  <c r="J185" i="40"/>
  <c r="J187" i="40"/>
  <c r="D179" i="40"/>
  <c r="D178" i="40"/>
  <c r="T187" i="40"/>
  <c r="J103" i="40"/>
  <c r="K103" i="40"/>
  <c r="K83" i="40"/>
  <c r="J83" i="40"/>
  <c r="J80" i="40"/>
  <c r="J78" i="40"/>
  <c r="J81" i="40"/>
  <c r="R29" i="40"/>
  <c r="V29" i="40" s="1"/>
  <c r="R28" i="40"/>
  <c r="V28" i="40" s="1"/>
  <c r="D33" i="40"/>
  <c r="D32" i="40"/>
  <c r="J186" i="40"/>
  <c r="J59" i="40"/>
  <c r="V61" i="40"/>
  <c r="K28" i="40"/>
  <c r="K26" i="40"/>
  <c r="K22" i="40"/>
  <c r="H90" i="40"/>
  <c r="H92" i="40" s="1"/>
  <c r="H93" i="40" s="1"/>
  <c r="R187" i="40"/>
  <c r="K184" i="40" s="1"/>
  <c r="D198" i="40" s="1"/>
  <c r="J172" i="40"/>
  <c r="J171" i="40"/>
  <c r="J168" i="40"/>
  <c r="K169" i="40"/>
  <c r="J169" i="40"/>
  <c r="I177" i="40"/>
  <c r="J192" i="40"/>
  <c r="J190" i="40"/>
  <c r="H178" i="40"/>
  <c r="H180" i="40" s="1"/>
  <c r="H181" i="40" s="1"/>
  <c r="J173" i="40"/>
  <c r="K153" i="40"/>
  <c r="I106" i="40"/>
  <c r="J84" i="40"/>
  <c r="J82" i="40"/>
  <c r="D162" i="40"/>
  <c r="K158" i="40"/>
  <c r="D146" i="40"/>
  <c r="K139" i="40"/>
  <c r="K134" i="40"/>
  <c r="J77" i="40"/>
  <c r="V62" i="40"/>
  <c r="K59" i="40"/>
  <c r="H33" i="40"/>
  <c r="K29" i="40"/>
  <c r="K25" i="40"/>
  <c r="K24" i="40"/>
  <c r="I127" i="40" l="1"/>
  <c r="D91" i="40"/>
  <c r="I91" i="40" s="1"/>
  <c r="D129" i="40"/>
  <c r="E129" i="40" s="1"/>
  <c r="D55" i="40"/>
  <c r="D56" i="40" s="1"/>
  <c r="D90" i="40"/>
  <c r="I90" i="40" s="1"/>
  <c r="I179" i="40"/>
  <c r="I110" i="40"/>
  <c r="I162" i="40"/>
  <c r="I109" i="40"/>
  <c r="I145" i="40"/>
  <c r="D111" i="40"/>
  <c r="D112" i="40" s="1"/>
  <c r="D113" i="40" s="1"/>
  <c r="D34" i="40"/>
  <c r="I32" i="40"/>
  <c r="C32" i="40"/>
  <c r="C33" i="40"/>
  <c r="H198" i="40"/>
  <c r="K188" i="40"/>
  <c r="K186" i="40"/>
  <c r="K191" i="40"/>
  <c r="K189" i="40"/>
  <c r="K190" i="40"/>
  <c r="K192" i="40"/>
  <c r="K187" i="40"/>
  <c r="K185" i="40"/>
  <c r="K31" i="40"/>
  <c r="H34" i="40"/>
  <c r="J63" i="40"/>
  <c r="H70" i="40"/>
  <c r="J67" i="40"/>
  <c r="J64" i="40"/>
  <c r="J60" i="40"/>
  <c r="J66" i="40"/>
  <c r="J62" i="40"/>
  <c r="J65" i="40"/>
  <c r="J61" i="40"/>
  <c r="D130" i="40"/>
  <c r="E130" i="40" s="1"/>
  <c r="I33" i="40"/>
  <c r="D70" i="40"/>
  <c r="K65" i="40"/>
  <c r="K62" i="40"/>
  <c r="K61" i="40"/>
  <c r="K60" i="40"/>
  <c r="K67" i="40"/>
  <c r="H71" i="40"/>
  <c r="K63" i="40"/>
  <c r="K64" i="40"/>
  <c r="K66" i="40"/>
  <c r="I146" i="40"/>
  <c r="D147" i="40"/>
  <c r="D163" i="40"/>
  <c r="D71" i="40"/>
  <c r="D180" i="40"/>
  <c r="I178" i="40"/>
  <c r="I129" i="40" l="1"/>
  <c r="D92" i="40"/>
  <c r="D93" i="40" s="1"/>
  <c r="H224" i="40"/>
  <c r="E33" i="40"/>
  <c r="I71" i="40"/>
  <c r="I112" i="40"/>
  <c r="I111" i="40"/>
  <c r="C34" i="40"/>
  <c r="E32" i="40"/>
  <c r="I180" i="40"/>
  <c r="D181" i="40"/>
  <c r="I198" i="40"/>
  <c r="H199" i="40"/>
  <c r="K197" i="40"/>
  <c r="K198" i="40" s="1"/>
  <c r="I92" i="40"/>
  <c r="I34" i="40"/>
  <c r="D35" i="40"/>
  <c r="I163" i="40"/>
  <c r="D164" i="40"/>
  <c r="D72" i="40"/>
  <c r="I70" i="40"/>
  <c r="H72" i="40"/>
  <c r="H73" i="40" s="1"/>
  <c r="H223" i="40"/>
  <c r="H35" i="40"/>
  <c r="H201" i="40" l="1"/>
  <c r="E34" i="40"/>
  <c r="C35" i="40"/>
  <c r="E35" i="40" s="1"/>
  <c r="I35" i="40"/>
  <c r="H225" i="40"/>
  <c r="H226" i="40" s="1"/>
  <c r="I72" i="40"/>
  <c r="D73" i="40"/>
  <c r="W37" i="17" l="1"/>
  <c r="X38" i="17" s="1"/>
  <c r="W163" i="17"/>
  <c r="W31" i="17"/>
  <c r="N21" i="17"/>
  <c r="N17" i="17"/>
  <c r="C19" i="39"/>
  <c r="M201" i="18"/>
  <c r="C14" i="17"/>
  <c r="W55" i="17" s="1"/>
  <c r="AA38" i="39"/>
  <c r="AG38" i="39" s="1"/>
  <c r="U37" i="39"/>
  <c r="Q37" i="39"/>
  <c r="M37" i="39"/>
  <c r="E37" i="39"/>
  <c r="Y35" i="39"/>
  <c r="Q35" i="39"/>
  <c r="M35" i="39"/>
  <c r="M34" i="39"/>
  <c r="Y33" i="39"/>
  <c r="K33" i="39"/>
  <c r="E33" i="39"/>
  <c r="Y32" i="39"/>
  <c r="U32" i="39"/>
  <c r="M32" i="39"/>
  <c r="K32" i="39"/>
  <c r="E32" i="39"/>
  <c r="Q39" i="39"/>
  <c r="AC25" i="39"/>
  <c r="P48" i="36" s="1"/>
  <c r="Y37" i="39"/>
  <c r="K37" i="39"/>
  <c r="C25" i="39"/>
  <c r="U35" i="39"/>
  <c r="K35" i="39"/>
  <c r="C23" i="39"/>
  <c r="C35" i="39" s="1"/>
  <c r="AE24" i="39"/>
  <c r="AC24" i="39"/>
  <c r="Y36" i="39"/>
  <c r="U36" i="39"/>
  <c r="Q36" i="39"/>
  <c r="M36" i="39"/>
  <c r="K36" i="39"/>
  <c r="E36" i="39"/>
  <c r="C24" i="39"/>
  <c r="Y34" i="39"/>
  <c r="U34" i="39"/>
  <c r="Q34" i="39"/>
  <c r="K34" i="39"/>
  <c r="E34" i="39"/>
  <c r="C22" i="39"/>
  <c r="C34" i="39" s="1"/>
  <c r="AE21" i="39"/>
  <c r="U33" i="39"/>
  <c r="Q33" i="39"/>
  <c r="M33" i="39"/>
  <c r="C21" i="39"/>
  <c r="AE20" i="39"/>
  <c r="Q32" i="39"/>
  <c r="C20" i="39"/>
  <c r="C32" i="39" s="1"/>
  <c r="AE19" i="39"/>
  <c r="Y19" i="39"/>
  <c r="W19" i="39"/>
  <c r="U31" i="39"/>
  <c r="Q19" i="39"/>
  <c r="Q28" i="39" s="1"/>
  <c r="M31" i="39"/>
  <c r="S16" i="39"/>
  <c r="B40" i="17" s="1"/>
  <c r="D58" i="17" s="1"/>
  <c r="O16" i="39"/>
  <c r="I16" i="39"/>
  <c r="G16" i="39"/>
  <c r="Q13" i="39"/>
  <c r="O13" i="39"/>
  <c r="AA10" i="39"/>
  <c r="AG10" i="39" s="1"/>
  <c r="AA9" i="39"/>
  <c r="AG9" i="39" s="1"/>
  <c r="AA8" i="39"/>
  <c r="AG8" i="39" s="1"/>
  <c r="AA6" i="39"/>
  <c r="AG6" i="39" s="1"/>
  <c r="AA5" i="39"/>
  <c r="AA4" i="39"/>
  <c r="AA3" i="39"/>
  <c r="K207" i="18"/>
  <c r="M207" i="18" s="1"/>
  <c r="D175" i="18"/>
  <c r="D168" i="18"/>
  <c r="D173" i="18" s="1"/>
  <c r="D178" i="18" s="1"/>
  <c r="C168" i="18"/>
  <c r="C173" i="18" s="1"/>
  <c r="K161" i="18"/>
  <c r="K202" i="18" s="1"/>
  <c r="C178" i="18" l="1"/>
  <c r="B38" i="17"/>
  <c r="D56" i="17" s="1"/>
  <c r="B34" i="17"/>
  <c r="B45" i="17"/>
  <c r="B35" i="17"/>
  <c r="D53" i="17" s="1"/>
  <c r="I20" i="39"/>
  <c r="I25" i="39"/>
  <c r="I37" i="39" s="1"/>
  <c r="I24" i="39"/>
  <c r="I36" i="39" s="1"/>
  <c r="I26" i="39"/>
  <c r="I23" i="39"/>
  <c r="I35" i="39" s="1"/>
  <c r="I22" i="39"/>
  <c r="I34" i="39" s="1"/>
  <c r="I19" i="39"/>
  <c r="I27" i="39"/>
  <c r="I39" i="39" s="1"/>
  <c r="I21" i="39"/>
  <c r="I33" i="39" s="1"/>
  <c r="S25" i="39"/>
  <c r="S37" i="39" s="1"/>
  <c r="S24" i="39"/>
  <c r="S36" i="39" s="1"/>
  <c r="S21" i="39"/>
  <c r="S33" i="39" s="1"/>
  <c r="S26" i="39"/>
  <c r="S22" i="39"/>
  <c r="S34" i="39" s="1"/>
  <c r="S20" i="39"/>
  <c r="S32" i="39" s="1"/>
  <c r="S27" i="39"/>
  <c r="S39" i="39" s="1"/>
  <c r="Q31" i="39"/>
  <c r="Q40" i="39" s="1"/>
  <c r="Q42" i="39" s="1"/>
  <c r="Q44" i="39" s="1"/>
  <c r="G26" i="39"/>
  <c r="G23" i="39"/>
  <c r="G35" i="39" s="1"/>
  <c r="G22" i="39"/>
  <c r="G34" i="39" s="1"/>
  <c r="G25" i="39"/>
  <c r="G37" i="39" s="1"/>
  <c r="G24" i="39"/>
  <c r="G21" i="39"/>
  <c r="G33" i="39" s="1"/>
  <c r="G19" i="39"/>
  <c r="G20" i="39"/>
  <c r="O25" i="39"/>
  <c r="O37" i="39" s="1"/>
  <c r="O24" i="39"/>
  <c r="O36" i="39" s="1"/>
  <c r="O26" i="39"/>
  <c r="O23" i="39"/>
  <c r="O35" i="39" s="1"/>
  <c r="O22" i="39"/>
  <c r="O34" i="39" s="1"/>
  <c r="O27" i="39"/>
  <c r="S19" i="39"/>
  <c r="S31" i="39" s="1"/>
  <c r="E31" i="39"/>
  <c r="C36" i="39"/>
  <c r="W160" i="17"/>
  <c r="Y28" i="39"/>
  <c r="Y31" i="39"/>
  <c r="G36" i="39"/>
  <c r="O21" i="39"/>
  <c r="C31" i="39"/>
  <c r="O20" i="39"/>
  <c r="O32" i="39" s="1"/>
  <c r="C33" i="39"/>
  <c r="E35" i="39"/>
  <c r="E39" i="39"/>
  <c r="E13" i="39"/>
  <c r="I13" i="39"/>
  <c r="K31" i="39"/>
  <c r="O19" i="39"/>
  <c r="W31" i="39"/>
  <c r="Y13" i="39"/>
  <c r="C37" i="39"/>
  <c r="Y39" i="39"/>
  <c r="N49" i="36"/>
  <c r="N48" i="36"/>
  <c r="N46" i="36"/>
  <c r="N45" i="36"/>
  <c r="N44" i="36"/>
  <c r="N43" i="36"/>
  <c r="R43" i="36" s="1"/>
  <c r="N42" i="36"/>
  <c r="N40" i="36"/>
  <c r="N39" i="36"/>
  <c r="N38" i="36"/>
  <c r="N36" i="36"/>
  <c r="N35" i="36"/>
  <c r="N34" i="36"/>
  <c r="N33" i="36"/>
  <c r="N32" i="36"/>
  <c r="N31" i="36"/>
  <c r="N29" i="36"/>
  <c r="N28" i="36"/>
  <c r="N27" i="36"/>
  <c r="N26" i="36"/>
  <c r="N25" i="36"/>
  <c r="N24" i="36"/>
  <c r="N22" i="36"/>
  <c r="N21" i="36"/>
  <c r="N20" i="36"/>
  <c r="N19" i="36"/>
  <c r="N18" i="36"/>
  <c r="N17" i="36"/>
  <c r="N16" i="36"/>
  <c r="N15" i="36"/>
  <c r="N14" i="36"/>
  <c r="N13" i="36"/>
  <c r="N12" i="36"/>
  <c r="N9" i="36"/>
  <c r="N7" i="36"/>
  <c r="N6" i="36"/>
  <c r="D52" i="17" l="1"/>
  <c r="B62" i="17" s="1"/>
  <c r="E40" i="39"/>
  <c r="AA36" i="39"/>
  <c r="AG36" i="39" s="1"/>
  <c r="C105" i="17" s="1"/>
  <c r="AC3" i="39"/>
  <c r="AC19" i="39" s="1"/>
  <c r="AA24" i="39"/>
  <c r="AG24" i="39" s="1"/>
  <c r="AH24" i="39" s="1"/>
  <c r="AA37" i="39"/>
  <c r="AG37" i="39" s="1"/>
  <c r="AC4" i="39"/>
  <c r="G32" i="39"/>
  <c r="AA26" i="39"/>
  <c r="AG26" i="39" s="1"/>
  <c r="AH26" i="39" s="1"/>
  <c r="Y40" i="39"/>
  <c r="Y42" i="39" s="1"/>
  <c r="Y44" i="39" s="1"/>
  <c r="AA34" i="39"/>
  <c r="AG34" i="39" s="1"/>
  <c r="B103" i="17" s="1"/>
  <c r="AG3" i="39"/>
  <c r="O39" i="39"/>
  <c r="AA19" i="39"/>
  <c r="O33" i="39"/>
  <c r="AA33" i="39" s="1"/>
  <c r="AG33" i="39" s="1"/>
  <c r="B102" i="17" s="1"/>
  <c r="P45" i="36" s="1"/>
  <c r="AC5" i="39"/>
  <c r="I32" i="39"/>
  <c r="AA20" i="39"/>
  <c r="O31" i="39"/>
  <c r="O28" i="39"/>
  <c r="AA21" i="39"/>
  <c r="G31" i="39"/>
  <c r="AA25" i="39"/>
  <c r="AG25" i="39" s="1"/>
  <c r="AH25" i="39" s="1"/>
  <c r="AA22" i="39"/>
  <c r="AG22" i="39" s="1"/>
  <c r="AH22" i="39" s="1"/>
  <c r="I28" i="39"/>
  <c r="I31" i="39"/>
  <c r="E28" i="39"/>
  <c r="AA32" i="39" l="1"/>
  <c r="AG32" i="39" s="1"/>
  <c r="B101" i="17" s="1"/>
  <c r="P44" i="36" s="1"/>
  <c r="B63" i="17"/>
  <c r="B121" i="17"/>
  <c r="N27" i="17"/>
  <c r="C63" i="17"/>
  <c r="I40" i="39"/>
  <c r="I42" i="39" s="1"/>
  <c r="I44" i="39" s="1"/>
  <c r="P41" i="36"/>
  <c r="E42" i="39"/>
  <c r="E44" i="39" s="1"/>
  <c r="Q49" i="36"/>
  <c r="AG19" i="39"/>
  <c r="AH19" i="39" s="1"/>
  <c r="AC20" i="39"/>
  <c r="AG4" i="39"/>
  <c r="O40" i="39"/>
  <c r="O42" i="39" s="1"/>
  <c r="O44" i="39" s="1"/>
  <c r="AC21" i="39"/>
  <c r="AG5" i="39"/>
  <c r="AA31" i="39"/>
  <c r="D63" i="17" l="1"/>
  <c r="AG20" i="39"/>
  <c r="AH20" i="39" s="1"/>
  <c r="AG21" i="39"/>
  <c r="AH21" i="39" s="1"/>
  <c r="AG31" i="39"/>
  <c r="B100" i="17" s="1"/>
  <c r="P42" i="36" s="1"/>
  <c r="D50" i="36"/>
  <c r="N30" i="36"/>
  <c r="N37" i="36"/>
  <c r="N10" i="36"/>
  <c r="G11" i="39" l="1"/>
  <c r="F50" i="36"/>
  <c r="F11" i="36"/>
  <c r="N11" i="36" s="1"/>
  <c r="F8" i="36"/>
  <c r="E35" i="37"/>
  <c r="Q60" i="36" s="1"/>
  <c r="D33" i="37"/>
  <c r="D36" i="37" s="1"/>
  <c r="D30" i="37"/>
  <c r="E28" i="37"/>
  <c r="E25" i="37"/>
  <c r="E22" i="37"/>
  <c r="E19" i="37"/>
  <c r="E16" i="37"/>
  <c r="E13" i="37"/>
  <c r="E8" i="37"/>
  <c r="E5" i="37"/>
  <c r="E34" i="37" l="1"/>
  <c r="E36" i="37" s="1"/>
  <c r="K11" i="39"/>
  <c r="G13" i="39"/>
  <c r="G27" i="39"/>
  <c r="G39" i="39" s="1"/>
  <c r="G40" i="39" s="1"/>
  <c r="Q57" i="36"/>
  <c r="P56" i="36"/>
  <c r="E30" i="37"/>
  <c r="P77" i="36" l="1"/>
  <c r="P79" i="36" s="1"/>
  <c r="Q72" i="36"/>
  <c r="Q77" i="36"/>
  <c r="K27" i="39"/>
  <c r="K28" i="39" s="1"/>
  <c r="K13" i="39"/>
  <c r="G28" i="39"/>
  <c r="G42" i="39" s="1"/>
  <c r="G44" i="39" s="1"/>
  <c r="AC11" i="39"/>
  <c r="AC27" i="39" s="1"/>
  <c r="P72" i="36"/>
  <c r="P50" i="36" s="1"/>
  <c r="E37" i="35"/>
  <c r="E50" i="35" s="1"/>
  <c r="E17" i="35"/>
  <c r="E25" i="35" s="1"/>
  <c r="L8" i="36"/>
  <c r="N8" i="36" s="1"/>
  <c r="Q73" i="36" l="1"/>
  <c r="K39" i="39"/>
  <c r="K40" i="39" s="1"/>
  <c r="K42" i="39" s="1"/>
  <c r="K44" i="39" s="1"/>
  <c r="Q79" i="36"/>
  <c r="G50" i="36"/>
  <c r="K50" i="36"/>
  <c r="M11" i="39" l="1"/>
  <c r="U11" i="39"/>
  <c r="S7" i="39"/>
  <c r="N47" i="36"/>
  <c r="K23" i="36"/>
  <c r="C96" i="17" l="1"/>
  <c r="M27" i="39"/>
  <c r="M28" i="39" s="1"/>
  <c r="C103" i="40"/>
  <c r="M13" i="39"/>
  <c r="C155" i="40"/>
  <c r="S13" i="39"/>
  <c r="AA7" i="39"/>
  <c r="S23" i="39"/>
  <c r="U27" i="39"/>
  <c r="U28" i="39" s="1"/>
  <c r="U13" i="39"/>
  <c r="C70" i="31"/>
  <c r="M39" i="39" l="1"/>
  <c r="M40" i="39" s="1"/>
  <c r="M42" i="39" s="1"/>
  <c r="M44" i="39" s="1"/>
  <c r="Q47" i="36"/>
  <c r="Q42" i="36" s="1"/>
  <c r="U39" i="39"/>
  <c r="U40" i="39" s="1"/>
  <c r="U42" i="39" s="1"/>
  <c r="U44" i="39" s="1"/>
  <c r="S35" i="39"/>
  <c r="AC7" i="39"/>
  <c r="AG7" i="39" s="1"/>
  <c r="AA23" i="39"/>
  <c r="S28" i="39"/>
  <c r="E103" i="40"/>
  <c r="AA35" i="39"/>
  <c r="AG35" i="39" s="1"/>
  <c r="B104" i="17" s="1"/>
  <c r="S40" i="39"/>
  <c r="E155" i="40"/>
  <c r="E160" i="40" s="1"/>
  <c r="V43" i="35"/>
  <c r="V41" i="35"/>
  <c r="B111" i="17" l="1"/>
  <c r="B108" i="17"/>
  <c r="S42" i="39"/>
  <c r="S44" i="39" s="1"/>
  <c r="P47" i="36"/>
  <c r="AC23" i="39"/>
  <c r="AC28" i="39" s="1"/>
  <c r="AC42" i="39" s="1"/>
  <c r="AC44" i="39" s="1"/>
  <c r="AC13" i="39"/>
  <c r="N71" i="36"/>
  <c r="R71" i="36" s="1"/>
  <c r="B26" i="33" s="1"/>
  <c r="N68" i="36"/>
  <c r="R68" i="36" s="1"/>
  <c r="B20" i="33" s="1"/>
  <c r="B16" i="31" s="1"/>
  <c r="N67" i="36"/>
  <c r="R67" i="36" s="1"/>
  <c r="B18" i="33" s="1"/>
  <c r="N64" i="36"/>
  <c r="R64" i="36" s="1"/>
  <c r="B13" i="33" s="1"/>
  <c r="N61" i="36"/>
  <c r="N60" i="36"/>
  <c r="R60" i="36" s="1"/>
  <c r="B9" i="33" s="1"/>
  <c r="M58" i="36"/>
  <c r="M62" i="36" s="1"/>
  <c r="M65" i="36" s="1"/>
  <c r="M69" i="36" s="1"/>
  <c r="M72" i="36" s="1"/>
  <c r="L58" i="36"/>
  <c r="L62" i="36" s="1"/>
  <c r="L65" i="36" s="1"/>
  <c r="L69" i="36" s="1"/>
  <c r="L72" i="36" s="1"/>
  <c r="K58" i="36"/>
  <c r="K62" i="36" s="1"/>
  <c r="K65" i="36" s="1"/>
  <c r="K69" i="36" s="1"/>
  <c r="K72" i="36" s="1"/>
  <c r="J58" i="36"/>
  <c r="J62" i="36" s="1"/>
  <c r="J65" i="36" s="1"/>
  <c r="J69" i="36" s="1"/>
  <c r="J72" i="36" s="1"/>
  <c r="I58" i="36"/>
  <c r="I62" i="36" s="1"/>
  <c r="I65" i="36" s="1"/>
  <c r="I69" i="36" s="1"/>
  <c r="I72" i="36" s="1"/>
  <c r="H58" i="36"/>
  <c r="H62" i="36" s="1"/>
  <c r="H65" i="36" s="1"/>
  <c r="H69" i="36" s="1"/>
  <c r="H72" i="36" s="1"/>
  <c r="G58" i="36"/>
  <c r="G62" i="36" s="1"/>
  <c r="G65" i="36" s="1"/>
  <c r="G69" i="36" s="1"/>
  <c r="G72" i="36" s="1"/>
  <c r="F58" i="36"/>
  <c r="F62" i="36" s="1"/>
  <c r="F65" i="36" s="1"/>
  <c r="F69" i="36" s="1"/>
  <c r="F72" i="36" s="1"/>
  <c r="E58" i="36"/>
  <c r="E62" i="36" s="1"/>
  <c r="E65" i="36" s="1"/>
  <c r="E69" i="36" s="1"/>
  <c r="E72" i="36" s="1"/>
  <c r="D58" i="36"/>
  <c r="D62" i="36" s="1"/>
  <c r="D65" i="36" s="1"/>
  <c r="D69" i="36" s="1"/>
  <c r="D72" i="36" s="1"/>
  <c r="C58" i="36"/>
  <c r="C62" i="36" s="1"/>
  <c r="C65" i="36" s="1"/>
  <c r="C69" i="36" s="1"/>
  <c r="C72" i="36" s="1"/>
  <c r="C77" i="36" s="1"/>
  <c r="B65" i="36"/>
  <c r="N57" i="36"/>
  <c r="R57" i="36" s="1"/>
  <c r="B4" i="33" s="1"/>
  <c r="N56" i="36"/>
  <c r="J52" i="36"/>
  <c r="I52" i="36"/>
  <c r="H52" i="36"/>
  <c r="F52" i="36"/>
  <c r="D52" i="36"/>
  <c r="M52" i="36"/>
  <c r="L52" i="36"/>
  <c r="K52" i="36"/>
  <c r="G52" i="36"/>
  <c r="E52" i="36"/>
  <c r="R48" i="36"/>
  <c r="S48" i="36" s="1"/>
  <c r="R46" i="36"/>
  <c r="S46" i="36" s="1"/>
  <c r="R45" i="36"/>
  <c r="S45" i="36" s="1"/>
  <c r="R44" i="36"/>
  <c r="S44" i="36" s="1"/>
  <c r="M41" i="36"/>
  <c r="K41" i="36"/>
  <c r="J41" i="36"/>
  <c r="I41" i="36"/>
  <c r="H41" i="36"/>
  <c r="G41" i="36"/>
  <c r="F41" i="36"/>
  <c r="E41" i="36"/>
  <c r="D41" i="36"/>
  <c r="B41" i="36"/>
  <c r="R40" i="36"/>
  <c r="I25" i="32" s="1"/>
  <c r="R39" i="36"/>
  <c r="I24" i="32" s="1"/>
  <c r="R38" i="36"/>
  <c r="I23" i="32" s="1"/>
  <c r="R37" i="36"/>
  <c r="I22" i="32" s="1"/>
  <c r="R36" i="36"/>
  <c r="I21" i="32" s="1"/>
  <c r="R35" i="36"/>
  <c r="I20" i="32" s="1"/>
  <c r="R34" i="36"/>
  <c r="I19" i="32" s="1"/>
  <c r="R33" i="36"/>
  <c r="I18" i="32" s="1"/>
  <c r="R32" i="36"/>
  <c r="I13" i="32" s="1"/>
  <c r="R31" i="36"/>
  <c r="I12" i="32" s="1"/>
  <c r="R30" i="36"/>
  <c r="I11" i="32" s="1"/>
  <c r="L41" i="36"/>
  <c r="R29" i="36"/>
  <c r="I10" i="32" s="1"/>
  <c r="R28" i="36"/>
  <c r="I9" i="32" s="1"/>
  <c r="C41" i="36"/>
  <c r="R27" i="36"/>
  <c r="I8" i="32" s="1"/>
  <c r="R26" i="36"/>
  <c r="I7" i="32" s="1"/>
  <c r="R25" i="36"/>
  <c r="I6" i="32" s="1"/>
  <c r="M23" i="36"/>
  <c r="J23" i="36"/>
  <c r="I23" i="36"/>
  <c r="H23" i="36"/>
  <c r="G23" i="36"/>
  <c r="F23" i="36"/>
  <c r="E23" i="36"/>
  <c r="D23" i="36"/>
  <c r="C23" i="36"/>
  <c r="B23" i="36"/>
  <c r="R22" i="36"/>
  <c r="R21" i="36"/>
  <c r="R19" i="36"/>
  <c r="B22" i="32" s="1"/>
  <c r="R18" i="36"/>
  <c r="B21" i="32" s="1"/>
  <c r="R17" i="36"/>
  <c r="B20" i="32" s="1"/>
  <c r="R16" i="36"/>
  <c r="B19" i="32" s="1"/>
  <c r="R15" i="36"/>
  <c r="B17" i="32" s="1"/>
  <c r="R14" i="36"/>
  <c r="B18" i="32" s="1"/>
  <c r="H27" i="31" s="1"/>
  <c r="R13" i="36"/>
  <c r="B13" i="32" s="1"/>
  <c r="R12" i="36"/>
  <c r="B12" i="32" s="1"/>
  <c r="R11" i="36"/>
  <c r="B10" i="32" s="1"/>
  <c r="R10" i="36"/>
  <c r="B11" i="32" s="1"/>
  <c r="R9" i="36"/>
  <c r="B9" i="32" s="1"/>
  <c r="L23" i="36"/>
  <c r="R7" i="36"/>
  <c r="B6" i="32" s="1"/>
  <c r="R6" i="36"/>
  <c r="B7" i="32" s="1"/>
  <c r="N5" i="36"/>
  <c r="B15" i="31" l="1"/>
  <c r="P14" i="31"/>
  <c r="D18" i="32"/>
  <c r="B62" i="31" s="1"/>
  <c r="B37" i="41"/>
  <c r="N37" i="41" s="1"/>
  <c r="B69" i="36"/>
  <c r="B6" i="41"/>
  <c r="N41" i="36"/>
  <c r="I53" i="36"/>
  <c r="C46" i="40"/>
  <c r="D77" i="36"/>
  <c r="C84" i="40"/>
  <c r="F77" i="36"/>
  <c r="H77" i="36"/>
  <c r="C158" i="40"/>
  <c r="J77" i="36"/>
  <c r="C192" i="40"/>
  <c r="L77" i="36"/>
  <c r="N23" i="36"/>
  <c r="R47" i="36"/>
  <c r="S47" i="36" s="1"/>
  <c r="C67" i="40"/>
  <c r="E77" i="36"/>
  <c r="C104" i="40"/>
  <c r="G77" i="36"/>
  <c r="C141" i="40"/>
  <c r="I77" i="36"/>
  <c r="C175" i="40"/>
  <c r="K77" i="36"/>
  <c r="C213" i="40"/>
  <c r="M77" i="36"/>
  <c r="AG23" i="39"/>
  <c r="AH23" i="39" s="1"/>
  <c r="M53" i="36"/>
  <c r="G53" i="36"/>
  <c r="J53" i="36"/>
  <c r="K53" i="36"/>
  <c r="E53" i="36"/>
  <c r="D53" i="36"/>
  <c r="H53" i="36"/>
  <c r="F53" i="36"/>
  <c r="L53" i="36"/>
  <c r="N58" i="36"/>
  <c r="N62" i="36" s="1"/>
  <c r="N65" i="36" s="1"/>
  <c r="N69" i="36" s="1"/>
  <c r="N72" i="36" s="1"/>
  <c r="I26" i="32"/>
  <c r="K75" i="36"/>
  <c r="I75" i="36"/>
  <c r="R24" i="36"/>
  <c r="I5" i="32" s="1"/>
  <c r="B24" i="32"/>
  <c r="M75" i="36"/>
  <c r="R5" i="36"/>
  <c r="B5" i="32" s="1"/>
  <c r="E75" i="36"/>
  <c r="G75" i="36"/>
  <c r="L75" i="36"/>
  <c r="R20" i="36"/>
  <c r="V15" i="36"/>
  <c r="R49" i="36"/>
  <c r="S49" i="36" s="1"/>
  <c r="C52" i="36"/>
  <c r="C53" i="36" s="1"/>
  <c r="R42" i="36"/>
  <c r="D75" i="36"/>
  <c r="F75" i="36"/>
  <c r="H75" i="36"/>
  <c r="J75" i="36"/>
  <c r="R56" i="36"/>
  <c r="B3" i="33" s="1"/>
  <c r="B6" i="33" s="1"/>
  <c r="B11" i="33" s="1"/>
  <c r="R61" i="36"/>
  <c r="B14" i="33" s="1"/>
  <c r="V14" i="31" l="1"/>
  <c r="M14" i="31" s="1"/>
  <c r="P18" i="31"/>
  <c r="P43" i="31"/>
  <c r="B71" i="31"/>
  <c r="B50" i="36"/>
  <c r="B72" i="36"/>
  <c r="B77" i="36" s="1"/>
  <c r="N77" i="36" s="1"/>
  <c r="B23" i="32"/>
  <c r="B25" i="32" s="1"/>
  <c r="W27" i="17"/>
  <c r="I78" i="36"/>
  <c r="I79" i="36"/>
  <c r="H78" i="36"/>
  <c r="H79" i="36" s="1"/>
  <c r="J78" i="36"/>
  <c r="J79" i="36" s="1"/>
  <c r="S42" i="36"/>
  <c r="C212" i="40"/>
  <c r="E175" i="40"/>
  <c r="C174" i="40"/>
  <c r="E141" i="40"/>
  <c r="C143" i="40"/>
  <c r="E84" i="40"/>
  <c r="C83" i="40"/>
  <c r="E46" i="40"/>
  <c r="C45" i="40"/>
  <c r="E104" i="40"/>
  <c r="E109" i="40" s="1"/>
  <c r="C106" i="40"/>
  <c r="E67" i="40"/>
  <c r="C69" i="40"/>
  <c r="E192" i="40"/>
  <c r="C191" i="40"/>
  <c r="E158" i="40"/>
  <c r="C160" i="40"/>
  <c r="R41" i="36"/>
  <c r="C75" i="36"/>
  <c r="I15" i="32"/>
  <c r="B16" i="33"/>
  <c r="R58" i="36"/>
  <c r="R62" i="36" s="1"/>
  <c r="R65" i="36" s="1"/>
  <c r="R69" i="36" s="1"/>
  <c r="R72" i="36" s="1"/>
  <c r="B6" i="31" l="1"/>
  <c r="N6" i="31"/>
  <c r="V6" i="31" s="1"/>
  <c r="M6" i="31" s="1"/>
  <c r="I27" i="32"/>
  <c r="B52" i="36"/>
  <c r="N50" i="36"/>
  <c r="C11" i="39"/>
  <c r="B78" i="36"/>
  <c r="B79" i="36" s="1"/>
  <c r="R77" i="36"/>
  <c r="C161" i="40"/>
  <c r="C162" i="40"/>
  <c r="E162" i="40" s="1"/>
  <c r="E191" i="40"/>
  <c r="E194" i="40" s="1"/>
  <c r="E195" i="40" s="1"/>
  <c r="C194" i="40"/>
  <c r="C195" i="40" s="1"/>
  <c r="C71" i="40"/>
  <c r="E71" i="40" s="1"/>
  <c r="C70" i="40"/>
  <c r="C109" i="40"/>
  <c r="E106" i="40"/>
  <c r="E45" i="40"/>
  <c r="C48" i="40"/>
  <c r="E83" i="40"/>
  <c r="C86" i="40"/>
  <c r="C145" i="40"/>
  <c r="E145" i="40" s="1"/>
  <c r="C144" i="40"/>
  <c r="E174" i="40"/>
  <c r="C177" i="40"/>
  <c r="E212" i="40"/>
  <c r="C215" i="40"/>
  <c r="B22" i="33"/>
  <c r="V33" i="35"/>
  <c r="T31" i="35"/>
  <c r="R31" i="35"/>
  <c r="V29" i="35"/>
  <c r="V27" i="35"/>
  <c r="V23" i="35"/>
  <c r="V21" i="35"/>
  <c r="V19" i="35"/>
  <c r="R17" i="35"/>
  <c r="R25" i="35" s="1"/>
  <c r="P17" i="35"/>
  <c r="P25" i="35" s="1"/>
  <c r="P37" i="35" s="1"/>
  <c r="P50" i="35" s="1"/>
  <c r="P53" i="35" s="1"/>
  <c r="N17" i="35"/>
  <c r="N25" i="35" s="1"/>
  <c r="N37" i="35" s="1"/>
  <c r="N50" i="35" s="1"/>
  <c r="N53" i="35" s="1"/>
  <c r="L17" i="35"/>
  <c r="L25" i="35" s="1"/>
  <c r="L37" i="35" s="1"/>
  <c r="L50" i="35" s="1"/>
  <c r="L53" i="35" s="1"/>
  <c r="J17" i="35"/>
  <c r="J25" i="35" s="1"/>
  <c r="J37" i="35" s="1"/>
  <c r="J50" i="35" s="1"/>
  <c r="J53" i="35" s="1"/>
  <c r="H17" i="35"/>
  <c r="H25" i="35" s="1"/>
  <c r="H37" i="35" s="1"/>
  <c r="H50" i="35" s="1"/>
  <c r="H53" i="35" s="1"/>
  <c r="F17" i="35"/>
  <c r="F25" i="35" s="1"/>
  <c r="F37" i="35" s="1"/>
  <c r="F50" i="35" s="1"/>
  <c r="F53" i="35" s="1"/>
  <c r="C17" i="35"/>
  <c r="C25" i="35" s="1"/>
  <c r="C37" i="35" s="1"/>
  <c r="C50" i="35" s="1"/>
  <c r="T14" i="35"/>
  <c r="T17" i="35" s="1"/>
  <c r="T25" i="35" s="1"/>
  <c r="V12" i="35"/>
  <c r="C13" i="39" l="1"/>
  <c r="C27" i="39"/>
  <c r="B53" i="36"/>
  <c r="N52" i="36"/>
  <c r="B75" i="36"/>
  <c r="B28" i="33"/>
  <c r="C216" i="40"/>
  <c r="C217" i="40"/>
  <c r="C178" i="40"/>
  <c r="C179" i="40"/>
  <c r="E179" i="40" s="1"/>
  <c r="C110" i="40"/>
  <c r="C111" i="40"/>
  <c r="E111" i="40" s="1"/>
  <c r="C72" i="40"/>
  <c r="E70" i="40"/>
  <c r="C198" i="40"/>
  <c r="E198" i="40" s="1"/>
  <c r="C197" i="40"/>
  <c r="C200" i="40"/>
  <c r="E200" i="40" s="1"/>
  <c r="E144" i="40"/>
  <c r="C146" i="40"/>
  <c r="E86" i="40"/>
  <c r="E89" i="40" s="1"/>
  <c r="C89" i="40"/>
  <c r="E48" i="40"/>
  <c r="E52" i="40" s="1"/>
  <c r="C52" i="40"/>
  <c r="E161" i="40"/>
  <c r="C163" i="40"/>
  <c r="V31" i="35"/>
  <c r="V14" i="35"/>
  <c r="V17" i="35" s="1"/>
  <c r="V25" i="35" s="1"/>
  <c r="N75" i="36" l="1"/>
  <c r="N53" i="36"/>
  <c r="C39" i="39"/>
  <c r="C40" i="39" s="1"/>
  <c r="C28" i="39"/>
  <c r="R39" i="35"/>
  <c r="V39" i="35" s="1"/>
  <c r="C164" i="40"/>
  <c r="E164" i="40" s="1"/>
  <c r="E163" i="40"/>
  <c r="C54" i="40"/>
  <c r="C53" i="40"/>
  <c r="C91" i="40"/>
  <c r="E91" i="40" s="1"/>
  <c r="C90" i="40"/>
  <c r="E146" i="40"/>
  <c r="C147" i="40"/>
  <c r="E147" i="40" s="1"/>
  <c r="E72" i="40"/>
  <c r="C73" i="40"/>
  <c r="E73" i="40" s="1"/>
  <c r="E110" i="40"/>
  <c r="C112" i="40"/>
  <c r="C180" i="40"/>
  <c r="E178" i="40"/>
  <c r="C199" i="40"/>
  <c r="C201" i="40" s="1"/>
  <c r="E197" i="40"/>
  <c r="C218" i="40"/>
  <c r="AA38" i="30"/>
  <c r="AG38" i="30" s="1"/>
  <c r="AA26" i="30"/>
  <c r="AG26" i="30" s="1"/>
  <c r="AE11" i="30"/>
  <c r="AE27" i="30" s="1"/>
  <c r="G11" i="30"/>
  <c r="E11" i="30"/>
  <c r="E27" i="30" s="1"/>
  <c r="Q50" i="34"/>
  <c r="Y11" i="30"/>
  <c r="M50" i="34"/>
  <c r="P30" i="34"/>
  <c r="P28" i="34"/>
  <c r="M11" i="30"/>
  <c r="Q20" i="34"/>
  <c r="P50" i="34"/>
  <c r="L50" i="34"/>
  <c r="L51" i="34" s="1"/>
  <c r="K50" i="34"/>
  <c r="K51" i="34" s="1"/>
  <c r="G50" i="34"/>
  <c r="F50" i="34"/>
  <c r="E50" i="34"/>
  <c r="E51" i="34" s="1"/>
  <c r="D50" i="34"/>
  <c r="D51" i="34" s="1"/>
  <c r="C50" i="34"/>
  <c r="C51" i="34" s="1"/>
  <c r="B50" i="34"/>
  <c r="P47" i="34"/>
  <c r="P45" i="34"/>
  <c r="P43" i="34"/>
  <c r="P44" i="34"/>
  <c r="P20" i="34"/>
  <c r="P16" i="34"/>
  <c r="N70" i="34"/>
  <c r="R70" i="34" s="1"/>
  <c r="D26" i="33" s="1"/>
  <c r="N67" i="34"/>
  <c r="R67" i="34" s="1"/>
  <c r="D20" i="33" s="1"/>
  <c r="N66" i="34"/>
  <c r="R66" i="34" s="1"/>
  <c r="D18" i="33" s="1"/>
  <c r="B63" i="34"/>
  <c r="N63" i="34" s="1"/>
  <c r="R63" i="34" s="1"/>
  <c r="D13" i="33" s="1"/>
  <c r="N60" i="34"/>
  <c r="K59" i="34"/>
  <c r="D59" i="34"/>
  <c r="M57" i="34"/>
  <c r="M61" i="34" s="1"/>
  <c r="M64" i="34" s="1"/>
  <c r="M68" i="34" s="1"/>
  <c r="M71" i="34" s="1"/>
  <c r="L57" i="34"/>
  <c r="L61" i="34" s="1"/>
  <c r="L64" i="34" s="1"/>
  <c r="L68" i="34" s="1"/>
  <c r="K57" i="34"/>
  <c r="J57" i="34"/>
  <c r="J61" i="34" s="1"/>
  <c r="J64" i="34" s="1"/>
  <c r="J68" i="34" s="1"/>
  <c r="I57" i="34"/>
  <c r="I61" i="34" s="1"/>
  <c r="I64" i="34" s="1"/>
  <c r="I68" i="34" s="1"/>
  <c r="H57" i="34"/>
  <c r="H61" i="34" s="1"/>
  <c r="H64" i="34" s="1"/>
  <c r="H68" i="34" s="1"/>
  <c r="G57" i="34"/>
  <c r="G61" i="34" s="1"/>
  <c r="G64" i="34" s="1"/>
  <c r="G68" i="34" s="1"/>
  <c r="F57" i="34"/>
  <c r="F61" i="34" s="1"/>
  <c r="F64" i="34" s="1"/>
  <c r="F68" i="34" s="1"/>
  <c r="E57" i="34"/>
  <c r="E61" i="34" s="1"/>
  <c r="E64" i="34" s="1"/>
  <c r="E68" i="34" s="1"/>
  <c r="D57" i="34"/>
  <c r="C57" i="34"/>
  <c r="C61" i="34" s="1"/>
  <c r="C64" i="34" s="1"/>
  <c r="C68" i="34" s="1"/>
  <c r="B57" i="34"/>
  <c r="B61" i="34" s="1"/>
  <c r="N56" i="34"/>
  <c r="N55" i="34"/>
  <c r="J51" i="34"/>
  <c r="I51" i="34"/>
  <c r="H51" i="34"/>
  <c r="G51" i="34"/>
  <c r="F51" i="34"/>
  <c r="B49" i="34"/>
  <c r="N49" i="34" s="1"/>
  <c r="R49" i="34" s="1"/>
  <c r="N48" i="34"/>
  <c r="N47" i="34"/>
  <c r="N46" i="34"/>
  <c r="R46" i="34" s="1"/>
  <c r="N45" i="34"/>
  <c r="N44" i="34"/>
  <c r="N43" i="34"/>
  <c r="M42" i="34"/>
  <c r="K42" i="34"/>
  <c r="J42" i="34"/>
  <c r="I42" i="34"/>
  <c r="H42" i="34"/>
  <c r="G42" i="34"/>
  <c r="F42" i="34"/>
  <c r="E42" i="34"/>
  <c r="D42" i="34"/>
  <c r="B42" i="34"/>
  <c r="N41" i="34"/>
  <c r="R41" i="34" s="1"/>
  <c r="J25" i="32" s="1"/>
  <c r="N40" i="34"/>
  <c r="R40" i="34" s="1"/>
  <c r="J24" i="32" s="1"/>
  <c r="J12" i="31" s="1"/>
  <c r="M15" i="31" s="1"/>
  <c r="M17" i="31" s="1"/>
  <c r="N39" i="34"/>
  <c r="R39" i="34" s="1"/>
  <c r="J23" i="32" s="1"/>
  <c r="J11" i="31" s="1"/>
  <c r="N38" i="34"/>
  <c r="N37" i="34"/>
  <c r="N36" i="34"/>
  <c r="R36" i="34" s="1"/>
  <c r="J20" i="32" s="1"/>
  <c r="N35" i="34"/>
  <c r="R35" i="34" s="1"/>
  <c r="J19" i="32" s="1"/>
  <c r="J18" i="31" s="1"/>
  <c r="M27" i="31" s="1"/>
  <c r="N34" i="34"/>
  <c r="R34" i="34" s="1"/>
  <c r="J18" i="32" s="1"/>
  <c r="J17" i="31" s="1"/>
  <c r="N33" i="34"/>
  <c r="R33" i="34" s="1"/>
  <c r="J14" i="32" s="1"/>
  <c r="K14" i="32" s="1"/>
  <c r="L32" i="34"/>
  <c r="N32" i="34" s="1"/>
  <c r="R32" i="34" s="1"/>
  <c r="J13" i="32" s="1"/>
  <c r="K13" i="32" s="1"/>
  <c r="C31" i="34"/>
  <c r="N31" i="34" s="1"/>
  <c r="R31" i="34" s="1"/>
  <c r="J12" i="32" s="1"/>
  <c r="K12" i="32" s="1"/>
  <c r="H52" i="31" s="1"/>
  <c r="J52" i="31" s="1"/>
  <c r="L30" i="34"/>
  <c r="N29" i="34"/>
  <c r="R29" i="34" s="1"/>
  <c r="J10" i="32" s="1"/>
  <c r="K10" i="32" s="1"/>
  <c r="C28" i="34"/>
  <c r="N27" i="34"/>
  <c r="N26" i="34"/>
  <c r="R26" i="34" s="1"/>
  <c r="J7" i="32" s="1"/>
  <c r="K7" i="32" s="1"/>
  <c r="H47" i="31" s="1"/>
  <c r="J47" i="31" s="1"/>
  <c r="N25" i="34"/>
  <c r="R25" i="34" s="1"/>
  <c r="J6" i="32" s="1"/>
  <c r="K6" i="32" s="1"/>
  <c r="H46" i="31" s="1"/>
  <c r="J46" i="31" s="1"/>
  <c r="N24" i="34"/>
  <c r="R24" i="34" s="1"/>
  <c r="J5" i="32" s="1"/>
  <c r="M23" i="34"/>
  <c r="K23" i="34"/>
  <c r="K52" i="34" s="1"/>
  <c r="J23" i="34"/>
  <c r="I23" i="34"/>
  <c r="H23" i="34"/>
  <c r="G23" i="34"/>
  <c r="F23" i="34"/>
  <c r="E23" i="34"/>
  <c r="D23" i="34"/>
  <c r="C23" i="34"/>
  <c r="B23" i="34"/>
  <c r="N22" i="34"/>
  <c r="R22" i="34" s="1"/>
  <c r="N21" i="34"/>
  <c r="R21" i="34" s="1"/>
  <c r="N20" i="34"/>
  <c r="N19" i="34"/>
  <c r="R19" i="34" s="1"/>
  <c r="C22" i="32" s="1"/>
  <c r="J25" i="31" s="1"/>
  <c r="M34" i="31" s="1"/>
  <c r="N18" i="34"/>
  <c r="R18" i="34" s="1"/>
  <c r="C21" i="32" s="1"/>
  <c r="J26" i="31" s="1"/>
  <c r="T35" i="31" s="1"/>
  <c r="N17" i="34"/>
  <c r="R17" i="34" s="1"/>
  <c r="C20" i="32" s="1"/>
  <c r="N16" i="34"/>
  <c r="N15" i="34"/>
  <c r="R15" i="34" s="1"/>
  <c r="C17" i="32" s="1"/>
  <c r="N14" i="34"/>
  <c r="N13" i="34"/>
  <c r="N12" i="34"/>
  <c r="R12" i="34" s="1"/>
  <c r="C12" i="32" s="1"/>
  <c r="D12" i="32" s="1"/>
  <c r="N11" i="34"/>
  <c r="R11" i="34" s="1"/>
  <c r="C10" i="32" s="1"/>
  <c r="D10" i="32" s="1"/>
  <c r="L10" i="34"/>
  <c r="N10" i="34" s="1"/>
  <c r="N9" i="34"/>
  <c r="R9" i="34" s="1"/>
  <c r="C9" i="32" s="1"/>
  <c r="D9" i="32" s="1"/>
  <c r="H40" i="31" s="1"/>
  <c r="J40" i="31" s="1"/>
  <c r="L8" i="34"/>
  <c r="N8" i="34" s="1"/>
  <c r="N7" i="34"/>
  <c r="R7" i="34" s="1"/>
  <c r="C6" i="32" s="1"/>
  <c r="D6" i="32" s="1"/>
  <c r="H37" i="31" s="1"/>
  <c r="N6" i="34"/>
  <c r="R6" i="34" s="1"/>
  <c r="C7" i="32" s="1"/>
  <c r="D7" i="32" s="1"/>
  <c r="H38" i="31" s="1"/>
  <c r="J38" i="31" s="1"/>
  <c r="N5" i="34"/>
  <c r="H41" i="31" l="1"/>
  <c r="J41" i="31" s="1"/>
  <c r="B25" i="31"/>
  <c r="H50" i="31"/>
  <c r="J50" i="31" s="1"/>
  <c r="B32" i="31"/>
  <c r="H54" i="31"/>
  <c r="J54" i="31" s="1"/>
  <c r="B36" i="31"/>
  <c r="H43" i="31"/>
  <c r="J43" i="31" s="1"/>
  <c r="B26" i="31"/>
  <c r="G52" i="34"/>
  <c r="D52" i="34"/>
  <c r="H52" i="34"/>
  <c r="H53" i="31"/>
  <c r="B35" i="31"/>
  <c r="C39" i="31"/>
  <c r="B39" i="31"/>
  <c r="V35" i="31"/>
  <c r="M35" i="31" s="1"/>
  <c r="T43" i="31"/>
  <c r="J37" i="31"/>
  <c r="M26" i="31"/>
  <c r="M28" i="31" s="1"/>
  <c r="J19" i="31"/>
  <c r="E52" i="34"/>
  <c r="I52" i="34"/>
  <c r="C15" i="31"/>
  <c r="B40" i="31"/>
  <c r="Q21" i="31" s="1"/>
  <c r="B38" i="41"/>
  <c r="N38" i="41" s="1"/>
  <c r="C42" i="39"/>
  <c r="C44" i="39" s="1"/>
  <c r="F52" i="34"/>
  <c r="J52" i="34"/>
  <c r="C53" i="35"/>
  <c r="C24" i="32"/>
  <c r="J30" i="31" s="1"/>
  <c r="M39" i="31" s="1"/>
  <c r="N57" i="34"/>
  <c r="C113" i="40"/>
  <c r="E113" i="40" s="1"/>
  <c r="E112" i="40"/>
  <c r="E53" i="40"/>
  <c r="C55" i="40"/>
  <c r="C219" i="40"/>
  <c r="C181" i="40"/>
  <c r="E181" i="40" s="1"/>
  <c r="E180" i="40"/>
  <c r="C223" i="40"/>
  <c r="E90" i="40"/>
  <c r="C92" i="40"/>
  <c r="E54" i="40"/>
  <c r="C224" i="40"/>
  <c r="F6" i="32"/>
  <c r="C46" i="31" s="1"/>
  <c r="B46" i="31"/>
  <c r="F22" i="32"/>
  <c r="C47" i="31" s="1"/>
  <c r="D22" i="32"/>
  <c r="B47" i="31" s="1"/>
  <c r="N25" i="32"/>
  <c r="C37" i="31" s="1"/>
  <c r="K25" i="32"/>
  <c r="F12" i="32"/>
  <c r="C26" i="31" s="1"/>
  <c r="N7" i="32"/>
  <c r="K18" i="32"/>
  <c r="F10" i="32"/>
  <c r="C25" i="31" s="1"/>
  <c r="N14" i="32"/>
  <c r="F9" i="32"/>
  <c r="C23" i="31" s="1"/>
  <c r="B23" i="31"/>
  <c r="F20" i="32"/>
  <c r="D20" i="32"/>
  <c r="N12" i="32"/>
  <c r="C34" i="31" s="1"/>
  <c r="N19" i="32"/>
  <c r="K19" i="32"/>
  <c r="N23" i="32"/>
  <c r="K23" i="32"/>
  <c r="B41" i="31" s="1"/>
  <c r="F17" i="32"/>
  <c r="D17" i="32"/>
  <c r="N10" i="32"/>
  <c r="C32" i="31" s="1"/>
  <c r="F7" i="32"/>
  <c r="C45" i="31" s="1"/>
  <c r="B45" i="31"/>
  <c r="F21" i="32"/>
  <c r="D21" i="32"/>
  <c r="B51" i="31" s="1"/>
  <c r="N5" i="32"/>
  <c r="K5" i="32"/>
  <c r="N13" i="32"/>
  <c r="C35" i="31" s="1"/>
  <c r="N20" i="32"/>
  <c r="K20" i="32"/>
  <c r="B63" i="31" s="1"/>
  <c r="N24" i="32"/>
  <c r="K24" i="32"/>
  <c r="B18" i="31" s="1"/>
  <c r="B20" i="31" s="1"/>
  <c r="P23" i="34"/>
  <c r="P51" i="34"/>
  <c r="C42" i="34"/>
  <c r="C52" i="34" s="1"/>
  <c r="R27" i="34"/>
  <c r="J8" i="32" s="1"/>
  <c r="K8" i="32" s="1"/>
  <c r="B64" i="34"/>
  <c r="B68" i="34" s="1"/>
  <c r="D61" i="34"/>
  <c r="D64" i="34" s="1"/>
  <c r="D68" i="34" s="1"/>
  <c r="D71" i="34" s="1"/>
  <c r="N59" i="34"/>
  <c r="R37" i="34"/>
  <c r="J21" i="32" s="1"/>
  <c r="I27" i="31" s="1"/>
  <c r="J27" i="31" s="1"/>
  <c r="M36" i="31" s="1"/>
  <c r="R44" i="34"/>
  <c r="K61" i="34"/>
  <c r="K64" i="34" s="1"/>
  <c r="K68" i="34" s="1"/>
  <c r="R48" i="34"/>
  <c r="G74" i="34"/>
  <c r="K74" i="34"/>
  <c r="N23" i="34"/>
  <c r="N28" i="34"/>
  <c r="R28" i="34" s="1"/>
  <c r="J9" i="32" s="1"/>
  <c r="K9" i="32" s="1"/>
  <c r="R20" i="34"/>
  <c r="C23" i="32" s="1"/>
  <c r="R38" i="34"/>
  <c r="J22" i="32" s="1"/>
  <c r="R43" i="34"/>
  <c r="R47" i="34"/>
  <c r="D74" i="34"/>
  <c r="H74" i="34"/>
  <c r="R45" i="34"/>
  <c r="E74" i="34"/>
  <c r="I74" i="34"/>
  <c r="L42" i="34"/>
  <c r="F74" i="34"/>
  <c r="J74" i="34"/>
  <c r="R16" i="34"/>
  <c r="C19" i="32" s="1"/>
  <c r="J22" i="31" s="1"/>
  <c r="F71" i="34"/>
  <c r="J71" i="34"/>
  <c r="J77" i="34" s="1"/>
  <c r="E71" i="34"/>
  <c r="V15" i="34"/>
  <c r="C71" i="34"/>
  <c r="G71" i="34"/>
  <c r="I71" i="34"/>
  <c r="I77" i="34" s="1"/>
  <c r="H71" i="34"/>
  <c r="H77" i="34" s="1"/>
  <c r="L71" i="34"/>
  <c r="L23" i="34"/>
  <c r="N50" i="34"/>
  <c r="R50" i="34" s="1"/>
  <c r="B51" i="34"/>
  <c r="B74" i="34" s="1"/>
  <c r="N30" i="34"/>
  <c r="R5" i="34"/>
  <c r="C5" i="32" s="1"/>
  <c r="J7" i="31" s="1"/>
  <c r="C51" i="31"/>
  <c r="J23" i="31" l="1"/>
  <c r="B50" i="31"/>
  <c r="H48" i="31"/>
  <c r="J48" i="31" s="1"/>
  <c r="B30" i="31"/>
  <c r="J29" i="31"/>
  <c r="M38" i="31" s="1"/>
  <c r="B61" i="31"/>
  <c r="J13" i="31"/>
  <c r="M20" i="31" s="1"/>
  <c r="B66" i="31"/>
  <c r="H49" i="31"/>
  <c r="J49" i="31" s="1"/>
  <c r="B31" i="31"/>
  <c r="H45" i="31"/>
  <c r="J45" i="31" s="1"/>
  <c r="B58" i="31"/>
  <c r="L52" i="34"/>
  <c r="V21" i="31"/>
  <c r="M21" i="31" s="1"/>
  <c r="Q18" i="31"/>
  <c r="R31" i="31"/>
  <c r="D24" i="32"/>
  <c r="B53" i="31" s="1"/>
  <c r="B48" i="41"/>
  <c r="N48" i="41" s="1"/>
  <c r="B49" i="41"/>
  <c r="N49" i="41" s="1"/>
  <c r="B43" i="41"/>
  <c r="N43" i="41" s="1"/>
  <c r="B55" i="41"/>
  <c r="N55" i="41" s="1"/>
  <c r="B24" i="41"/>
  <c r="N24" i="41" s="1"/>
  <c r="B35" i="41"/>
  <c r="N35" i="41" s="1"/>
  <c r="B54" i="41"/>
  <c r="N54" i="41" s="1"/>
  <c r="N56" i="41" s="1"/>
  <c r="B34" i="41"/>
  <c r="N34" i="41" s="1"/>
  <c r="B34" i="31"/>
  <c r="B33" i="41"/>
  <c r="N33" i="41" s="1"/>
  <c r="B31" i="41"/>
  <c r="N31" i="41" s="1"/>
  <c r="B25" i="41"/>
  <c r="N25" i="41" s="1"/>
  <c r="B44" i="41"/>
  <c r="N44" i="41" s="1"/>
  <c r="B22" i="41"/>
  <c r="C74" i="34"/>
  <c r="N61" i="34"/>
  <c r="N64" i="34" s="1"/>
  <c r="N68" i="34" s="1"/>
  <c r="N71" i="34" s="1"/>
  <c r="P52" i="34"/>
  <c r="B52" i="34"/>
  <c r="E55" i="40"/>
  <c r="C225" i="40"/>
  <c r="C226" i="40" s="1"/>
  <c r="C56" i="40"/>
  <c r="E56" i="40" s="1"/>
  <c r="E92" i="40"/>
  <c r="C93" i="40"/>
  <c r="E93" i="40" s="1"/>
  <c r="K22" i="32"/>
  <c r="B60" i="31"/>
  <c r="F19" i="32"/>
  <c r="D19" i="32"/>
  <c r="B49" i="31" s="1"/>
  <c r="F23" i="32"/>
  <c r="C48" i="31" s="1"/>
  <c r="D23" i="32"/>
  <c r="N21" i="32"/>
  <c r="K21" i="32"/>
  <c r="B64" i="31" s="1"/>
  <c r="N8" i="32"/>
  <c r="C30" i="31" s="1"/>
  <c r="C60" i="31"/>
  <c r="B70" i="31"/>
  <c r="F5" i="32"/>
  <c r="D5" i="32"/>
  <c r="N9" i="32"/>
  <c r="B30" i="41"/>
  <c r="N30" i="41" s="1"/>
  <c r="C18" i="31"/>
  <c r="B59" i="31"/>
  <c r="J26" i="32"/>
  <c r="K26" i="32" s="1"/>
  <c r="B71" i="34"/>
  <c r="B76" i="34" s="1"/>
  <c r="B77" i="34" s="1"/>
  <c r="K71" i="34"/>
  <c r="L74" i="34"/>
  <c r="M51" i="34"/>
  <c r="N42" i="34"/>
  <c r="E54" i="31"/>
  <c r="E56" i="31"/>
  <c r="E47" i="31"/>
  <c r="E50" i="31" s="1"/>
  <c r="E31" i="31"/>
  <c r="F9" i="33"/>
  <c r="F6" i="33"/>
  <c r="M29" i="32"/>
  <c r="C25" i="32"/>
  <c r="D25" i="32" s="1"/>
  <c r="D41" i="32" s="1"/>
  <c r="E24" i="32"/>
  <c r="M22" i="32"/>
  <c r="N22" i="32" s="1"/>
  <c r="M18" i="32"/>
  <c r="N18" i="32" s="1"/>
  <c r="E14" i="32"/>
  <c r="M11" i="32"/>
  <c r="M6" i="32"/>
  <c r="N6" i="32" s="1"/>
  <c r="B67" i="31" l="1"/>
  <c r="J24" i="31"/>
  <c r="B48" i="31"/>
  <c r="B54" i="31" s="1"/>
  <c r="J31" i="31"/>
  <c r="M40" i="31" s="1"/>
  <c r="B65" i="31"/>
  <c r="V31" i="31"/>
  <c r="M31" i="31" s="1"/>
  <c r="R43" i="31"/>
  <c r="Q43" i="31"/>
  <c r="I53" i="31"/>
  <c r="V18" i="31"/>
  <c r="B56" i="41"/>
  <c r="B46" i="41"/>
  <c r="N46" i="41" s="1"/>
  <c r="N50" i="41" s="1"/>
  <c r="B47" i="41"/>
  <c r="N47" i="41" s="1"/>
  <c r="B29" i="41"/>
  <c r="N29" i="41" s="1"/>
  <c r="N22" i="41"/>
  <c r="M74" i="34"/>
  <c r="M52" i="34"/>
  <c r="C31" i="31"/>
  <c r="C59" i="31"/>
  <c r="C67" i="31" s="1"/>
  <c r="E25" i="32"/>
  <c r="E31" i="32" s="1"/>
  <c r="F24" i="32"/>
  <c r="C53" i="31" s="1"/>
  <c r="C54" i="31" s="1"/>
  <c r="E57" i="31"/>
  <c r="M26" i="32"/>
  <c r="F11" i="33"/>
  <c r="F16" i="33" s="1"/>
  <c r="F22" i="33" s="1"/>
  <c r="N51" i="34"/>
  <c r="N74" i="34" s="1"/>
  <c r="M15" i="32"/>
  <c r="U33" i="31" l="1"/>
  <c r="I56" i="31"/>
  <c r="J53" i="31"/>
  <c r="B50" i="41"/>
  <c r="F28" i="33"/>
  <c r="F35" i="33"/>
  <c r="N52" i="34"/>
  <c r="M27" i="32"/>
  <c r="M31" i="32" s="1"/>
  <c r="M38" i="32" s="1"/>
  <c r="E6" i="31"/>
  <c r="E19" i="31" s="1"/>
  <c r="E36" i="31" s="1"/>
  <c r="E40" i="31" s="1"/>
  <c r="E64" i="31" s="1"/>
  <c r="E66" i="31" s="1"/>
  <c r="R51" i="34"/>
  <c r="J29" i="32" s="1"/>
  <c r="AC11" i="30"/>
  <c r="AC27" i="30" s="1"/>
  <c r="AC5" i="30"/>
  <c r="AC3" i="30"/>
  <c r="V33" i="31" l="1"/>
  <c r="M33" i="31" s="1"/>
  <c r="U43" i="31"/>
  <c r="N29" i="32"/>
  <c r="E38" i="32"/>
  <c r="AC4" i="30"/>
  <c r="AA10" i="30"/>
  <c r="AG10" i="30" s="1"/>
  <c r="Q25" i="30" l="1"/>
  <c r="Q37" i="30" s="1"/>
  <c r="Q13" i="30"/>
  <c r="AC8" i="30"/>
  <c r="O16" i="30"/>
  <c r="Q22" i="30" l="1"/>
  <c r="Q34" i="30" s="1"/>
  <c r="Q27" i="30"/>
  <c r="Q39" i="30" s="1"/>
  <c r="Q19" i="30"/>
  <c r="Q23" i="30"/>
  <c r="Q35" i="30" s="1"/>
  <c r="Q20" i="30"/>
  <c r="Q32" i="30" s="1"/>
  <c r="Q24" i="30"/>
  <c r="Q36" i="30" s="1"/>
  <c r="Q21" i="30"/>
  <c r="Q33" i="30" s="1"/>
  <c r="K11" i="30"/>
  <c r="K13" i="30" s="1"/>
  <c r="I16" i="30"/>
  <c r="I22" i="30" s="1"/>
  <c r="I34" i="30" s="1"/>
  <c r="I11" i="30"/>
  <c r="Y27" i="30"/>
  <c r="Y25" i="30"/>
  <c r="Y37" i="30" s="1"/>
  <c r="Y24" i="30"/>
  <c r="Y36" i="30" s="1"/>
  <c r="Y23" i="30"/>
  <c r="Y22" i="30"/>
  <c r="Y34" i="30" s="1"/>
  <c r="Y21" i="30"/>
  <c r="Y33" i="30" s="1"/>
  <c r="Y20" i="30"/>
  <c r="Y32" i="30" s="1"/>
  <c r="Y19" i="30"/>
  <c r="W27" i="30"/>
  <c r="W39" i="30" s="1"/>
  <c r="W24" i="30"/>
  <c r="W36" i="30" s="1"/>
  <c r="W23" i="30"/>
  <c r="W35" i="30" s="1"/>
  <c r="W22" i="30"/>
  <c r="W34" i="30" s="1"/>
  <c r="W21" i="30"/>
  <c r="W33" i="30" s="1"/>
  <c r="W19" i="30"/>
  <c r="W31" i="30" s="1"/>
  <c r="U27" i="30"/>
  <c r="U39" i="30" s="1"/>
  <c r="U25" i="30"/>
  <c r="U37" i="30" s="1"/>
  <c r="U24" i="30"/>
  <c r="U36" i="30" s="1"/>
  <c r="U23" i="30"/>
  <c r="U35" i="30" s="1"/>
  <c r="U22" i="30"/>
  <c r="U34" i="30" s="1"/>
  <c r="U21" i="30"/>
  <c r="U33" i="30" s="1"/>
  <c r="U19" i="30"/>
  <c r="U31" i="30" s="1"/>
  <c r="O27" i="30"/>
  <c r="O25" i="30"/>
  <c r="O37" i="30" s="1"/>
  <c r="O23" i="30"/>
  <c r="O35" i="30" s="1"/>
  <c r="O22" i="30"/>
  <c r="O34" i="30" s="1"/>
  <c r="O21" i="30"/>
  <c r="O33" i="30" s="1"/>
  <c r="O20" i="30"/>
  <c r="O32" i="30" s="1"/>
  <c r="O19" i="30"/>
  <c r="M27" i="30"/>
  <c r="M39" i="30" s="1"/>
  <c r="M25" i="30"/>
  <c r="M37" i="30" s="1"/>
  <c r="M36" i="30"/>
  <c r="M23" i="30"/>
  <c r="M35" i="30" s="1"/>
  <c r="M22" i="30"/>
  <c r="M34" i="30" s="1"/>
  <c r="M21" i="30"/>
  <c r="M33" i="30" s="1"/>
  <c r="M32" i="30"/>
  <c r="M19" i="30"/>
  <c r="M31" i="30" s="1"/>
  <c r="K25" i="30"/>
  <c r="K37" i="30" s="1"/>
  <c r="K24" i="30"/>
  <c r="K36" i="30" s="1"/>
  <c r="K23" i="30"/>
  <c r="K22" i="30"/>
  <c r="K34" i="30" s="1"/>
  <c r="K33" i="30"/>
  <c r="K19" i="30"/>
  <c r="K31" i="30" s="1"/>
  <c r="E39" i="30"/>
  <c r="E25" i="30"/>
  <c r="E24" i="30"/>
  <c r="E36" i="30" s="1"/>
  <c r="E23" i="30"/>
  <c r="E22" i="30"/>
  <c r="E34" i="30" s="1"/>
  <c r="E21" i="30"/>
  <c r="E19" i="30"/>
  <c r="E31" i="30" s="1"/>
  <c r="C27" i="30"/>
  <c r="C25" i="30"/>
  <c r="C37" i="30" s="1"/>
  <c r="C24" i="30"/>
  <c r="C23" i="30"/>
  <c r="C35" i="30" s="1"/>
  <c r="C22" i="30"/>
  <c r="C21" i="30"/>
  <c r="C33" i="30" s="1"/>
  <c r="C20" i="30"/>
  <c r="C19" i="30"/>
  <c r="C31" i="30" s="1"/>
  <c r="AE13" i="30"/>
  <c r="AC13" i="30"/>
  <c r="E29" i="19"/>
  <c r="S16" i="30"/>
  <c r="S27" i="30" s="1"/>
  <c r="S39" i="30" s="1"/>
  <c r="Y13" i="30"/>
  <c r="W13" i="30"/>
  <c r="U13" i="30"/>
  <c r="S13" i="30"/>
  <c r="AA9" i="30"/>
  <c r="AA8" i="30"/>
  <c r="AG8" i="30" s="1"/>
  <c r="AA7" i="30"/>
  <c r="AG7" i="30" s="1"/>
  <c r="AA6" i="30"/>
  <c r="AG6" i="30" s="1"/>
  <c r="AA5" i="30"/>
  <c r="AG5" i="30" s="1"/>
  <c r="AA4" i="30"/>
  <c r="AA3" i="30"/>
  <c r="G16" i="30"/>
  <c r="G22" i="30" s="1"/>
  <c r="G34" i="30" s="1"/>
  <c r="G13" i="30"/>
  <c r="O13" i="30"/>
  <c r="M13" i="30"/>
  <c r="I13" i="30"/>
  <c r="E13" i="30"/>
  <c r="C13" i="30"/>
  <c r="K32" i="30"/>
  <c r="AE25" i="30"/>
  <c r="W37" i="30"/>
  <c r="AE24" i="30"/>
  <c r="AC24" i="30"/>
  <c r="O36" i="30"/>
  <c r="AE23" i="30"/>
  <c r="AC23" i="30"/>
  <c r="Y35" i="30"/>
  <c r="K35" i="30"/>
  <c r="AE22" i="30"/>
  <c r="AC22" i="30"/>
  <c r="AE21" i="30"/>
  <c r="AC21" i="30"/>
  <c r="AE20" i="30"/>
  <c r="W32" i="30"/>
  <c r="U32" i="30"/>
  <c r="G32" i="30"/>
  <c r="AE19" i="30"/>
  <c r="Y31" i="30"/>
  <c r="AC25" i="30"/>
  <c r="AC20" i="30"/>
  <c r="K27" i="30" l="1"/>
  <c r="K39" i="30" s="1"/>
  <c r="K40" i="30" s="1"/>
  <c r="I19" i="30"/>
  <c r="I23" i="30"/>
  <c r="I35" i="30" s="1"/>
  <c r="I27" i="30"/>
  <c r="I39" i="30" s="1"/>
  <c r="Q31" i="30"/>
  <c r="Q40" i="30" s="1"/>
  <c r="Q28" i="30"/>
  <c r="I21" i="30"/>
  <c r="I33" i="30" s="1"/>
  <c r="I25" i="30"/>
  <c r="I37" i="30" s="1"/>
  <c r="I20" i="30"/>
  <c r="I32" i="30" s="1"/>
  <c r="I36" i="30"/>
  <c r="S23" i="30"/>
  <c r="S35" i="30" s="1"/>
  <c r="S19" i="30"/>
  <c r="S20" i="30"/>
  <c r="S32" i="30" s="1"/>
  <c r="S24" i="30"/>
  <c r="S36" i="30" s="1"/>
  <c r="AA11" i="30"/>
  <c r="AA13" i="30" s="1"/>
  <c r="S21" i="30"/>
  <c r="S33" i="30" s="1"/>
  <c r="S25" i="30"/>
  <c r="S37" i="30" s="1"/>
  <c r="S22" i="30"/>
  <c r="S34" i="30" s="1"/>
  <c r="AA22" i="30"/>
  <c r="AG22" i="30" s="1"/>
  <c r="G27" i="30"/>
  <c r="G39" i="30" s="1"/>
  <c r="G19" i="30"/>
  <c r="G31" i="30" s="1"/>
  <c r="G24" i="30"/>
  <c r="G36" i="30" s="1"/>
  <c r="G23" i="30"/>
  <c r="G35" i="30" s="1"/>
  <c r="AG4" i="30"/>
  <c r="G21" i="30"/>
  <c r="G33" i="30" s="1"/>
  <c r="G25" i="30"/>
  <c r="G37" i="30" s="1"/>
  <c r="AG9" i="30"/>
  <c r="U40" i="30"/>
  <c r="W40" i="30"/>
  <c r="M40" i="30"/>
  <c r="C32" i="30"/>
  <c r="E28" i="30"/>
  <c r="W28" i="30"/>
  <c r="E33" i="30"/>
  <c r="E35" i="30"/>
  <c r="E37" i="30"/>
  <c r="AG3" i="30"/>
  <c r="O28" i="30"/>
  <c r="C36" i="30"/>
  <c r="O31" i="30"/>
  <c r="Y28" i="30"/>
  <c r="I31" i="30"/>
  <c r="S31" i="30"/>
  <c r="AC19" i="30"/>
  <c r="C39" i="30"/>
  <c r="M28" i="30"/>
  <c r="C34" i="30"/>
  <c r="C28" i="30"/>
  <c r="K28" i="30"/>
  <c r="U28" i="30"/>
  <c r="AA20" i="30" l="1"/>
  <c r="AG20" i="30" s="1"/>
  <c r="S28" i="30"/>
  <c r="I40" i="30"/>
  <c r="U42" i="30"/>
  <c r="U44" i="30" s="1"/>
  <c r="Q42" i="30"/>
  <c r="Q44" i="30" s="1"/>
  <c r="I28" i="30"/>
  <c r="AG11" i="30"/>
  <c r="AG13" i="30" s="1"/>
  <c r="S40" i="30"/>
  <c r="AA36" i="30"/>
  <c r="AG36" i="30" s="1"/>
  <c r="AA33" i="30"/>
  <c r="AG33" i="30" s="1"/>
  <c r="AA25" i="30"/>
  <c r="AG25" i="30" s="1"/>
  <c r="AA31" i="30"/>
  <c r="AA19" i="30"/>
  <c r="AG19" i="30" s="1"/>
  <c r="AA24" i="30"/>
  <c r="AG24" i="30" s="1"/>
  <c r="AA35" i="30"/>
  <c r="AG35" i="30" s="1"/>
  <c r="AA34" i="30"/>
  <c r="AG34" i="30" s="1"/>
  <c r="AA32" i="30"/>
  <c r="AG32" i="30" s="1"/>
  <c r="AA21" i="30"/>
  <c r="AG21" i="30" s="1"/>
  <c r="AA23" i="30"/>
  <c r="AG23" i="30" s="1"/>
  <c r="AA37" i="30"/>
  <c r="AG37" i="30" s="1"/>
  <c r="AA27" i="30"/>
  <c r="AG27" i="30" s="1"/>
  <c r="W42" i="30"/>
  <c r="W44" i="30" s="1"/>
  <c r="O39" i="30"/>
  <c r="G40" i="30"/>
  <c r="Y39" i="30"/>
  <c r="Y40" i="30" s="1"/>
  <c r="Y42" i="30" s="1"/>
  <c r="Y44" i="30" s="1"/>
  <c r="G28" i="30"/>
  <c r="K42" i="30"/>
  <c r="K44" i="30" s="1"/>
  <c r="E40" i="30"/>
  <c r="E42" i="30" s="1"/>
  <c r="E44" i="30" s="1"/>
  <c r="M42" i="30"/>
  <c r="M44" i="30" s="1"/>
  <c r="C40" i="30"/>
  <c r="C42" i="30" s="1"/>
  <c r="C44" i="30" s="1"/>
  <c r="S42" i="30" l="1"/>
  <c r="S44" i="30" s="1"/>
  <c r="I42" i="30"/>
  <c r="I44" i="30" s="1"/>
  <c r="G42" i="30"/>
  <c r="G44" i="30" s="1"/>
  <c r="AA39" i="30"/>
  <c r="AG39" i="30" s="1"/>
  <c r="O40" i="30"/>
  <c r="O42" i="30" s="1"/>
  <c r="O44" i="30" s="1"/>
  <c r="AA28" i="30"/>
  <c r="AG28" i="30"/>
  <c r="AG31" i="30"/>
  <c r="AG40" i="30" l="1"/>
  <c r="AA40" i="30"/>
  <c r="S55" i="2" l="1"/>
  <c r="S54" i="2"/>
  <c r="AB64" i="2" l="1"/>
  <c r="AE54" i="2" l="1"/>
  <c r="AI54" i="2" s="1"/>
  <c r="AE27" i="2"/>
  <c r="AI27" i="2" s="1"/>
  <c r="AE39" i="2"/>
  <c r="AI39" i="2" s="1"/>
  <c r="AE32" i="2"/>
  <c r="AE29" i="2"/>
  <c r="AI29" i="2" s="1"/>
  <c r="E30" i="19" l="1"/>
  <c r="Q13" i="34" s="1"/>
  <c r="R13" i="34" s="1"/>
  <c r="C13" i="32" s="1"/>
  <c r="D13" i="32" s="1"/>
  <c r="D26" i="19"/>
  <c r="P55" i="34" s="1"/>
  <c r="P57" i="34" s="1"/>
  <c r="E33" i="16"/>
  <c r="D29" i="16"/>
  <c r="D32" i="16"/>
  <c r="W169" i="17"/>
  <c r="P60" i="34" s="1"/>
  <c r="P61" i="34" s="1"/>
  <c r="P64" i="34" s="1"/>
  <c r="P68" i="34" s="1"/>
  <c r="P71" i="34" s="1"/>
  <c r="X146" i="17"/>
  <c r="X148" i="17" s="1"/>
  <c r="H44" i="31" l="1"/>
  <c r="J44" i="31" s="1"/>
  <c r="B27" i="31"/>
  <c r="F13" i="32"/>
  <c r="C27" i="31" s="1"/>
  <c r="AH13" i="2"/>
  <c r="P76" i="34"/>
  <c r="S63" i="34"/>
  <c r="R55" i="34"/>
  <c r="D3" i="33" s="1"/>
  <c r="E16" i="19"/>
  <c r="B26" i="41" l="1"/>
  <c r="N26" i="41" s="1"/>
  <c r="E8" i="19"/>
  <c r="K10" i="18" l="1"/>
  <c r="K201" i="18" s="1"/>
  <c r="K208" i="18" l="1"/>
  <c r="K203" i="18"/>
  <c r="C190" i="18"/>
  <c r="C149" i="18"/>
  <c r="C148" i="18"/>
  <c r="C143" i="18"/>
  <c r="C80" i="18"/>
  <c r="C79" i="18"/>
  <c r="C62" i="18"/>
  <c r="C61" i="18"/>
  <c r="C41" i="18"/>
  <c r="C46" i="18"/>
  <c r="C45" i="18"/>
  <c r="C26" i="18"/>
  <c r="W45" i="17"/>
  <c r="E34" i="16" l="1"/>
  <c r="Q14" i="34" s="1"/>
  <c r="R14" i="34" s="1"/>
  <c r="D30" i="16"/>
  <c r="N16" i="17" l="1"/>
  <c r="M161" i="18" l="1"/>
  <c r="M202" i="18" s="1"/>
  <c r="M203" i="18" s="1"/>
  <c r="M162" i="18" l="1"/>
  <c r="N160" i="18" s="1"/>
  <c r="S68" i="2"/>
  <c r="S47" i="2"/>
  <c r="N161" i="18" l="1"/>
  <c r="AC34" i="2"/>
  <c r="AC36" i="2"/>
  <c r="AC10" i="2"/>
  <c r="AC8" i="2"/>
  <c r="R18" i="23" l="1"/>
  <c r="R37" i="23"/>
  <c r="N35" i="23"/>
  <c r="R35" i="23" s="1"/>
  <c r="P33" i="23"/>
  <c r="R33" i="23" s="1"/>
  <c r="N31" i="23"/>
  <c r="R31" i="23" s="1"/>
  <c r="R29" i="23"/>
  <c r="L26" i="23"/>
  <c r="L39" i="23" s="1"/>
  <c r="J26" i="23"/>
  <c r="J39" i="23" s="1"/>
  <c r="H26" i="23"/>
  <c r="H39" i="23" s="1"/>
  <c r="F26" i="23"/>
  <c r="F39" i="23" s="1"/>
  <c r="D26" i="23"/>
  <c r="D39" i="23" s="1"/>
  <c r="B26" i="23"/>
  <c r="B39" i="23" s="1"/>
  <c r="R24" i="23"/>
  <c r="R22" i="23"/>
  <c r="P20" i="23"/>
  <c r="P26" i="23" s="1"/>
  <c r="R16" i="23"/>
  <c r="R14" i="23"/>
  <c r="R12" i="23"/>
  <c r="R10" i="23"/>
  <c r="R8" i="23"/>
  <c r="R6" i="23"/>
  <c r="P39" i="23" l="1"/>
  <c r="R20" i="23"/>
  <c r="R26" i="23" s="1"/>
  <c r="N26" i="23"/>
  <c r="N39" i="23" s="1"/>
  <c r="R39" i="23" l="1"/>
  <c r="E28" i="19" l="1"/>
  <c r="Q59" i="34" s="1"/>
  <c r="R59" i="34" s="1"/>
  <c r="D9" i="33" s="1"/>
  <c r="D54" i="21"/>
  <c r="D44" i="21"/>
  <c r="D21" i="21"/>
  <c r="D10" i="21"/>
  <c r="D28" i="21"/>
  <c r="AH64" i="2" l="1"/>
  <c r="D27" i="21"/>
  <c r="AG22" i="2"/>
  <c r="X73" i="17"/>
  <c r="X169" i="17" s="1"/>
  <c r="X75" i="17" l="1"/>
  <c r="W75" i="17"/>
  <c r="Q60" i="34" l="1"/>
  <c r="AH65" i="2"/>
  <c r="D8" i="21"/>
  <c r="E35" i="16"/>
  <c r="D9" i="21"/>
  <c r="AH10" i="2" l="1"/>
  <c r="Q10" i="34"/>
  <c r="R10" i="34" s="1"/>
  <c r="C11" i="32" s="1"/>
  <c r="D11" i="32" s="1"/>
  <c r="R60" i="34"/>
  <c r="D14" i="33" s="1"/>
  <c r="D41" i="21"/>
  <c r="H42" i="31" l="1"/>
  <c r="J42" i="31" s="1"/>
  <c r="B24" i="31"/>
  <c r="F11" i="32"/>
  <c r="C24" i="31" s="1"/>
  <c r="D34" i="22"/>
  <c r="F7" i="22"/>
  <c r="F12" i="22" s="1"/>
  <c r="F16" i="22" s="1"/>
  <c r="F20" i="22" s="1"/>
  <c r="F28" i="22" s="1"/>
  <c r="F32" i="22" s="1"/>
  <c r="D7" i="22"/>
  <c r="D12" i="22" s="1"/>
  <c r="D16" i="22" s="1"/>
  <c r="D20" i="22" s="1"/>
  <c r="D28" i="22" s="1"/>
  <c r="D67" i="21"/>
  <c r="D70" i="21" s="1"/>
  <c r="F67" i="21"/>
  <c r="F70" i="21" s="1"/>
  <c r="F59" i="21"/>
  <c r="F60" i="21" s="1"/>
  <c r="F72" i="21" s="1"/>
  <c r="D59" i="21"/>
  <c r="F48" i="21"/>
  <c r="F28" i="21"/>
  <c r="F29" i="21" s="1"/>
  <c r="D29" i="21"/>
  <c r="F7" i="21"/>
  <c r="F6" i="21"/>
  <c r="B23" i="41" l="1"/>
  <c r="N23" i="41" s="1"/>
  <c r="F34" i="22"/>
  <c r="H32" i="22"/>
  <c r="F15" i="21"/>
  <c r="F30" i="21" s="1"/>
  <c r="F75" i="21" s="1"/>
  <c r="D48" i="21"/>
  <c r="D60" i="21" s="1"/>
  <c r="D72" i="21" s="1"/>
  <c r="D15" i="21"/>
  <c r="D30" i="21" s="1"/>
  <c r="D75" i="21" l="1"/>
  <c r="AO52" i="2" l="1"/>
  <c r="AK62" i="2"/>
  <c r="AK66" i="2" s="1"/>
  <c r="AK69" i="2" s="1"/>
  <c r="AK58" i="2"/>
  <c r="AK47" i="2"/>
  <c r="AK26" i="2"/>
  <c r="AM20" i="2"/>
  <c r="AM19" i="2"/>
  <c r="AO49" i="2" l="1"/>
  <c r="AK73" i="2"/>
  <c r="AK76" i="2" s="1"/>
  <c r="N43" i="2" l="1"/>
  <c r="R43" i="2" s="1"/>
  <c r="N42" i="2"/>
  <c r="R42" i="2" s="1"/>
  <c r="N40" i="2"/>
  <c r="R40" i="2" s="1"/>
  <c r="N32" i="2"/>
  <c r="R32" i="2" s="1"/>
  <c r="N21" i="2"/>
  <c r="R21" i="2" s="1"/>
  <c r="N15" i="2"/>
  <c r="R15" i="2" s="1"/>
  <c r="N75" i="2"/>
  <c r="C72" i="2"/>
  <c r="C68" i="2"/>
  <c r="C65" i="2"/>
  <c r="C64" i="2"/>
  <c r="C61" i="2"/>
  <c r="C60" i="2"/>
  <c r="C57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2" i="2"/>
  <c r="C31" i="2"/>
  <c r="C30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2" i="2"/>
  <c r="B66" i="2" s="1"/>
  <c r="B69" i="2" s="1"/>
  <c r="B73" i="2" s="1"/>
  <c r="B76" i="2" s="1"/>
  <c r="B55" i="2"/>
  <c r="B58" i="2" s="1"/>
  <c r="B47" i="2"/>
  <c r="B26" i="2"/>
  <c r="C55" i="2" l="1"/>
  <c r="R75" i="2"/>
  <c r="B79" i="2"/>
  <c r="AG60" i="2" l="1"/>
  <c r="AL68" i="2" l="1"/>
  <c r="O18" i="17"/>
  <c r="Q18" i="17" s="1"/>
  <c r="X56" i="17"/>
  <c r="C10" i="18"/>
  <c r="C4" i="18"/>
  <c r="X47" i="17" l="1"/>
  <c r="X164" i="17" s="1"/>
  <c r="AH19" i="2" s="1"/>
  <c r="AM8" i="2" l="1"/>
  <c r="E5" i="19" l="1"/>
  <c r="D23" i="19"/>
  <c r="E19" i="19"/>
  <c r="AE48" i="2"/>
  <c r="D193" i="18"/>
  <c r="E190" i="18"/>
  <c r="E189" i="18"/>
  <c r="E188" i="18"/>
  <c r="L185" i="18"/>
  <c r="F183" i="18" s="1"/>
  <c r="E187" i="18"/>
  <c r="L186" i="18"/>
  <c r="G183" i="18" s="1"/>
  <c r="E186" i="18"/>
  <c r="E185" i="18"/>
  <c r="E184" i="18"/>
  <c r="AE75" i="2"/>
  <c r="AE72" i="2"/>
  <c r="AE68" i="2"/>
  <c r="AE65" i="2"/>
  <c r="AE64" i="2"/>
  <c r="AE61" i="2"/>
  <c r="AE60" i="2"/>
  <c r="AE57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0" i="2"/>
  <c r="AE28" i="2"/>
  <c r="AE25" i="2"/>
  <c r="AE24" i="2"/>
  <c r="AE23" i="2"/>
  <c r="AE22" i="2"/>
  <c r="AE21" i="2"/>
  <c r="AE20" i="2"/>
  <c r="AE19" i="2"/>
  <c r="AE18" i="2"/>
  <c r="AE16" i="2"/>
  <c r="AE15" i="2"/>
  <c r="AE14" i="2"/>
  <c r="AE13" i="2"/>
  <c r="AE12" i="2"/>
  <c r="AE11" i="2"/>
  <c r="AE10" i="2"/>
  <c r="AE9" i="2"/>
  <c r="AE8" i="2"/>
  <c r="AE7" i="2"/>
  <c r="AE6" i="2"/>
  <c r="AE5" i="2"/>
  <c r="AD62" i="2"/>
  <c r="AD66" i="2" s="1"/>
  <c r="AD69" i="2" s="1"/>
  <c r="AD73" i="2" s="1"/>
  <c r="AD76" i="2" s="1"/>
  <c r="AD56" i="2" s="1"/>
  <c r="D213" i="40" s="1"/>
  <c r="AD47" i="2"/>
  <c r="AD26" i="2"/>
  <c r="E36" i="16"/>
  <c r="AH15" i="2"/>
  <c r="AG42" i="2"/>
  <c r="I213" i="40" l="1"/>
  <c r="D215" i="40"/>
  <c r="E213" i="40"/>
  <c r="F185" i="18"/>
  <c r="G185" i="18"/>
  <c r="F189" i="18"/>
  <c r="G189" i="18"/>
  <c r="F184" i="18"/>
  <c r="G184" i="18"/>
  <c r="F186" i="18"/>
  <c r="G186" i="18"/>
  <c r="F187" i="18"/>
  <c r="G187" i="18"/>
  <c r="F188" i="18"/>
  <c r="G188" i="18"/>
  <c r="X196" i="17"/>
  <c r="G190" i="18"/>
  <c r="F190" i="18"/>
  <c r="Q8" i="34"/>
  <c r="Q8" i="36"/>
  <c r="Q23" i="36" s="1"/>
  <c r="M76" i="34"/>
  <c r="M77" i="34" s="1"/>
  <c r="M78" i="34" s="1"/>
  <c r="Q23" i="34"/>
  <c r="R8" i="34"/>
  <c r="E27" i="19"/>
  <c r="Q56" i="34" s="1"/>
  <c r="Q57" i="34" s="1"/>
  <c r="Q61" i="34" s="1"/>
  <c r="Q64" i="34" s="1"/>
  <c r="Q68" i="34" s="1"/>
  <c r="Q71" i="34" s="1"/>
  <c r="AD58" i="2"/>
  <c r="AD79" i="2" s="1"/>
  <c r="C191" i="18"/>
  <c r="AD81" i="2"/>
  <c r="AD82" i="2" s="1"/>
  <c r="AE17" i="2"/>
  <c r="AE26" i="2" s="1"/>
  <c r="E23" i="19"/>
  <c r="P53" i="34" l="1"/>
  <c r="P74" i="34" s="1"/>
  <c r="D216" i="40"/>
  <c r="D217" i="40"/>
  <c r="I217" i="40" s="1"/>
  <c r="K213" i="40"/>
  <c r="J213" i="40"/>
  <c r="I215" i="40"/>
  <c r="M78" i="36"/>
  <c r="M79" i="36" s="1"/>
  <c r="R23" i="34"/>
  <c r="C8" i="32"/>
  <c r="R8" i="36"/>
  <c r="Q76" i="34"/>
  <c r="R56" i="34"/>
  <c r="S62" i="34"/>
  <c r="S64" i="34" s="1"/>
  <c r="AH61" i="2"/>
  <c r="C193" i="18"/>
  <c r="E191" i="18"/>
  <c r="AI75" i="2"/>
  <c r="AJ75" i="2" s="1"/>
  <c r="AI42" i="2"/>
  <c r="AJ42" i="2" s="1"/>
  <c r="AI15" i="2"/>
  <c r="AJ15" i="2" s="1"/>
  <c r="D218" i="40" l="1"/>
  <c r="I216" i="40"/>
  <c r="D223" i="40"/>
  <c r="E216" i="40"/>
  <c r="D224" i="40"/>
  <c r="E217" i="40"/>
  <c r="G191" i="18"/>
  <c r="F191" i="18"/>
  <c r="F8" i="32"/>
  <c r="C22" i="31" s="1"/>
  <c r="C14" i="32"/>
  <c r="R57" i="34"/>
  <c r="R61" i="34" s="1"/>
  <c r="R64" i="34" s="1"/>
  <c r="R68" i="34" s="1"/>
  <c r="R71" i="34" s="1"/>
  <c r="D4" i="33"/>
  <c r="D6" i="33" s="1"/>
  <c r="D11" i="33" s="1"/>
  <c r="D16" i="33" s="1"/>
  <c r="B8" i="32"/>
  <c r="D8" i="32" s="1"/>
  <c r="R23" i="36"/>
  <c r="AH81" i="2"/>
  <c r="AL67" i="2"/>
  <c r="AL69" i="2" s="1"/>
  <c r="X197" i="17"/>
  <c r="E193" i="18"/>
  <c r="E37" i="16"/>
  <c r="AH8" i="2"/>
  <c r="AH9" i="2"/>
  <c r="AG30" i="2"/>
  <c r="AG41" i="2"/>
  <c r="H39" i="31" l="1"/>
  <c r="J39" i="31" s="1"/>
  <c r="B22" i="31"/>
  <c r="C31" i="32"/>
  <c r="I224" i="40"/>
  <c r="E224" i="40"/>
  <c r="I223" i="40"/>
  <c r="E223" i="40"/>
  <c r="I218" i="40"/>
  <c r="E218" i="40"/>
  <c r="D219" i="40"/>
  <c r="E219" i="40" s="1"/>
  <c r="D22" i="33"/>
  <c r="D28" i="33" s="1"/>
  <c r="C6" i="31"/>
  <c r="C20" i="31" s="1"/>
  <c r="B14" i="32"/>
  <c r="W195" i="17"/>
  <c r="X199" i="17"/>
  <c r="E38" i="16"/>
  <c r="D38" i="16"/>
  <c r="D14" i="32" l="1"/>
  <c r="D40" i="32" s="1"/>
  <c r="H6" i="31"/>
  <c r="B31" i="32"/>
  <c r="B34" i="32" s="1"/>
  <c r="B21" i="41"/>
  <c r="N21" i="41" s="1"/>
  <c r="W199" i="17"/>
  <c r="D83" i="18"/>
  <c r="C83" i="18"/>
  <c r="C82" i="18"/>
  <c r="C84" i="18" l="1"/>
  <c r="AA146" i="17"/>
  <c r="AA149" i="17" s="1"/>
  <c r="AA150" i="17" s="1"/>
  <c r="E9" i="18"/>
  <c r="X48" i="17"/>
  <c r="X139" i="17" l="1"/>
  <c r="AG65" i="2"/>
  <c r="AG81" i="2" s="1"/>
  <c r="W150" i="17"/>
  <c r="X150" i="17" l="1"/>
  <c r="K162" i="18"/>
  <c r="L161" i="18" l="1"/>
  <c r="G158" i="18" s="1"/>
  <c r="L160" i="18"/>
  <c r="F158" i="18" s="1"/>
  <c r="E166" i="18"/>
  <c r="E165" i="18"/>
  <c r="E164" i="18"/>
  <c r="E163" i="18"/>
  <c r="E162" i="18"/>
  <c r="E161" i="18"/>
  <c r="E160" i="18"/>
  <c r="E159" i="18"/>
  <c r="AE34" i="2"/>
  <c r="AE31" i="2"/>
  <c r="AC62" i="2"/>
  <c r="AC66" i="2" s="1"/>
  <c r="AC69" i="2" s="1"/>
  <c r="AC73" i="2" s="1"/>
  <c r="AC58" i="2"/>
  <c r="AC47" i="2"/>
  <c r="D176" i="18" l="1"/>
  <c r="E176" i="18" s="1"/>
  <c r="C176" i="18"/>
  <c r="X138" i="17"/>
  <c r="X165" i="17" s="1"/>
  <c r="AH34" i="2" s="1"/>
  <c r="G160" i="18"/>
  <c r="F160" i="18"/>
  <c r="G162" i="18"/>
  <c r="F162" i="18"/>
  <c r="G164" i="18"/>
  <c r="F164" i="18"/>
  <c r="X185" i="17"/>
  <c r="G166" i="18"/>
  <c r="F166" i="18"/>
  <c r="G159" i="18"/>
  <c r="F159" i="18"/>
  <c r="G161" i="18"/>
  <c r="F161" i="18"/>
  <c r="W183" i="17"/>
  <c r="W170" i="17" s="1"/>
  <c r="AG52" i="2" s="1"/>
  <c r="G163" i="18"/>
  <c r="F163" i="18"/>
  <c r="X184" i="17"/>
  <c r="G165" i="18"/>
  <c r="F165" i="18"/>
  <c r="L76" i="34"/>
  <c r="L77" i="34" s="1"/>
  <c r="L78" i="34" s="1"/>
  <c r="AE47" i="2"/>
  <c r="G175" i="18"/>
  <c r="G176" i="18" s="1"/>
  <c r="AC80" i="2"/>
  <c r="AC76" i="2"/>
  <c r="AC81" i="2" s="1"/>
  <c r="AC82" i="2" s="1"/>
  <c r="AE62" i="2"/>
  <c r="AE66" i="2" s="1"/>
  <c r="AE69" i="2" s="1"/>
  <c r="AE73" i="2" s="1"/>
  <c r="AE76" i="2" s="1"/>
  <c r="E168" i="18"/>
  <c r="X187" i="17" l="1"/>
  <c r="X190" i="17" s="1"/>
  <c r="Q30" i="34"/>
  <c r="Q51" i="34" s="1"/>
  <c r="W182" i="17"/>
  <c r="L78" i="36"/>
  <c r="L79" i="36" s="1"/>
  <c r="X140" i="17"/>
  <c r="D177" i="18"/>
  <c r="W187" i="17" l="1"/>
  <c r="W190" i="17" s="1"/>
  <c r="R30" i="34"/>
  <c r="J11" i="32" s="1"/>
  <c r="K11" i="32" s="1"/>
  <c r="D179" i="18"/>
  <c r="W133" i="17" s="1"/>
  <c r="Q53" i="34"/>
  <c r="Q52" i="34"/>
  <c r="R42" i="34"/>
  <c r="R52" i="34" s="1"/>
  <c r="X142" i="17"/>
  <c r="H51" i="31" l="1"/>
  <c r="H56" i="31" s="1"/>
  <c r="B33" i="31"/>
  <c r="B38" i="31" s="1"/>
  <c r="B42" i="31" s="1"/>
  <c r="B69" i="31" s="1"/>
  <c r="J51" i="31"/>
  <c r="J56" i="31" s="1"/>
  <c r="S52" i="34"/>
  <c r="T52" i="34" s="1"/>
  <c r="Q74" i="34"/>
  <c r="W142" i="17"/>
  <c r="AA191" i="17"/>
  <c r="Z136" i="17"/>
  <c r="R74" i="34"/>
  <c r="N11" i="32"/>
  <c r="C33" i="31" s="1"/>
  <c r="J15" i="32"/>
  <c r="AC26" i="2"/>
  <c r="AC79" i="2" s="1"/>
  <c r="K15" i="32" l="1"/>
  <c r="K40" i="32" s="1"/>
  <c r="L40" i="32" s="1"/>
  <c r="I6" i="31"/>
  <c r="J6" i="31" s="1"/>
  <c r="J27" i="32"/>
  <c r="J31" i="32" s="1"/>
  <c r="J38" i="32" s="1"/>
  <c r="C38" i="31"/>
  <c r="C42" i="31" s="1"/>
  <c r="C69" i="31" s="1"/>
  <c r="C71" i="31" s="1"/>
  <c r="B32" i="41"/>
  <c r="Y142" i="17"/>
  <c r="AG53" i="2"/>
  <c r="AG50" i="2"/>
  <c r="J8" i="31" l="1"/>
  <c r="L15" i="32"/>
  <c r="C38" i="32"/>
  <c r="N32" i="41"/>
  <c r="B36" i="41"/>
  <c r="E24" i="16"/>
  <c r="E40" i="16" s="1"/>
  <c r="D24" i="16"/>
  <c r="D40" i="16" s="1"/>
  <c r="D62" i="1"/>
  <c r="E4" i="18"/>
  <c r="W162" i="17"/>
  <c r="AG31" i="2" s="1"/>
  <c r="B40" i="41" l="1"/>
  <c r="B58" i="41" s="1"/>
  <c r="N36" i="41"/>
  <c r="N40" i="41" s="1"/>
  <c r="N58" i="41" s="1"/>
  <c r="J14" i="31"/>
  <c r="M18" i="31"/>
  <c r="M19" i="31" s="1"/>
  <c r="M23" i="31" s="1"/>
  <c r="B95" i="32"/>
  <c r="E26" i="16"/>
  <c r="AG48" i="2"/>
  <c r="AI48" i="2" s="1"/>
  <c r="W50" i="17"/>
  <c r="X50" i="17"/>
  <c r="D151" i="18"/>
  <c r="C151" i="18"/>
  <c r="E149" i="18"/>
  <c r="E148" i="18"/>
  <c r="E147" i="18"/>
  <c r="E146" i="18"/>
  <c r="M145" i="18"/>
  <c r="N143" i="18" s="1"/>
  <c r="K145" i="18"/>
  <c r="L144" i="18" s="1"/>
  <c r="E145" i="18"/>
  <c r="O144" i="18"/>
  <c r="E144" i="18"/>
  <c r="O143" i="18"/>
  <c r="E143" i="18"/>
  <c r="E142" i="18"/>
  <c r="D135" i="18"/>
  <c r="C135" i="18"/>
  <c r="E133" i="18"/>
  <c r="E132" i="18"/>
  <c r="E131" i="18"/>
  <c r="E130" i="18"/>
  <c r="M129" i="18"/>
  <c r="N127" i="18" s="1"/>
  <c r="K129" i="18"/>
  <c r="L128" i="18" s="1"/>
  <c r="E129" i="18"/>
  <c r="O128" i="18"/>
  <c r="E128" i="18"/>
  <c r="O127" i="18"/>
  <c r="E127" i="18"/>
  <c r="E126" i="18"/>
  <c r="D118" i="18"/>
  <c r="C118" i="18"/>
  <c r="E116" i="18"/>
  <c r="E115" i="18"/>
  <c r="E114" i="18"/>
  <c r="E113" i="18"/>
  <c r="M112" i="18"/>
  <c r="N111" i="18" s="1"/>
  <c r="K112" i="18"/>
  <c r="L111" i="18" s="1"/>
  <c r="E112" i="18"/>
  <c r="O111" i="18"/>
  <c r="E111" i="18"/>
  <c r="O110" i="18"/>
  <c r="E110" i="18"/>
  <c r="E109" i="18"/>
  <c r="D101" i="18"/>
  <c r="C101" i="18"/>
  <c r="E99" i="18"/>
  <c r="E98" i="18"/>
  <c r="E97" i="18"/>
  <c r="E96" i="18"/>
  <c r="M95" i="18"/>
  <c r="N93" i="18" s="1"/>
  <c r="K95" i="18"/>
  <c r="L93" i="18" s="1"/>
  <c r="E95" i="18"/>
  <c r="O94" i="18"/>
  <c r="E94" i="18"/>
  <c r="O93" i="18"/>
  <c r="E93" i="18"/>
  <c r="E92" i="18"/>
  <c r="E80" i="18"/>
  <c r="D79" i="18"/>
  <c r="D82" i="18" s="1"/>
  <c r="D84" i="18" s="1"/>
  <c r="E78" i="18"/>
  <c r="E77" i="18"/>
  <c r="M76" i="18"/>
  <c r="N74" i="18" s="1"/>
  <c r="K76" i="18"/>
  <c r="L74" i="18" s="1"/>
  <c r="E76" i="18"/>
  <c r="O75" i="18"/>
  <c r="N75" i="18"/>
  <c r="L75" i="18"/>
  <c r="E75" i="18"/>
  <c r="O74" i="18"/>
  <c r="E74" i="18"/>
  <c r="E73" i="18"/>
  <c r="D65" i="18"/>
  <c r="C65" i="18"/>
  <c r="E62" i="18"/>
  <c r="D61" i="18"/>
  <c r="D64" i="18" s="1"/>
  <c r="C64" i="18"/>
  <c r="E60" i="18"/>
  <c r="E59" i="18"/>
  <c r="M58" i="18"/>
  <c r="N57" i="18" s="1"/>
  <c r="K58" i="18"/>
  <c r="L56" i="18" s="1"/>
  <c r="E58" i="18"/>
  <c r="O57" i="18"/>
  <c r="E57" i="18"/>
  <c r="O56" i="18"/>
  <c r="E56" i="18"/>
  <c r="E55" i="18"/>
  <c r="C48" i="18"/>
  <c r="E46" i="18"/>
  <c r="L45" i="18"/>
  <c r="D48" i="18"/>
  <c r="E44" i="18"/>
  <c r="E43" i="18"/>
  <c r="M42" i="18"/>
  <c r="N41" i="18" s="1"/>
  <c r="K42" i="18"/>
  <c r="L40" i="18" s="1"/>
  <c r="E42" i="18"/>
  <c r="O41" i="18"/>
  <c r="E41" i="18"/>
  <c r="O40" i="18"/>
  <c r="E40" i="18"/>
  <c r="E39" i="18"/>
  <c r="D31" i="18"/>
  <c r="C31" i="18"/>
  <c r="E26" i="18"/>
  <c r="D29" i="18"/>
  <c r="E25" i="18"/>
  <c r="E24" i="18"/>
  <c r="M23" i="18"/>
  <c r="N21" i="18" s="1"/>
  <c r="K23" i="18"/>
  <c r="E23" i="18"/>
  <c r="O22" i="18"/>
  <c r="N22" i="18"/>
  <c r="E22" i="18"/>
  <c r="O21" i="18"/>
  <c r="E21" i="18"/>
  <c r="E20" i="18"/>
  <c r="D13" i="18"/>
  <c r="M12" i="18"/>
  <c r="N10" i="18" s="1"/>
  <c r="O11" i="18"/>
  <c r="O10" i="18"/>
  <c r="E10" i="18"/>
  <c r="E8" i="18"/>
  <c r="E7" i="18"/>
  <c r="M6" i="18"/>
  <c r="N4" i="18" s="1"/>
  <c r="K6" i="18"/>
  <c r="L4" i="18" s="1"/>
  <c r="E6" i="18"/>
  <c r="O5" i="18"/>
  <c r="E5" i="18"/>
  <c r="O4" i="18"/>
  <c r="E3" i="18"/>
  <c r="X115" i="17"/>
  <c r="X118" i="17" s="1"/>
  <c r="W40" i="17"/>
  <c r="N13" i="17"/>
  <c r="L12" i="17"/>
  <c r="L15" i="17" s="1"/>
  <c r="L18" i="17" s="1"/>
  <c r="M12" i="17"/>
  <c r="M15" i="17" s="1"/>
  <c r="M18" i="17" s="1"/>
  <c r="K12" i="17"/>
  <c r="K15" i="17" s="1"/>
  <c r="K18" i="17" s="1"/>
  <c r="J12" i="17"/>
  <c r="J15" i="17" s="1"/>
  <c r="J18" i="17" s="1"/>
  <c r="I12" i="17"/>
  <c r="I15" i="17" s="1"/>
  <c r="I18" i="17" s="1"/>
  <c r="H12" i="17"/>
  <c r="H15" i="17" s="1"/>
  <c r="H18" i="17" s="1"/>
  <c r="E12" i="17"/>
  <c r="E15" i="17" s="1"/>
  <c r="E18" i="17" s="1"/>
  <c r="C12" i="17"/>
  <c r="C15" i="17" s="1"/>
  <c r="C18" i="17" s="1"/>
  <c r="N11" i="17"/>
  <c r="N10" i="17"/>
  <c r="W30" i="17" s="1"/>
  <c r="X32" i="17" s="1"/>
  <c r="X163" i="17" s="1"/>
  <c r="G12" i="17"/>
  <c r="G15" i="17" s="1"/>
  <c r="G18" i="17" s="1"/>
  <c r="F12" i="17"/>
  <c r="F15" i="17" s="1"/>
  <c r="F18" i="17" s="1"/>
  <c r="N9" i="17"/>
  <c r="AG17" i="2"/>
  <c r="AG25" i="2"/>
  <c r="O58" i="18" l="1"/>
  <c r="L22" i="18"/>
  <c r="G19" i="18" s="1"/>
  <c r="G26" i="18" s="1"/>
  <c r="W81" i="17" s="1"/>
  <c r="L21" i="18"/>
  <c r="G20" i="17"/>
  <c r="G22" i="17"/>
  <c r="G24" i="17" s="1"/>
  <c r="E20" i="17"/>
  <c r="E22" i="17"/>
  <c r="E24" i="17" s="1"/>
  <c r="I20" i="17"/>
  <c r="I22" i="17"/>
  <c r="I24" i="17" s="1"/>
  <c r="K20" i="17"/>
  <c r="K22" i="17"/>
  <c r="K24" i="17" s="1"/>
  <c r="D199" i="40"/>
  <c r="D225" i="40" s="1"/>
  <c r="L22" i="17"/>
  <c r="L24" i="17" s="1"/>
  <c r="F20" i="17"/>
  <c r="F22" i="17"/>
  <c r="F24" i="17" s="1"/>
  <c r="H20" i="17"/>
  <c r="H22" i="17"/>
  <c r="H24" i="17" s="1"/>
  <c r="J20" i="17"/>
  <c r="J22" i="17"/>
  <c r="J24" i="17" s="1"/>
  <c r="M20" i="17"/>
  <c r="M22" i="17"/>
  <c r="M24" i="17" s="1"/>
  <c r="C22" i="17"/>
  <c r="C24" i="17" s="1"/>
  <c r="C20" i="17"/>
  <c r="L20" i="17"/>
  <c r="C175" i="18"/>
  <c r="C177" i="18" s="1"/>
  <c r="C179" i="18" s="1"/>
  <c r="D32" i="18"/>
  <c r="L41" i="18"/>
  <c r="G38" i="18" s="1"/>
  <c r="C50" i="18" s="1"/>
  <c r="C78" i="36"/>
  <c r="L5" i="18"/>
  <c r="G2" i="18" s="1"/>
  <c r="D15" i="18" s="1"/>
  <c r="F76" i="34"/>
  <c r="F77" i="34" s="1"/>
  <c r="F78" i="34" s="1"/>
  <c r="G78" i="36"/>
  <c r="G79" i="36" s="1"/>
  <c r="O95" i="18"/>
  <c r="E76" i="34"/>
  <c r="E77" i="34" s="1"/>
  <c r="E78" i="34" s="1"/>
  <c r="G76" i="34"/>
  <c r="F72" i="18"/>
  <c r="F74" i="18" s="1"/>
  <c r="P41" i="18"/>
  <c r="G72" i="18"/>
  <c r="C86" i="18" s="1"/>
  <c r="E84" i="18"/>
  <c r="W62" i="17"/>
  <c r="W161" i="17" s="1"/>
  <c r="C66" i="18"/>
  <c r="P75" i="18"/>
  <c r="O6" i="18"/>
  <c r="O42" i="18"/>
  <c r="L110" i="18"/>
  <c r="F108" i="18" s="1"/>
  <c r="F114" i="18" s="1"/>
  <c r="O129" i="18"/>
  <c r="F2" i="18"/>
  <c r="F9" i="18" s="1"/>
  <c r="C76" i="34"/>
  <c r="N110" i="18"/>
  <c r="E101" i="18"/>
  <c r="AL48" i="2"/>
  <c r="AJ48" i="2"/>
  <c r="O12" i="18"/>
  <c r="P22" i="18"/>
  <c r="F116" i="18"/>
  <c r="F109" i="18"/>
  <c r="F6" i="18"/>
  <c r="O112" i="18"/>
  <c r="N128" i="18"/>
  <c r="P128" i="18" s="1"/>
  <c r="N40" i="18"/>
  <c r="P40" i="18" s="1"/>
  <c r="G43" i="18"/>
  <c r="N56" i="18"/>
  <c r="P56" i="18" s="1"/>
  <c r="E79" i="18"/>
  <c r="F79" i="18" s="1"/>
  <c r="F113" i="18"/>
  <c r="L127" i="18"/>
  <c r="F125" i="18" s="1"/>
  <c r="F129" i="18" s="1"/>
  <c r="O23" i="18"/>
  <c r="D66" i="18"/>
  <c r="E61" i="18"/>
  <c r="E64" i="18" s="1"/>
  <c r="O76" i="18"/>
  <c r="P74" i="18"/>
  <c r="E151" i="18"/>
  <c r="G42" i="18"/>
  <c r="E118" i="18"/>
  <c r="O145" i="18"/>
  <c r="N12" i="17"/>
  <c r="G141" i="18"/>
  <c r="P93" i="18"/>
  <c r="F91" i="18"/>
  <c r="D102" i="18" s="1"/>
  <c r="G125" i="18"/>
  <c r="G126" i="18" s="1"/>
  <c r="F131" i="18"/>
  <c r="F127" i="18"/>
  <c r="F38" i="18"/>
  <c r="F40" i="18" s="1"/>
  <c r="F54" i="18"/>
  <c r="F55" i="18" s="1"/>
  <c r="P4" i="18"/>
  <c r="P111" i="18"/>
  <c r="G108" i="18"/>
  <c r="G111" i="18" s="1"/>
  <c r="K12" i="18"/>
  <c r="L11" i="18" s="1"/>
  <c r="E45" i="18"/>
  <c r="E48" i="18" s="1"/>
  <c r="E135" i="18"/>
  <c r="L94" i="18"/>
  <c r="F112" i="18"/>
  <c r="F76" i="18"/>
  <c r="F80" i="18"/>
  <c r="N94" i="18"/>
  <c r="G39" i="18"/>
  <c r="L57" i="18"/>
  <c r="F75" i="18"/>
  <c r="F78" i="18"/>
  <c r="F110" i="18"/>
  <c r="P127" i="18"/>
  <c r="F133" i="18"/>
  <c r="L143" i="18"/>
  <c r="N144" i="18"/>
  <c r="P144" i="18" s="1"/>
  <c r="N5" i="18"/>
  <c r="F73" i="18"/>
  <c r="F3" i="18"/>
  <c r="N11" i="18"/>
  <c r="G44" i="18"/>
  <c r="W34" i="17"/>
  <c r="D12" i="17"/>
  <c r="D15" i="17" s="1"/>
  <c r="D18" i="17" s="1"/>
  <c r="N14" i="17"/>
  <c r="W118" i="17"/>
  <c r="X40" i="17"/>
  <c r="F7" i="18" l="1"/>
  <c r="F10" i="18"/>
  <c r="F8" i="18"/>
  <c r="F126" i="18"/>
  <c r="F5" i="18"/>
  <c r="F130" i="18"/>
  <c r="F132" i="18"/>
  <c r="F111" i="18"/>
  <c r="P110" i="18"/>
  <c r="F4" i="18"/>
  <c r="F115" i="18"/>
  <c r="G77" i="18"/>
  <c r="F128" i="18"/>
  <c r="G133" i="18"/>
  <c r="G80" i="18"/>
  <c r="F46" i="18"/>
  <c r="C49" i="18"/>
  <c r="D14" i="18"/>
  <c r="G149" i="18"/>
  <c r="X124" i="17" s="1"/>
  <c r="D195" i="18"/>
  <c r="C195" i="18"/>
  <c r="E195" i="18" s="1"/>
  <c r="C136" i="18"/>
  <c r="D136" i="18"/>
  <c r="G10" i="18"/>
  <c r="W64" i="17" s="1"/>
  <c r="D120" i="18"/>
  <c r="D226" i="40"/>
  <c r="I226" i="40" s="1"/>
  <c r="I225" i="40"/>
  <c r="E225" i="40"/>
  <c r="E226" i="40" s="1"/>
  <c r="D201" i="40"/>
  <c r="E199" i="40"/>
  <c r="E201" i="40" s="1"/>
  <c r="C79" i="36"/>
  <c r="D20" i="17"/>
  <c r="D22" i="17"/>
  <c r="D24" i="17" s="1"/>
  <c r="N18" i="17"/>
  <c r="N22" i="17" s="1"/>
  <c r="D67" i="18"/>
  <c r="C153" i="18"/>
  <c r="C102" i="18"/>
  <c r="D86" i="18"/>
  <c r="E86" i="18" s="1"/>
  <c r="W108" i="17" s="1"/>
  <c r="D16" i="18"/>
  <c r="D50" i="18"/>
  <c r="G41" i="18"/>
  <c r="G40" i="18"/>
  <c r="G78" i="18"/>
  <c r="G74" i="18"/>
  <c r="G24" i="18"/>
  <c r="G76" i="18"/>
  <c r="G75" i="18"/>
  <c r="G46" i="18"/>
  <c r="W88" i="17" s="1"/>
  <c r="G73" i="18"/>
  <c r="F77" i="18"/>
  <c r="C85" i="18"/>
  <c r="C137" i="18"/>
  <c r="C120" i="18"/>
  <c r="E120" i="18" s="1"/>
  <c r="C119" i="18"/>
  <c r="D85" i="18"/>
  <c r="D87" i="18" s="1"/>
  <c r="D88" i="18" s="1"/>
  <c r="D153" i="18"/>
  <c r="D137" i="18"/>
  <c r="D119" i="18"/>
  <c r="D49" i="18"/>
  <c r="D51" i="18" s="1"/>
  <c r="D52" i="18" s="1"/>
  <c r="C67" i="18"/>
  <c r="C51" i="18"/>
  <c r="E50" i="18"/>
  <c r="E66" i="18"/>
  <c r="E78" i="36"/>
  <c r="E79" i="36" s="1"/>
  <c r="K76" i="34"/>
  <c r="K77" i="34" s="1"/>
  <c r="K78" i="34" s="1"/>
  <c r="D78" i="36"/>
  <c r="D79" i="36" s="1"/>
  <c r="F78" i="36"/>
  <c r="F19" i="18"/>
  <c r="D33" i="18" s="1"/>
  <c r="D76" i="34"/>
  <c r="D34" i="18"/>
  <c r="G22" i="18"/>
  <c r="G23" i="18"/>
  <c r="G25" i="18"/>
  <c r="C77" i="34"/>
  <c r="C78" i="34" s="1"/>
  <c r="G7" i="18"/>
  <c r="G9" i="18"/>
  <c r="G130" i="18"/>
  <c r="P21" i="18"/>
  <c r="G77" i="34"/>
  <c r="G78" i="34" s="1"/>
  <c r="G79" i="18"/>
  <c r="E82" i="18"/>
  <c r="N15" i="17"/>
  <c r="G5" i="18"/>
  <c r="P11" i="18"/>
  <c r="G143" i="18"/>
  <c r="G142" i="18"/>
  <c r="P5" i="18"/>
  <c r="R10" i="18"/>
  <c r="AG49" i="2"/>
  <c r="W58" i="17"/>
  <c r="X34" i="17"/>
  <c r="F99" i="18"/>
  <c r="F92" i="18"/>
  <c r="F93" i="18"/>
  <c r="F95" i="18"/>
  <c r="L10" i="18"/>
  <c r="P10" i="18" s="1"/>
  <c r="G127" i="18"/>
  <c r="F41" i="18"/>
  <c r="G45" i="18"/>
  <c r="X87" i="17" s="1"/>
  <c r="F45" i="18"/>
  <c r="F94" i="18"/>
  <c r="F96" i="18"/>
  <c r="G145" i="18"/>
  <c r="G147" i="18"/>
  <c r="G144" i="18"/>
  <c r="G146" i="18"/>
  <c r="F58" i="18"/>
  <c r="F61" i="18"/>
  <c r="F59" i="18"/>
  <c r="G116" i="18"/>
  <c r="G109" i="18"/>
  <c r="G115" i="18"/>
  <c r="G113" i="18"/>
  <c r="F141" i="18"/>
  <c r="P143" i="18"/>
  <c r="G54" i="18"/>
  <c r="D68" i="18" s="1"/>
  <c r="P57" i="18"/>
  <c r="G3" i="18"/>
  <c r="G4" i="18"/>
  <c r="G6" i="18"/>
  <c r="F97" i="18"/>
  <c r="F57" i="18"/>
  <c r="F98" i="18"/>
  <c r="F43" i="18"/>
  <c r="F42" i="18"/>
  <c r="P94" i="18"/>
  <c r="G91" i="18"/>
  <c r="G112" i="18"/>
  <c r="G8" i="18"/>
  <c r="F39" i="18"/>
  <c r="G148" i="18"/>
  <c r="X123" i="17" s="1"/>
  <c r="F60" i="18"/>
  <c r="G114" i="18"/>
  <c r="F56" i="18"/>
  <c r="G110" i="18"/>
  <c r="F62" i="18"/>
  <c r="G129" i="18"/>
  <c r="G132" i="18"/>
  <c r="G131" i="18"/>
  <c r="G128" i="18"/>
  <c r="F44" i="18"/>
  <c r="N20" i="17" l="1"/>
  <c r="X109" i="17"/>
  <c r="X111" i="17" s="1"/>
  <c r="W111" i="17"/>
  <c r="D138" i="18"/>
  <c r="D139" i="18" s="1"/>
  <c r="D35" i="18"/>
  <c r="D36" i="18" s="1"/>
  <c r="D121" i="18"/>
  <c r="D122" i="18" s="1"/>
  <c r="E153" i="18"/>
  <c r="D17" i="18"/>
  <c r="D194" i="18"/>
  <c r="D196" i="18" s="1"/>
  <c r="D197" i="18" s="1"/>
  <c r="C194" i="18"/>
  <c r="N24" i="17"/>
  <c r="P22" i="17"/>
  <c r="Q23" i="17" s="1"/>
  <c r="E119" i="18"/>
  <c r="C121" i="18"/>
  <c r="E137" i="18"/>
  <c r="E102" i="18"/>
  <c r="D69" i="18"/>
  <c r="D70" i="18" s="1"/>
  <c r="D103" i="18"/>
  <c r="D104" i="18" s="1"/>
  <c r="D105" i="18" s="1"/>
  <c r="C103" i="18"/>
  <c r="C152" i="18"/>
  <c r="D152" i="18"/>
  <c r="D154" i="18" s="1"/>
  <c r="D155" i="18" s="1"/>
  <c r="C68" i="18"/>
  <c r="E68" i="18" s="1"/>
  <c r="E85" i="18"/>
  <c r="C87" i="18"/>
  <c r="C138" i="18"/>
  <c r="E49" i="18"/>
  <c r="E67" i="18"/>
  <c r="C52" i="18"/>
  <c r="E51" i="18"/>
  <c r="F79" i="36"/>
  <c r="K78" i="36"/>
  <c r="K79" i="36" s="1"/>
  <c r="B30" i="33"/>
  <c r="W122" i="17"/>
  <c r="W126" i="17" s="1"/>
  <c r="D77" i="34"/>
  <c r="N77" i="34" s="1"/>
  <c r="R77" i="34" s="1"/>
  <c r="N76" i="34"/>
  <c r="R76" i="34" s="1"/>
  <c r="F24" i="18"/>
  <c r="F25" i="18"/>
  <c r="F23" i="18"/>
  <c r="F22" i="18"/>
  <c r="F26" i="18"/>
  <c r="X126" i="17"/>
  <c r="W63" i="17"/>
  <c r="W167" i="17" s="1"/>
  <c r="W89" i="17"/>
  <c r="W91" i="17" s="1"/>
  <c r="X91" i="17"/>
  <c r="X58" i="17"/>
  <c r="G96" i="18"/>
  <c r="G97" i="18"/>
  <c r="G93" i="18"/>
  <c r="G99" i="18"/>
  <c r="G92" i="18"/>
  <c r="G94" i="18"/>
  <c r="G95" i="18"/>
  <c r="G98" i="18"/>
  <c r="F146" i="18"/>
  <c r="F144" i="18"/>
  <c r="F149" i="18"/>
  <c r="F142" i="18"/>
  <c r="F147" i="18"/>
  <c r="F143" i="18"/>
  <c r="F145" i="18"/>
  <c r="F148" i="18"/>
  <c r="G58" i="18"/>
  <c r="G55" i="18"/>
  <c r="G59" i="18"/>
  <c r="G56" i="18"/>
  <c r="G61" i="18"/>
  <c r="X100" i="17" s="1"/>
  <c r="G62" i="18"/>
  <c r="X102" i="17" s="1"/>
  <c r="G60" i="18"/>
  <c r="X101" i="17" s="1"/>
  <c r="X171" i="17" s="1"/>
  <c r="AH53" i="2" s="1"/>
  <c r="G57" i="18"/>
  <c r="E103" i="18" l="1"/>
  <c r="X167" i="17"/>
  <c r="AH55" i="2" s="1"/>
  <c r="C196" i="18"/>
  <c r="E194" i="18"/>
  <c r="D201" i="18"/>
  <c r="C69" i="18"/>
  <c r="C70" i="18" s="1"/>
  <c r="D203" i="18"/>
  <c r="D202" i="18"/>
  <c r="N78" i="36"/>
  <c r="E138" i="18"/>
  <c r="C139" i="18"/>
  <c r="C104" i="18"/>
  <c r="E121" i="18"/>
  <c r="C122" i="18"/>
  <c r="C88" i="18"/>
  <c r="E87" i="18"/>
  <c r="C154" i="18"/>
  <c r="E152" i="18"/>
  <c r="R35" i="35"/>
  <c r="D30" i="33"/>
  <c r="T35" i="35"/>
  <c r="T37" i="35" s="1"/>
  <c r="D32" i="33"/>
  <c r="D35" i="33" s="1"/>
  <c r="R37" i="35"/>
  <c r="D78" i="34"/>
  <c r="AA190" i="17"/>
  <c r="W95" i="17"/>
  <c r="W166" i="17" s="1"/>
  <c r="X104" i="17"/>
  <c r="AG55" i="2"/>
  <c r="AH22" i="2"/>
  <c r="E69" i="18" l="1"/>
  <c r="R78" i="36"/>
  <c r="N79" i="36"/>
  <c r="D204" i="18"/>
  <c r="E196" i="18"/>
  <c r="C197" i="18"/>
  <c r="C105" i="18"/>
  <c r="E104" i="18"/>
  <c r="E154" i="18"/>
  <c r="C155" i="18"/>
  <c r="V35" i="35"/>
  <c r="V37" i="35" s="1"/>
  <c r="W104" i="17"/>
  <c r="AE55" i="2"/>
  <c r="R79" i="36" l="1"/>
  <c r="B32" i="33"/>
  <c r="D25" i="1"/>
  <c r="B35" i="33" l="1"/>
  <c r="R45" i="35" s="1"/>
  <c r="R50" i="35" s="1"/>
  <c r="R53" i="35" s="1"/>
  <c r="B37" i="33"/>
  <c r="T45" i="35"/>
  <c r="T50" i="35" s="1"/>
  <c r="T53" i="35" s="1"/>
  <c r="J50" i="1"/>
  <c r="I49" i="1"/>
  <c r="J49" i="1" s="1"/>
  <c r="AI43" i="2"/>
  <c r="AJ43" i="2" s="1"/>
  <c r="AI32" i="2"/>
  <c r="AJ32" i="2" s="1"/>
  <c r="V45" i="35" l="1"/>
  <c r="V50" i="35" s="1"/>
  <c r="V53" i="35" s="1"/>
  <c r="J51" i="1"/>
  <c r="T62" i="2"/>
  <c r="T66" i="2" s="1"/>
  <c r="T69" i="2" s="1"/>
  <c r="T73" i="2" s="1"/>
  <c r="T47" i="2"/>
  <c r="T26" i="2"/>
  <c r="AI40" i="2"/>
  <c r="AJ40" i="2" s="1"/>
  <c r="AI21" i="2"/>
  <c r="AJ21" i="2" s="1"/>
  <c r="T76" i="2" l="1"/>
  <c r="C11" i="18" s="1"/>
  <c r="C13" i="18" s="1"/>
  <c r="T80" i="2"/>
  <c r="AI72" i="2"/>
  <c r="AJ72" i="2" s="1"/>
  <c r="AI68" i="2"/>
  <c r="AJ68" i="2" s="1"/>
  <c r="AB62" i="2"/>
  <c r="AB66" i="2" s="1"/>
  <c r="AB69" i="2" s="1"/>
  <c r="AB73" i="2" s="1"/>
  <c r="AB76" i="2" s="1"/>
  <c r="AB81" i="2" s="1"/>
  <c r="AB82" i="2" s="1"/>
  <c r="AA62" i="2"/>
  <c r="AA66" i="2" s="1"/>
  <c r="AA69" i="2" s="1"/>
  <c r="AA73" i="2" s="1"/>
  <c r="Z62" i="2"/>
  <c r="Z66" i="2" s="1"/>
  <c r="Z69" i="2" s="1"/>
  <c r="Z73" i="2" s="1"/>
  <c r="Y62" i="2"/>
  <c r="Y66" i="2" s="1"/>
  <c r="Y69" i="2" s="1"/>
  <c r="Y73" i="2" s="1"/>
  <c r="X62" i="2"/>
  <c r="X66" i="2" s="1"/>
  <c r="X69" i="2" s="1"/>
  <c r="X73" i="2" s="1"/>
  <c r="W62" i="2"/>
  <c r="W66" i="2" s="1"/>
  <c r="W69" i="2" s="1"/>
  <c r="W73" i="2" s="1"/>
  <c r="V62" i="2"/>
  <c r="V66" i="2" s="1"/>
  <c r="V69" i="2" s="1"/>
  <c r="V73" i="2" s="1"/>
  <c r="U62" i="2"/>
  <c r="U66" i="2" s="1"/>
  <c r="U69" i="2" s="1"/>
  <c r="U73" i="2" s="1"/>
  <c r="S62" i="2"/>
  <c r="S66" i="2" s="1"/>
  <c r="S69" i="2" s="1"/>
  <c r="S73" i="2" s="1"/>
  <c r="AB58" i="2"/>
  <c r="AA58" i="2"/>
  <c r="Z58" i="2"/>
  <c r="Y58" i="2"/>
  <c r="X58" i="2"/>
  <c r="V58" i="2"/>
  <c r="W58" i="2"/>
  <c r="AI51" i="2"/>
  <c r="AB47" i="2"/>
  <c r="AA47" i="2"/>
  <c r="Z47" i="2"/>
  <c r="Y47" i="2"/>
  <c r="X47" i="2"/>
  <c r="W47" i="2"/>
  <c r="V47" i="2"/>
  <c r="U47" i="2"/>
  <c r="AI46" i="2"/>
  <c r="AJ46" i="2" s="1"/>
  <c r="AI45" i="2"/>
  <c r="AJ45" i="2" s="1"/>
  <c r="AI44" i="2"/>
  <c r="AJ44" i="2" s="1"/>
  <c r="AI38" i="2"/>
  <c r="AJ38" i="2" s="1"/>
  <c r="AI37" i="2"/>
  <c r="AJ37" i="2" s="1"/>
  <c r="AI36" i="2"/>
  <c r="AI35" i="2"/>
  <c r="AJ35" i="2" s="1"/>
  <c r="AI34" i="2"/>
  <c r="AJ34" i="2" s="1"/>
  <c r="AI33" i="2"/>
  <c r="AJ33" i="2" s="1"/>
  <c r="AI30" i="2"/>
  <c r="AJ30" i="2" s="1"/>
  <c r="AB26" i="2"/>
  <c r="Z26" i="2"/>
  <c r="Y26" i="2"/>
  <c r="X26" i="2"/>
  <c r="V26" i="2"/>
  <c r="S26" i="2"/>
  <c r="AI24" i="2"/>
  <c r="AJ24" i="2" s="1"/>
  <c r="AI23" i="2"/>
  <c r="AJ23" i="2" s="1"/>
  <c r="AI20" i="2"/>
  <c r="AJ20" i="2" s="1"/>
  <c r="U26" i="2"/>
  <c r="AI18" i="2"/>
  <c r="AJ18" i="2" s="1"/>
  <c r="AA26" i="2"/>
  <c r="AI16" i="2"/>
  <c r="AI14" i="2"/>
  <c r="AJ14" i="2" s="1"/>
  <c r="AI13" i="2"/>
  <c r="AJ13" i="2" s="1"/>
  <c r="AI12" i="2"/>
  <c r="AJ12" i="2" s="1"/>
  <c r="AI11" i="2"/>
  <c r="AJ11" i="2" s="1"/>
  <c r="AI8" i="2"/>
  <c r="AJ8" i="2" s="1"/>
  <c r="AI7" i="2"/>
  <c r="AJ7" i="2" s="1"/>
  <c r="AI6" i="2"/>
  <c r="AJ6" i="2" s="1"/>
  <c r="C14" i="18" l="1"/>
  <c r="C15" i="18"/>
  <c r="AJ36" i="2"/>
  <c r="AJ16" i="2"/>
  <c r="AO16" i="2"/>
  <c r="AL51" i="2"/>
  <c r="AJ51" i="2"/>
  <c r="T81" i="2"/>
  <c r="T58" i="2"/>
  <c r="T79" i="2" s="1"/>
  <c r="S76" i="2"/>
  <c r="C27" i="18"/>
  <c r="C29" i="18" s="1"/>
  <c r="C32" i="18" s="1"/>
  <c r="C33" i="18" s="1"/>
  <c r="E33" i="18" s="1"/>
  <c r="U76" i="2"/>
  <c r="U81" i="2" s="1"/>
  <c r="U82" i="2" s="1"/>
  <c r="Z80" i="2"/>
  <c r="Z76" i="2"/>
  <c r="Z82" i="2" s="1"/>
  <c r="W80" i="2"/>
  <c r="W76" i="2"/>
  <c r="W81" i="2" s="1"/>
  <c r="W82" i="2" s="1"/>
  <c r="X80" i="2"/>
  <c r="X76" i="2"/>
  <c r="X81" i="2" s="1"/>
  <c r="X82" i="2" s="1"/>
  <c r="AA80" i="2"/>
  <c r="AA76" i="2"/>
  <c r="AA82" i="2" s="1"/>
  <c r="V80" i="2"/>
  <c r="V76" i="2"/>
  <c r="V81" i="2" s="1"/>
  <c r="V82" i="2" s="1"/>
  <c r="Y80" i="2"/>
  <c r="Y76" i="2"/>
  <c r="Y82" i="2" s="1"/>
  <c r="AB80" i="2"/>
  <c r="U58" i="2"/>
  <c r="U79" i="2" s="1"/>
  <c r="E11" i="18"/>
  <c r="U80" i="2"/>
  <c r="AI10" i="2"/>
  <c r="AJ10" i="2" s="1"/>
  <c r="AI25" i="2"/>
  <c r="AJ25" i="2" s="1"/>
  <c r="AB79" i="2"/>
  <c r="AA79" i="2"/>
  <c r="Z79" i="2"/>
  <c r="Y79" i="2"/>
  <c r="X79" i="2"/>
  <c r="V79" i="2"/>
  <c r="AI41" i="2"/>
  <c r="AJ41" i="2" s="1"/>
  <c r="AI60" i="2"/>
  <c r="AJ60" i="2" s="1"/>
  <c r="AI65" i="2"/>
  <c r="AJ65" i="2" s="1"/>
  <c r="AI50" i="2"/>
  <c r="AI55" i="2"/>
  <c r="AI52" i="2"/>
  <c r="AI61" i="2"/>
  <c r="AJ61" i="2" s="1"/>
  <c r="AI49" i="2"/>
  <c r="AI64" i="2"/>
  <c r="AJ64" i="2" s="1"/>
  <c r="AI9" i="2"/>
  <c r="AJ9" i="2" s="1"/>
  <c r="AI17" i="2"/>
  <c r="AJ17" i="2" s="1"/>
  <c r="AI22" i="2"/>
  <c r="AI31" i="2"/>
  <c r="AJ31" i="2" s="1"/>
  <c r="AI53" i="2"/>
  <c r="W26" i="2"/>
  <c r="W79" i="2" s="1"/>
  <c r="AI28" i="2"/>
  <c r="AJ28" i="2" s="1"/>
  <c r="AI19" i="2"/>
  <c r="AJ19" i="2" s="1"/>
  <c r="AI5" i="2"/>
  <c r="AJ5" i="2" s="1"/>
  <c r="Q61" i="2"/>
  <c r="Q56" i="2"/>
  <c r="E34" i="1"/>
  <c r="Q55" i="2" s="1"/>
  <c r="E14" i="18" l="1"/>
  <c r="C201" i="18"/>
  <c r="C16" i="18"/>
  <c r="AI47" i="2"/>
  <c r="AJ47" i="2" s="1"/>
  <c r="S81" i="2"/>
  <c r="S82" i="2" s="1"/>
  <c r="AL53" i="2"/>
  <c r="AJ53" i="2"/>
  <c r="AL52" i="2"/>
  <c r="AJ52" i="2"/>
  <c r="AL55" i="2"/>
  <c r="AJ55" i="2"/>
  <c r="S58" i="2"/>
  <c r="S79" i="2" s="1"/>
  <c r="S80" i="2"/>
  <c r="AJ22" i="2"/>
  <c r="AE56" i="2"/>
  <c r="AL49" i="2"/>
  <c r="AJ49" i="2"/>
  <c r="AL50" i="2"/>
  <c r="AJ50" i="2"/>
  <c r="T82" i="2"/>
  <c r="E27" i="18"/>
  <c r="F27" i="18" s="1"/>
  <c r="E32" i="18"/>
  <c r="C34" i="18"/>
  <c r="C202" i="18" s="1"/>
  <c r="E202" i="18" s="1"/>
  <c r="E15" i="18"/>
  <c r="E13" i="18"/>
  <c r="F11" i="18"/>
  <c r="F13" i="18" s="1"/>
  <c r="G11" i="18"/>
  <c r="X65" i="17" s="1"/>
  <c r="X168" i="17" s="1"/>
  <c r="AI62" i="2"/>
  <c r="AI26" i="2"/>
  <c r="AJ26" i="2" s="1"/>
  <c r="E201" i="18" l="1"/>
  <c r="C208" i="18"/>
  <c r="C17" i="18"/>
  <c r="E17" i="18" s="1"/>
  <c r="E16" i="18"/>
  <c r="C35" i="18"/>
  <c r="C36" i="18" s="1"/>
  <c r="X66" i="17"/>
  <c r="AH56" i="2"/>
  <c r="AE58" i="2"/>
  <c r="AE79" i="2" s="1"/>
  <c r="AE81" i="2"/>
  <c r="AI81" i="2" s="1"/>
  <c r="AI66" i="2"/>
  <c r="AJ62" i="2"/>
  <c r="AE82" i="2"/>
  <c r="AI82" i="2" s="1"/>
  <c r="E34" i="18"/>
  <c r="E29" i="18"/>
  <c r="G27" i="18"/>
  <c r="W80" i="17" s="1"/>
  <c r="W168" i="17" s="1"/>
  <c r="AG56" i="2" s="1"/>
  <c r="AI56" i="2" s="1"/>
  <c r="G13" i="18"/>
  <c r="C203" i="18" l="1"/>
  <c r="AL81" i="2"/>
  <c r="X79" i="17"/>
  <c r="X166" i="17" s="1"/>
  <c r="W83" i="17"/>
  <c r="AI69" i="2"/>
  <c r="AJ66" i="2"/>
  <c r="W68" i="17"/>
  <c r="W155" i="17" l="1"/>
  <c r="W202" i="17" s="1"/>
  <c r="E203" i="18"/>
  <c r="C204" i="18"/>
  <c r="E204" i="18" s="1"/>
  <c r="X83" i="17"/>
  <c r="AG57" i="2"/>
  <c r="AI73" i="2"/>
  <c r="AJ69" i="2"/>
  <c r="X68" i="17"/>
  <c r="X155" i="17" s="1"/>
  <c r="Y168" i="17"/>
  <c r="W172" i="17" l="1"/>
  <c r="X202" i="17"/>
  <c r="AI76" i="2"/>
  <c r="AJ73" i="2"/>
  <c r="AJ76" i="2" s="1"/>
  <c r="AL56" i="2"/>
  <c r="X172" i="17"/>
  <c r="AH57" i="2"/>
  <c r="D65" i="1"/>
  <c r="D64" i="1"/>
  <c r="W177" i="17" l="1"/>
  <c r="F15" i="15"/>
  <c r="W174" i="17"/>
  <c r="X174" i="17"/>
  <c r="AJ56" i="2"/>
  <c r="AM56" i="2"/>
  <c r="AL57" i="2"/>
  <c r="AH79" i="2"/>
  <c r="AI57" i="2"/>
  <c r="P41" i="2"/>
  <c r="Q80" i="34" l="1"/>
  <c r="AH85" i="2"/>
  <c r="C205" i="18"/>
  <c r="AJ57" i="2"/>
  <c r="AI58" i="2"/>
  <c r="AI79" i="2" s="1"/>
  <c r="P17" i="2"/>
  <c r="D24" i="1"/>
  <c r="D26" i="1"/>
  <c r="D27" i="1"/>
  <c r="D28" i="1"/>
  <c r="F64" i="2"/>
  <c r="F31" i="2"/>
  <c r="D63" i="1"/>
  <c r="D58" i="1"/>
  <c r="L17" i="2"/>
  <c r="AJ81" i="2" l="1"/>
  <c r="AJ79" i="2"/>
  <c r="AJ58" i="2"/>
  <c r="AL59" i="2"/>
  <c r="AM59" i="2" s="1"/>
  <c r="C5" i="4"/>
  <c r="Q19" i="2"/>
  <c r="E72" i="1" l="1"/>
  <c r="E19" i="2" l="1"/>
  <c r="D79" i="1" l="1"/>
  <c r="D82" i="1" l="1"/>
  <c r="P65" i="2"/>
  <c r="Q81" i="2"/>
  <c r="E80" i="1"/>
  <c r="E82" i="1" s="1"/>
  <c r="D59" i="1" l="1"/>
  <c r="H64" i="2"/>
  <c r="H17" i="2"/>
  <c r="H11" i="2"/>
  <c r="E47" i="1"/>
  <c r="Q64" i="2" s="1"/>
  <c r="P52" i="2" l="1"/>
  <c r="P48" i="2"/>
  <c r="Q20" i="2"/>
  <c r="D61" i="1"/>
  <c r="P31" i="2" s="1"/>
  <c r="E69" i="1"/>
  <c r="Q9" i="2" s="1"/>
  <c r="L12" i="1"/>
  <c r="L10" i="1"/>
  <c r="D16" i="1" s="1"/>
  <c r="G19" i="1" s="1"/>
  <c r="C11" i="1"/>
  <c r="C13" i="1" s="1"/>
  <c r="E64" i="2"/>
  <c r="N23" i="2"/>
  <c r="R23" i="2" s="1"/>
  <c r="E62" i="2"/>
  <c r="E58" i="2"/>
  <c r="C2" i="4" s="1"/>
  <c r="E47" i="2"/>
  <c r="E26" i="2"/>
  <c r="N24" i="2"/>
  <c r="R24" i="2" s="1"/>
  <c r="C82" i="4"/>
  <c r="I85" i="4" s="1"/>
  <c r="C60" i="4"/>
  <c r="I62" i="4" s="1"/>
  <c r="C27" i="4"/>
  <c r="I30" i="4" s="1"/>
  <c r="C8" i="4" l="1"/>
  <c r="F7" i="4"/>
  <c r="E66" i="2"/>
  <c r="E69" i="2" s="1"/>
  <c r="E73" i="2" s="1"/>
  <c r="E76" i="2" s="1"/>
  <c r="E79" i="2"/>
  <c r="D43" i="1"/>
  <c r="G44" i="1"/>
  <c r="G46" i="1"/>
  <c r="G9" i="1"/>
  <c r="F9" i="1"/>
  <c r="F17" i="2"/>
  <c r="F9" i="2"/>
  <c r="F11" i="2"/>
  <c r="F49" i="2"/>
  <c r="G20" i="1" s="1"/>
  <c r="K9" i="1"/>
  <c r="J11" i="1"/>
  <c r="J13" i="1" s="1"/>
  <c r="I9" i="1"/>
  <c r="H11" i="1"/>
  <c r="H13" i="1" s="1"/>
  <c r="E11" i="1"/>
  <c r="E13" i="1" s="1"/>
  <c r="D9" i="1"/>
  <c r="P49" i="2"/>
  <c r="P53" i="2"/>
  <c r="P50" i="2"/>
  <c r="F95" i="4"/>
  <c r="G94" i="4" s="1"/>
  <c r="F73" i="4"/>
  <c r="G72" i="4" s="1"/>
  <c r="F18" i="4"/>
  <c r="G17" i="4" s="1"/>
  <c r="M47" i="2"/>
  <c r="L47" i="2"/>
  <c r="M62" i="2"/>
  <c r="M66" i="2" s="1"/>
  <c r="M69" i="2" s="1"/>
  <c r="M73" i="2" s="1"/>
  <c r="M76" i="2" s="1"/>
  <c r="L62" i="2"/>
  <c r="L66" i="2" s="1"/>
  <c r="L69" i="2" s="1"/>
  <c r="L73" i="2" s="1"/>
  <c r="L76" i="2" s="1"/>
  <c r="K62" i="2"/>
  <c r="K66" i="2" s="1"/>
  <c r="K69" i="2" s="1"/>
  <c r="K73" i="2" s="1"/>
  <c r="K76" i="2" s="1"/>
  <c r="M58" i="2"/>
  <c r="C90" i="4" s="1"/>
  <c r="L58" i="2"/>
  <c r="C79" i="4" s="1"/>
  <c r="K58" i="2"/>
  <c r="K47" i="2"/>
  <c r="M26" i="2"/>
  <c r="L26" i="2"/>
  <c r="K26" i="2"/>
  <c r="J11" i="2"/>
  <c r="H55" i="2"/>
  <c r="D29" i="1" s="1"/>
  <c r="H44" i="2"/>
  <c r="H19" i="2"/>
  <c r="H8" i="2"/>
  <c r="F30" i="2"/>
  <c r="E22" i="6"/>
  <c r="D9" i="6"/>
  <c r="C9" i="6"/>
  <c r="P56" i="2" l="1"/>
  <c r="P60" i="2"/>
  <c r="H58" i="2"/>
  <c r="C68" i="4"/>
  <c r="K79" i="2"/>
  <c r="L79" i="2"/>
  <c r="G6" i="4"/>
  <c r="C6" i="4" s="1"/>
  <c r="I6" i="4" s="1"/>
  <c r="G5" i="4"/>
  <c r="C16" i="4"/>
  <c r="L9" i="1"/>
  <c r="E35" i="1" s="1"/>
  <c r="C94" i="4"/>
  <c r="E17" i="1"/>
  <c r="D19" i="1"/>
  <c r="G11" i="1"/>
  <c r="G13" i="1" s="1"/>
  <c r="C49" i="4"/>
  <c r="I51" i="4" s="1"/>
  <c r="F11" i="1"/>
  <c r="F13" i="1" s="1"/>
  <c r="C38" i="4"/>
  <c r="I40" i="4" s="1"/>
  <c r="G93" i="4"/>
  <c r="I96" i="4" s="1"/>
  <c r="K11" i="1"/>
  <c r="K13" i="1" s="1"/>
  <c r="C93" i="4"/>
  <c r="I95" i="4" s="1"/>
  <c r="I11" i="1"/>
  <c r="I13" i="1" s="1"/>
  <c r="C71" i="4"/>
  <c r="I73" i="4" s="1"/>
  <c r="C96" i="4"/>
  <c r="G71" i="4"/>
  <c r="G16" i="4"/>
  <c r="F62" i="2"/>
  <c r="F66" i="2" s="1"/>
  <c r="F69" i="2" s="1"/>
  <c r="F73" i="2" s="1"/>
  <c r="F76" i="2" s="1"/>
  <c r="F58" i="2"/>
  <c r="C13" i="4" s="1"/>
  <c r="C17" i="4" s="1"/>
  <c r="F47" i="2"/>
  <c r="N68" i="2"/>
  <c r="R68" i="2" s="1"/>
  <c r="N49" i="2"/>
  <c r="R49" i="2" s="1"/>
  <c r="N44" i="2"/>
  <c r="R44" i="2" s="1"/>
  <c r="N41" i="2"/>
  <c r="R41" i="2" s="1"/>
  <c r="N38" i="2"/>
  <c r="R38" i="2" s="1"/>
  <c r="N45" i="2"/>
  <c r="R45" i="2" s="1"/>
  <c r="N37" i="2"/>
  <c r="R37" i="2" s="1"/>
  <c r="N34" i="2"/>
  <c r="R34" i="2" s="1"/>
  <c r="N33" i="2"/>
  <c r="R33" i="2" s="1"/>
  <c r="N31" i="2"/>
  <c r="R31" i="2" s="1"/>
  <c r="N19" i="2"/>
  <c r="R19" i="2" s="1"/>
  <c r="N16" i="2"/>
  <c r="R16" i="2" s="1"/>
  <c r="N14" i="2"/>
  <c r="R14" i="2" s="1"/>
  <c r="N12" i="2"/>
  <c r="R12" i="2" s="1"/>
  <c r="N7" i="2"/>
  <c r="R7" i="2" s="1"/>
  <c r="N6" i="2"/>
  <c r="R6" i="2" s="1"/>
  <c r="I97" i="4" l="1"/>
  <c r="C74" i="4"/>
  <c r="I74" i="4"/>
  <c r="I75" i="4" s="1"/>
  <c r="C72" i="4"/>
  <c r="C73" i="4" s="1"/>
  <c r="C7" i="4"/>
  <c r="C9" i="4" s="1"/>
  <c r="C95" i="4"/>
  <c r="C97" i="4" s="1"/>
  <c r="C19" i="4"/>
  <c r="E19" i="1"/>
  <c r="F19" i="1" s="1"/>
  <c r="L11" i="1"/>
  <c r="Q22" i="2"/>
  <c r="F26" i="2"/>
  <c r="F79" i="2" s="1"/>
  <c r="C85" i="4"/>
  <c r="F84" i="4"/>
  <c r="F62" i="4"/>
  <c r="G60" i="4" s="1"/>
  <c r="F51" i="4"/>
  <c r="G50" i="4" s="1"/>
  <c r="F40" i="4"/>
  <c r="G39" i="4" s="1"/>
  <c r="F29" i="4"/>
  <c r="G28" i="4" s="1"/>
  <c r="N72" i="2"/>
  <c r="R72" i="2" s="1"/>
  <c r="N65" i="2"/>
  <c r="R65" i="2" s="1"/>
  <c r="N64" i="2"/>
  <c r="R64" i="2" s="1"/>
  <c r="N61" i="2"/>
  <c r="R61" i="2" s="1"/>
  <c r="N60" i="2"/>
  <c r="R60" i="2" s="1"/>
  <c r="N57" i="2"/>
  <c r="N55" i="2"/>
  <c r="N53" i="2"/>
  <c r="R53" i="2" s="1"/>
  <c r="N52" i="2"/>
  <c r="R52" i="2" s="1"/>
  <c r="N51" i="2"/>
  <c r="R51" i="2" s="1"/>
  <c r="N50" i="2"/>
  <c r="R50" i="2" s="1"/>
  <c r="N48" i="2"/>
  <c r="R48" i="2" s="1"/>
  <c r="N46" i="2"/>
  <c r="R46" i="2" s="1"/>
  <c r="N36" i="2"/>
  <c r="R36" i="2" s="1"/>
  <c r="N35" i="2"/>
  <c r="R35" i="2" s="1"/>
  <c r="N30" i="2"/>
  <c r="R30" i="2" s="1"/>
  <c r="N28" i="2"/>
  <c r="R28" i="2" s="1"/>
  <c r="N25" i="2"/>
  <c r="N22" i="2"/>
  <c r="N20" i="2"/>
  <c r="N18" i="2"/>
  <c r="N17" i="2"/>
  <c r="N13" i="2"/>
  <c r="N11" i="2"/>
  <c r="N10" i="2"/>
  <c r="N9" i="2"/>
  <c r="N8" i="2"/>
  <c r="N5" i="2"/>
  <c r="J62" i="2"/>
  <c r="J66" i="2" s="1"/>
  <c r="J69" i="2" s="1"/>
  <c r="J73" i="2" s="1"/>
  <c r="J76" i="2" s="1"/>
  <c r="J58" i="2"/>
  <c r="C57" i="4" s="1"/>
  <c r="J47" i="2"/>
  <c r="J26" i="2"/>
  <c r="I62" i="2"/>
  <c r="I66" i="2" s="1"/>
  <c r="I69" i="2" s="1"/>
  <c r="I73" i="2" s="1"/>
  <c r="I76" i="2" s="1"/>
  <c r="I58" i="2"/>
  <c r="C46" i="4" s="1"/>
  <c r="I47" i="2"/>
  <c r="I26" i="2"/>
  <c r="L13" i="1" l="1"/>
  <c r="N11" i="1"/>
  <c r="O12" i="1" s="1"/>
  <c r="I7" i="4"/>
  <c r="C75" i="4"/>
  <c r="C52" i="4"/>
  <c r="C63" i="4"/>
  <c r="I63" i="4"/>
  <c r="I64" i="4" s="1"/>
  <c r="C50" i="4"/>
  <c r="C51" i="4" s="1"/>
  <c r="G61" i="4"/>
  <c r="C61" i="4" s="1"/>
  <c r="C62" i="4" s="1"/>
  <c r="G83" i="4"/>
  <c r="C83" i="4" s="1"/>
  <c r="C84" i="4" s="1"/>
  <c r="C86" i="4" s="1"/>
  <c r="G82" i="4"/>
  <c r="I86" i="4" s="1"/>
  <c r="I87" i="4" s="1"/>
  <c r="G27" i="4"/>
  <c r="G38" i="4"/>
  <c r="G49" i="4"/>
  <c r="I52" i="4" s="1"/>
  <c r="I53" i="4" s="1"/>
  <c r="I79" i="2"/>
  <c r="J79" i="2"/>
  <c r="C64" i="4" l="1"/>
  <c r="C53" i="4"/>
  <c r="C18" i="4"/>
  <c r="C20" i="4" s="1"/>
  <c r="C35" i="4"/>
  <c r="C103" i="4" l="1"/>
  <c r="D31" i="1" s="1"/>
  <c r="P25" i="2" s="1"/>
  <c r="C41" i="4"/>
  <c r="C39" i="4"/>
  <c r="C40" i="4" s="1"/>
  <c r="N62" i="2"/>
  <c r="N66" i="2" s="1"/>
  <c r="N69" i="2" s="1"/>
  <c r="N73" i="2" s="1"/>
  <c r="N76" i="2" s="1"/>
  <c r="H62" i="2"/>
  <c r="H66" i="2" s="1"/>
  <c r="H69" i="2" s="1"/>
  <c r="G62" i="2"/>
  <c r="G66" i="2" s="1"/>
  <c r="G69" i="2" s="1"/>
  <c r="G73" i="2" s="1"/>
  <c r="G76" i="2" s="1"/>
  <c r="D62" i="2"/>
  <c r="D66" i="2" s="1"/>
  <c r="D69" i="2" s="1"/>
  <c r="G58" i="2"/>
  <c r="H47" i="2"/>
  <c r="H26" i="2"/>
  <c r="G47" i="2"/>
  <c r="D47" i="2"/>
  <c r="G26" i="2"/>
  <c r="D26" i="2"/>
  <c r="D73" i="2" l="1"/>
  <c r="D76" i="2" s="1"/>
  <c r="D56" i="2" s="1"/>
  <c r="H73" i="2"/>
  <c r="C24" i="4"/>
  <c r="C42" i="4"/>
  <c r="H79" i="2"/>
  <c r="M79" i="2"/>
  <c r="G79" i="2"/>
  <c r="H80" i="2" l="1"/>
  <c r="H76" i="2"/>
  <c r="C56" i="2"/>
  <c r="N56" i="2"/>
  <c r="R56" i="2" s="1"/>
  <c r="D58" i="2"/>
  <c r="D79" i="2" s="1"/>
  <c r="C28" i="4"/>
  <c r="C101" i="4" s="1"/>
  <c r="I31" i="4"/>
  <c r="I32" i="4" s="1"/>
  <c r="D73" i="1"/>
  <c r="E73" i="1"/>
  <c r="E36" i="1" l="1"/>
  <c r="Q57" i="2" s="1"/>
  <c r="R57" i="2" s="1"/>
  <c r="R22" i="2"/>
  <c r="N47" i="2" l="1"/>
  <c r="N58" i="2"/>
  <c r="N26" i="2"/>
  <c r="D51" i="1"/>
  <c r="C29" i="4"/>
  <c r="C30" i="4"/>
  <c r="D11" i="1"/>
  <c r="D13" i="1" s="1"/>
  <c r="N79" i="2" l="1"/>
  <c r="C31" i="4"/>
  <c r="C102" i="4" s="1"/>
  <c r="D32" i="1" l="1"/>
  <c r="Q78" i="2"/>
  <c r="E51" i="1"/>
  <c r="P55" i="2" l="1"/>
  <c r="R55" i="2" s="1"/>
  <c r="E38" i="1"/>
  <c r="R25" i="2" l="1"/>
  <c r="P78" i="2"/>
  <c r="D38" i="1"/>
  <c r="E39" i="1" s="1"/>
  <c r="R20" i="2"/>
  <c r="K38" i="1" l="1"/>
  <c r="R58" i="2"/>
  <c r="R62" i="2"/>
  <c r="R66" i="2" s="1"/>
  <c r="R69" i="2" s="1"/>
  <c r="R73" i="2" s="1"/>
  <c r="R76" i="2" s="1"/>
  <c r="R47" i="2"/>
  <c r="R18" i="2" l="1"/>
  <c r="R8" i="2" l="1"/>
  <c r="R9" i="2"/>
  <c r="R10" i="2"/>
  <c r="R11" i="2"/>
  <c r="R13" i="2"/>
  <c r="R17" i="2"/>
  <c r="P79" i="2" l="1"/>
  <c r="R5" i="2"/>
  <c r="R26" i="2" l="1"/>
  <c r="AG79" i="2"/>
  <c r="AH80" i="2" s="1"/>
  <c r="W13" i="39"/>
  <c r="AA11" i="39"/>
  <c r="AA13" i="39" s="1"/>
  <c r="W27" i="39"/>
  <c r="AI19" i="39" l="1"/>
  <c r="N25" i="17" s="1"/>
  <c r="N26" i="17" s="1"/>
  <c r="N28" i="17" s="1"/>
  <c r="W39" i="39"/>
  <c r="AA39" i="39" s="1"/>
  <c r="AA40" i="39" s="1"/>
  <c r="W28" i="39"/>
  <c r="AE11" i="39"/>
  <c r="W40" i="39"/>
  <c r="AA27" i="39"/>
  <c r="AG39" i="39" l="1"/>
  <c r="C106" i="17" s="1"/>
  <c r="C121" i="17" s="1"/>
  <c r="C122" i="17" s="1"/>
  <c r="Q50" i="36"/>
  <c r="T50" i="36" s="1"/>
  <c r="B96" i="17"/>
  <c r="B97" i="17" s="1"/>
  <c r="D69" i="17"/>
  <c r="W42" i="39"/>
  <c r="W44" i="39" s="1"/>
  <c r="AE27" i="39"/>
  <c r="AE13" i="39"/>
  <c r="AG11" i="39"/>
  <c r="AG13" i="39" s="1"/>
  <c r="AA28" i="39"/>
  <c r="AA42" i="39" s="1"/>
  <c r="AA44" i="39" s="1"/>
  <c r="C111" i="17" l="1"/>
  <c r="B112" i="17" s="1"/>
  <c r="AG40" i="39"/>
  <c r="C107" i="17" s="1"/>
  <c r="C108" i="17" s="1"/>
  <c r="B109" i="17" s="1"/>
  <c r="P52" i="36"/>
  <c r="P53" i="36" s="1"/>
  <c r="AE28" i="39"/>
  <c r="AE42" i="39" s="1"/>
  <c r="AE44" i="39" s="1"/>
  <c r="AG27" i="39"/>
  <c r="AH27" i="39" s="1"/>
  <c r="Q51" i="36" l="1"/>
  <c r="R51" i="36" s="1"/>
  <c r="Q52" i="36"/>
  <c r="AG28" i="39"/>
  <c r="AH28" i="39" s="1"/>
  <c r="R50" i="36"/>
  <c r="S50" i="36" s="1"/>
  <c r="S51" i="36" l="1"/>
  <c r="R52" i="36"/>
  <c r="R75" i="36" s="1"/>
  <c r="AG42" i="39"/>
  <c r="AG44" i="39" s="1"/>
  <c r="Q53" i="36"/>
  <c r="Q54" i="36" s="1"/>
  <c r="I29" i="32" l="1"/>
  <c r="S52" i="36"/>
  <c r="R53" i="36"/>
  <c r="I31" i="32" l="1"/>
  <c r="B38" i="32" s="1"/>
  <c r="X50" i="35"/>
  <c r="K29" i="32"/>
  <c r="J28" i="31" l="1"/>
  <c r="J32" i="31" s="1"/>
  <c r="J33" i="31" s="1"/>
  <c r="B72" i="31" s="1"/>
  <c r="K41" i="32"/>
  <c r="L41" i="32" s="1"/>
  <c r="L42" i="32" s="1"/>
  <c r="I38" i="32"/>
  <c r="N37" i="31" l="1"/>
  <c r="N43" i="31" s="1"/>
  <c r="B38" i="33" s="1"/>
  <c r="B39" i="33" s="1"/>
  <c r="J34" i="31"/>
  <c r="V37" i="31"/>
  <c r="M37" i="31" l="1"/>
  <c r="M41" i="31" s="1"/>
  <c r="V43" i="31"/>
  <c r="M42" i="31" l="1"/>
  <c r="M44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Humberto Antonio Tutiven Romero</author>
  </authors>
  <commentList>
    <comment ref="AH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Humberto Antonio Tutiven Romero:</t>
        </r>
        <r>
          <rPr>
            <sz val="9"/>
            <color indexed="81"/>
            <rFont val="Tahoma"/>
            <family val="2"/>
          </rPr>
          <t xml:space="preserve">
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Karina Villafuerte Echeverría</author>
  </authors>
  <commentList>
    <comment ref="Q9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
</t>
        </r>
      </text>
    </comment>
    <comment ref="Q13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utilidad en venta </t>
        </r>
      </text>
    </comment>
    <comment ref="Q14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</t>
        </r>
      </text>
    </comment>
    <comment ref="P18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Reconocimiento de plusvalía mercantil</t>
        </r>
      </text>
    </comment>
    <comment ref="Q18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Capacity IRU Cable andino Inc</t>
        </r>
      </text>
    </comment>
    <comment ref="P20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provisión por deterioro y reconocimiento de vpp en Latamfiberhome</t>
        </r>
      </text>
    </comment>
    <comment ref="Q20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cada paquete accionario de subsiriaria</t>
        </r>
      </text>
    </comment>
    <comment ref="P27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28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de subsidiarias</t>
        </r>
      </text>
    </comment>
    <comment ref="P30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 de saldos consolidados</t>
        </r>
      </text>
    </comment>
    <comment ref="Q30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Eliminacion de cuenta Linkotel</t>
        </r>
      </text>
    </comment>
    <comment ref="P37" authorId="0" shapeId="0" xr:uid="{00000000-0006-0000-1600-00000C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38" authorId="0" shapeId="0" xr:uid="{00000000-0006-0000-1600-00000D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ajustes de saldos consolidados</t>
        </r>
      </text>
    </comment>
    <comment ref="P43" authorId="0" shapeId="0" xr:uid="{00000000-0006-0000-1600-00000E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subsidiarias</t>
        </r>
      </text>
    </comment>
    <comment ref="P44" authorId="0" shapeId="0" xr:uid="{00000000-0006-0000-1600-00000F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aportes de inversión en subsidiarias</t>
        </r>
      </text>
    </comment>
    <comment ref="P45" authorId="0" shapeId="0" xr:uid="{00000000-0006-0000-1600-000010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47" authorId="0" shapeId="0" xr:uid="{00000000-0006-0000-1600-00001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inversión en subsidiarias</t>
        </r>
      </text>
    </comment>
    <comment ref="Q48" authorId="0" shapeId="0" xr:uid="{00000000-0006-0000-1600-00001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50" authorId="0" shapeId="0" xr:uid="{00000000-0006-0000-1600-00001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en subsidiarias</t>
        </r>
      </text>
    </comment>
    <comment ref="Q50" authorId="0" shapeId="0" xr:uid="{00000000-0006-0000-1600-00001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<sst xmlns="http://schemas.openxmlformats.org/spreadsheetml/2006/main" count="2512" uniqueCount="788">
  <si>
    <t xml:space="preserve">CUENTA </t>
  </si>
  <si>
    <t>DEBE</t>
  </si>
  <si>
    <t xml:space="preserve">HABER </t>
  </si>
  <si>
    <t xml:space="preserve">Los movimientos que han tenido la Inversión son los siguientes: </t>
  </si>
  <si>
    <t>Cuentas</t>
  </si>
  <si>
    <t>Cuentas por cobrar relacionadas</t>
  </si>
  <si>
    <t>Inventarios</t>
  </si>
  <si>
    <t>Cuentas por pagar relacionadas</t>
  </si>
  <si>
    <t>Capital Social</t>
  </si>
  <si>
    <t xml:space="preserve">Utilidad  del Ejercicio </t>
  </si>
  <si>
    <t>Notas</t>
  </si>
  <si>
    <t xml:space="preserve">AJUSTES </t>
  </si>
  <si>
    <t xml:space="preserve">Débitos </t>
  </si>
  <si>
    <t xml:space="preserve">Créditos </t>
  </si>
  <si>
    <t>Participación No Controladora (PNC)</t>
  </si>
  <si>
    <t>Total</t>
  </si>
  <si>
    <t>Propiedades de inversión</t>
  </si>
  <si>
    <t>Reserva legal</t>
  </si>
  <si>
    <t>Reserva de capital</t>
  </si>
  <si>
    <t>Reserva facultativa</t>
  </si>
  <si>
    <t>Ajuste de Primera Adopcion NIIF</t>
  </si>
  <si>
    <t>Utilidades Acumuladas</t>
  </si>
  <si>
    <t>Efectivo y equivalentes de efectivo</t>
  </si>
  <si>
    <t>Impuesto a las ganancias</t>
  </si>
  <si>
    <t>Consolidado 
antes de 
Ajustes</t>
  </si>
  <si>
    <t>Cuenta</t>
  </si>
  <si>
    <t>Debe</t>
  </si>
  <si>
    <t>Haber</t>
  </si>
  <si>
    <t xml:space="preserve">    Participación No Controladora</t>
  </si>
  <si>
    <t>PNC  basado en activos netos</t>
  </si>
  <si>
    <t>VR de la contraprestación</t>
  </si>
  <si>
    <t xml:space="preserve">Porción controlada </t>
  </si>
  <si>
    <t xml:space="preserve">Costo de Adquisición </t>
  </si>
  <si>
    <t>Resultados del ejercicio (Mindshare - Glue)</t>
  </si>
  <si>
    <t>´(1)</t>
  </si>
  <si>
    <t>´(2)</t>
  </si>
  <si>
    <t xml:space="preserve">PLANILLA   DE  AJUSTES - PARA CONSOLIDADO </t>
  </si>
  <si>
    <t>ASIENTOS DE AJUSTES</t>
  </si>
  <si>
    <t>Valor de la Inversión al 31.12.2015</t>
  </si>
  <si>
    <t>Total activos</t>
  </si>
  <si>
    <t>Total pasivos</t>
  </si>
  <si>
    <t>Total patrimonio</t>
  </si>
  <si>
    <t>b</t>
  </si>
  <si>
    <t>Resultados del ejercicio</t>
  </si>
  <si>
    <t xml:space="preserve">Capital Social </t>
  </si>
  <si>
    <t>Compañía</t>
  </si>
  <si>
    <t xml:space="preserve">Reserva Legal </t>
  </si>
  <si>
    <t xml:space="preserve">Reserva de capital </t>
  </si>
  <si>
    <t xml:space="preserve">Resultados Acumulados </t>
  </si>
  <si>
    <t>TELCONET S.A. Y SUBSIDIARIAS</t>
  </si>
  <si>
    <t>Telconet S.A.</t>
  </si>
  <si>
    <t>TRANSTELCO S.A.</t>
  </si>
  <si>
    <t>No controlador</t>
  </si>
  <si>
    <t>(-) Activos netos identificables adquiridos de Transtelco</t>
  </si>
  <si>
    <t>NETSPEED S.A.</t>
  </si>
  <si>
    <t>CERINSA S.A.</t>
  </si>
  <si>
    <t>ECONOCOMPU S.A.</t>
  </si>
  <si>
    <t>(-) Activos netos identificables adquiridos de Econocompu</t>
  </si>
  <si>
    <t>(-) Activos netos identificables adquiridos de Cerinsa</t>
  </si>
  <si>
    <t>(-) Activos netos identificables adquiridos de Netspeed</t>
  </si>
  <si>
    <t>INMOBILIARIA LEONORTRES S.A.</t>
  </si>
  <si>
    <t>(-) Activos netos identificables adquiridos de Inmobiliaria Leonortres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</si>
  <si>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(1)=</t>
    </r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</si>
  <si>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(2)=</t>
    </r>
  </si>
  <si>
    <t>Participación no controladora al 31.12.2014</t>
  </si>
  <si>
    <t>Inversiones mantenidas hasta el vencimiento</t>
  </si>
  <si>
    <t>Activos financieros a valor razonable</t>
  </si>
  <si>
    <t>Cuentas por cobrar comerciales</t>
  </si>
  <si>
    <t>Otras cuentas por cobrar</t>
  </si>
  <si>
    <t>Impuestos por recuperar</t>
  </si>
  <si>
    <t>Anticipos a proveedores</t>
  </si>
  <si>
    <t>Trabajos en proceso</t>
  </si>
  <si>
    <t>Otras cuentas por cobrar L/P</t>
  </si>
  <si>
    <t>Propiedades y equipos</t>
  </si>
  <si>
    <t>Activos intangibles</t>
  </si>
  <si>
    <t>Trabajos en proceso L/P</t>
  </si>
  <si>
    <t>Inversiones en subsidiarias y asociadas</t>
  </si>
  <si>
    <t>Otros activos</t>
  </si>
  <si>
    <t>Préstamos y obligaciones financieras</t>
  </si>
  <si>
    <t>Cuentas por pagar a proveedores</t>
  </si>
  <si>
    <t>Otras cuentas por pagar</t>
  </si>
  <si>
    <t>Anticipos de clientes</t>
  </si>
  <si>
    <t>Beneficios sociales</t>
  </si>
  <si>
    <t>Ingresos diferidos</t>
  </si>
  <si>
    <t>Cuentas por pagar relacionadas L/P</t>
  </si>
  <si>
    <t>Ingresos diferidos L/P</t>
  </si>
  <si>
    <t>Beneficios sociales L/P</t>
  </si>
  <si>
    <t>Provisiones</t>
  </si>
  <si>
    <t>Aporte para futuras capitalizaciones</t>
  </si>
  <si>
    <t>Ingresos por ventas</t>
  </si>
  <si>
    <t>Costo de venta</t>
  </si>
  <si>
    <t>Gastos de administración y ventas</t>
  </si>
  <si>
    <t>Otros ingresos, neto</t>
  </si>
  <si>
    <t>Utilidad operacional</t>
  </si>
  <si>
    <t>Utilidad bruta</t>
  </si>
  <si>
    <t>Gastos financieros, neto</t>
  </si>
  <si>
    <t>Utilidad antes de IR</t>
  </si>
  <si>
    <t>TELCONET S.A.
Al 31/12/2015</t>
  </si>
  <si>
    <t>TRANSTELCO
Al 31/12/2015</t>
  </si>
  <si>
    <t>NETSPEED
Al 31/12/2015</t>
  </si>
  <si>
    <t>CERINSA
Al 31/12/2015</t>
  </si>
  <si>
    <t>ECONOCOMPU
Al 31/12/2015</t>
  </si>
  <si>
    <t>INMOB. LEONOR3
Al 31/12/2015</t>
  </si>
  <si>
    <t>CABLE ANDINO S.A.
Al 31/12/2015</t>
  </si>
  <si>
    <t>TELSOTERRA
Al 31/12/2015</t>
  </si>
  <si>
    <t>SMARTCITIES S.A.</t>
  </si>
  <si>
    <t>SMARTCITIES S.A.
Al 31/12/2015</t>
  </si>
  <si>
    <t>Total activo corriente</t>
  </si>
  <si>
    <t>Total activo no corriente</t>
  </si>
  <si>
    <t>Total pasivo corriente</t>
  </si>
  <si>
    <t>Total pasivo no corriente</t>
  </si>
  <si>
    <t>Ingresos</t>
  </si>
  <si>
    <t>Participación a trabajadores</t>
  </si>
  <si>
    <t>Utilidad neta</t>
  </si>
  <si>
    <t>Audex</t>
  </si>
  <si>
    <t>Costos y gastos</t>
  </si>
  <si>
    <t>2015 (En miles de US$)</t>
  </si>
  <si>
    <t>2014 (En miles de US$)</t>
  </si>
  <si>
    <t>Audex
Farmesr</t>
  </si>
  <si>
    <t>Reestructurado</t>
  </si>
  <si>
    <t xml:space="preserve">CABLE ANDINO S.A. </t>
  </si>
  <si>
    <t>Total de activos netos de la subsidiaria = patrimonio 31/12/2015</t>
  </si>
  <si>
    <t>Valor razonable de los Activos Netos de Transtelco al 31/12/2015</t>
  </si>
  <si>
    <t>(-) Activos netos identificables adquiridos de Cable Andino</t>
  </si>
  <si>
    <t>Valor razonable de los Activos Netos de Cable Andino al 31/12/2015</t>
  </si>
  <si>
    <t>Monto del PNC  (32% de US$830.061)</t>
  </si>
  <si>
    <t>Valor razonable de los Activos Netos de Netspeed al 31/12/2015</t>
  </si>
  <si>
    <t>Valor razonable de los Activos Netos de Cerinsa al 31/12/2015</t>
  </si>
  <si>
    <t>Monto del PNC  (25% de US$400.661)</t>
  </si>
  <si>
    <t>Valor razonable de los Activos Netos de Econocompu al 31/12/2015</t>
  </si>
  <si>
    <t>Monto del PNC  (7,2% de US$7.195)</t>
  </si>
  <si>
    <t>Monto del PNC  (40% de US$10.000)</t>
  </si>
  <si>
    <t>Valor razonable de los Activos Netos de Smartcities al 31/12/2015</t>
  </si>
  <si>
    <t>(-) Activos netos identificables adquiridos de Smartcities</t>
  </si>
  <si>
    <t>TELSOTERRA S.A.</t>
  </si>
  <si>
    <t>Valor razonable de los Activos Netos de Inmob. Leonor3 al 31/12/2015</t>
  </si>
  <si>
    <t>Valor razonable de los Activos Netos de Telsoterra al 31/12/2015</t>
  </si>
  <si>
    <t>Monto del PNC  (7,5% de US$800)</t>
  </si>
  <si>
    <t>(-) Activos netos identificables adquiridos de Telsoterra</t>
  </si>
  <si>
    <t>Monto del PNC  (0,0050% de US$1.140)</t>
  </si>
  <si>
    <t>´(3)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</si>
  <si>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(3)=</t>
    </r>
  </si>
  <si>
    <t>CABLE ANDINO S.A.</t>
  </si>
  <si>
    <t>TRANSTELCO</t>
  </si>
  <si>
    <t>NETSPEED</t>
  </si>
  <si>
    <t>CERINSA</t>
  </si>
  <si>
    <t>ECONOCOMPU</t>
  </si>
  <si>
    <t>LEONOR3</t>
  </si>
  <si>
    <t>TELSOTERRA</t>
  </si>
  <si>
    <t>Total saldo de cuenta inversiones en Telconet S.A. al 31.12.2015</t>
  </si>
  <si>
    <t>Corpandino</t>
  </si>
  <si>
    <t>Telconet</t>
  </si>
  <si>
    <t>Transtelco</t>
  </si>
  <si>
    <t>Cuentas por pagar relacionada</t>
  </si>
  <si>
    <t xml:space="preserve">Cuentas por pagar relacionada L/P </t>
  </si>
  <si>
    <t>Cuentas por cobrar relacionada</t>
  </si>
  <si>
    <t>Netspeed</t>
  </si>
  <si>
    <t>Resultados acumulados</t>
  </si>
  <si>
    <t>Consolidado</t>
  </si>
  <si>
    <t>Econocompu</t>
  </si>
  <si>
    <t>Valor de la venta sin IVA y descontada la N/C</t>
  </si>
  <si>
    <t>Telconet facturó a Corpandino equipos por US$548,473 menos N/C por US$50,542 (Incluye IVA)</t>
  </si>
  <si>
    <t>Telconet facturó a Transtelco instalaciones por US$963,539 menos N/C por US$13,173 (Incluye IVA)</t>
  </si>
  <si>
    <t>Ingreso y Gasto</t>
  </si>
  <si>
    <t>provisionado 2014</t>
  </si>
  <si>
    <t>Ingresos por ventas (Corpandino)</t>
  </si>
  <si>
    <t>Plusvalía</t>
  </si>
  <si>
    <t>Monto del PNC  (0,0476% de US$21.123)</t>
  </si>
  <si>
    <t>Monto del PNC  (50% de US$238.219)</t>
  </si>
  <si>
    <t>-</t>
  </si>
  <si>
    <t>Aporte para futura capitalización</t>
  </si>
  <si>
    <t>Aporte para futura capitalización (Subsidiarias)</t>
  </si>
  <si>
    <t>Subsidiarias</t>
  </si>
  <si>
    <t xml:space="preserve">    Inversión en Subsidiarias</t>
  </si>
  <si>
    <t>a)   Eliminación en Subsidiarias de aporte aún no efectivizado por parte de Telconet S.A.</t>
  </si>
  <si>
    <t>b)   Eliminación de las inversiones en subsidiarias</t>
  </si>
  <si>
    <t>c)    Eliminación de Ingresos en Telconet por ventas a Subsidiarias</t>
  </si>
  <si>
    <t>d)    Eliminación de saldos por Cobrar  y  por Pagar</t>
  </si>
  <si>
    <t>d</t>
  </si>
  <si>
    <t>b / c</t>
  </si>
  <si>
    <t>CABLE ANDINO INC.
Al 31/12/2015</t>
  </si>
  <si>
    <t>Proyectos</t>
  </si>
  <si>
    <t>CABLE ANDINO INC</t>
  </si>
  <si>
    <t>Cable Andino INC</t>
  </si>
  <si>
    <t>d /  b</t>
  </si>
  <si>
    <t xml:space="preserve">CABLE ANDINO INC </t>
  </si>
  <si>
    <t>Trabajos en Proceso L/P</t>
  </si>
  <si>
    <t>Valor razonable de los Activos Netos de Cable Andino INC al 31/12/2015</t>
  </si>
  <si>
    <t>(-) Activos netos identificables adquiridos de Cable Andino INC</t>
  </si>
  <si>
    <t>a / b / d</t>
  </si>
  <si>
    <t>(A)</t>
  </si>
  <si>
    <t>Costos de ventas (Corpandino)</t>
  </si>
  <si>
    <t>AL 31.12.2015</t>
  </si>
  <si>
    <t>Capital social</t>
  </si>
  <si>
    <t>Gastos administrativos (Telconet)</t>
  </si>
  <si>
    <t>Ingreso por ventas (Cable Andino INC)</t>
  </si>
  <si>
    <t>Participación no controladora</t>
  </si>
  <si>
    <t>e)   Ajuste pérdida de asociada (Latam)</t>
  </si>
  <si>
    <t>Controladora</t>
  </si>
  <si>
    <t xml:space="preserve">    Inversiones en asociadas</t>
  </si>
  <si>
    <t>a / b / e</t>
  </si>
  <si>
    <t>b / e</t>
  </si>
  <si>
    <t>Pérdida de Asociada Latam</t>
  </si>
  <si>
    <t>Cerinsa</t>
  </si>
  <si>
    <t>Telsoterra</t>
  </si>
  <si>
    <t>Activo intangible</t>
  </si>
  <si>
    <t>Resultados Acumulados</t>
  </si>
  <si>
    <t>Monto del PNC  (24,98% de US$36.760.932)</t>
  </si>
  <si>
    <t>Incrementada la revalorización de propiedad S/avalúo catastral</t>
  </si>
  <si>
    <t>Resultados Acumulados (Resultado primera consolidación)</t>
  </si>
  <si>
    <t>Propiedades y equipos (Leonor3)</t>
  </si>
  <si>
    <t>Descontado el aporte para futura capitalización de Telconet</t>
  </si>
  <si>
    <t>Inversiones en derechos fiduciarios</t>
  </si>
  <si>
    <t>Impuesto a la renta por pagar</t>
  </si>
  <si>
    <t>Cuentas por pagar a proveedores L/P</t>
  </si>
  <si>
    <t>Anticipos de clientes L/P</t>
  </si>
  <si>
    <t>REVALORIZACION</t>
  </si>
  <si>
    <t>TELCONET S.A.</t>
  </si>
  <si>
    <t>LINKOTEL</t>
  </si>
  <si>
    <t>TELCONET PANAMA</t>
  </si>
  <si>
    <t>TELCONET PANAMÁ</t>
  </si>
  <si>
    <t>Aporte capitalizado en el 2016</t>
  </si>
  <si>
    <t>Aporte 2016 capitalizado</t>
  </si>
  <si>
    <t>Desde cuenta proyecto</t>
  </si>
  <si>
    <t>Valor de la Inversión al 31.12.2016</t>
  </si>
  <si>
    <t>Corpoandino</t>
  </si>
  <si>
    <t xml:space="preserve">Aporte para futura capitalización </t>
  </si>
  <si>
    <t>Cable And. INC</t>
  </si>
  <si>
    <t>Resultado del ejercicio</t>
  </si>
  <si>
    <t>Variación patrimonial de Cable Andino S.A.</t>
  </si>
  <si>
    <t>Variación patrimonial de Transtelco S.A.</t>
  </si>
  <si>
    <t>Variación patrimonial de Netspeed S.A.</t>
  </si>
  <si>
    <t>Variación patrimonial de Cerinsa S.A.</t>
  </si>
  <si>
    <t>Variación patrimonial de Econocompu S.A.</t>
  </si>
  <si>
    <t>Variación patrimonial de Telsoterra S.A.</t>
  </si>
  <si>
    <t>% Controlador</t>
  </si>
  <si>
    <t>% No Controlador</t>
  </si>
  <si>
    <t>PATRIMONIO - Cable Andino INC</t>
  </si>
  <si>
    <t>31/12/2016</t>
  </si>
  <si>
    <t>Variación</t>
  </si>
  <si>
    <t>APORTES</t>
  </si>
  <si>
    <t>Patrimonio total</t>
  </si>
  <si>
    <t>PNC</t>
  </si>
  <si>
    <t xml:space="preserve">PATRIMONIO - Cable Andino S.A. </t>
  </si>
  <si>
    <t>AJUSTE - PASIVO</t>
  </si>
  <si>
    <t>(-) Aumento de capital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</si>
  <si>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</si>
  <si>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</si>
  <si>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</si>
  <si>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</si>
  <si>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</si>
  <si>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</si>
  <si>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Patrimonio, Total</t>
  </si>
  <si>
    <t>PATRIMONIO - Econocompu</t>
  </si>
  <si>
    <t>AJUSTE</t>
  </si>
  <si>
    <t>PATRIMONIO - Smartcities</t>
  </si>
  <si>
    <t>PATRIMONIO - Inmobiliaria Leonor3</t>
  </si>
  <si>
    <t>PATRIMONIO - Telsoterra</t>
  </si>
  <si>
    <t>CORPORANDINO</t>
  </si>
  <si>
    <t>RESUMEN DE ASIENTOS</t>
  </si>
  <si>
    <t>Linkotel</t>
  </si>
  <si>
    <t>PATRIMONIO - Linkotel</t>
  </si>
  <si>
    <t>Patrimionio Neto</t>
  </si>
  <si>
    <t xml:space="preserve">Monto del PNC </t>
  </si>
  <si>
    <t>(-) Activos netos identificables adquiridos de Linkotel</t>
  </si>
  <si>
    <t>R</t>
  </si>
  <si>
    <t>Ajuste pérdida de asociada (Latam)</t>
  </si>
  <si>
    <t>Resultados acumulados (% de aporte difer)</t>
  </si>
  <si>
    <t>Eliminado el aporte de ex accionista</t>
  </si>
  <si>
    <t>Participación no controladora Total</t>
  </si>
  <si>
    <t>Cuenta por pagar a ex accionista</t>
  </si>
  <si>
    <t>Inversiones en subsidiarias/ asociadas</t>
  </si>
  <si>
    <t>Cuenta por pagar a ex accionista de Linkotel</t>
  </si>
  <si>
    <t>Resultado correspondiente a la controladora</t>
  </si>
  <si>
    <t>Resultado correspondiente a la PNC</t>
  </si>
  <si>
    <t>Cuentas por pagar proveedores</t>
  </si>
  <si>
    <t>Cuentas por cobrar CLIENTES</t>
  </si>
  <si>
    <t>LINKOTEL - ELIMINACIÓN DEL PATRIMONIO (NUEVA INVERSIÓN)</t>
  </si>
  <si>
    <t>a</t>
  </si>
  <si>
    <t>c</t>
  </si>
  <si>
    <t>a / b</t>
  </si>
  <si>
    <t>a / b / c</t>
  </si>
  <si>
    <t>Inversiones en Linkotel</t>
  </si>
  <si>
    <t>Cuentas por cobrar relacionadas L/P</t>
  </si>
  <si>
    <t>Otras cuentas por pagar L/P</t>
  </si>
  <si>
    <t>(Pérdidas) ganancias actuariales</t>
  </si>
  <si>
    <t>Resultado integral del año</t>
  </si>
  <si>
    <t>Cuentas por cobrar relacionada L/P</t>
  </si>
  <si>
    <t>Telconet Panamá</t>
  </si>
  <si>
    <t>PATRIMONIO - TELCONET PANAMÁ</t>
  </si>
  <si>
    <t>d)    Eliminación de Ingresos en Telconet por ventas a Subsidiarias</t>
  </si>
  <si>
    <t xml:space="preserve">Ingresos por ventas </t>
  </si>
  <si>
    <t xml:space="preserve">Costos de ventas </t>
  </si>
  <si>
    <t xml:space="preserve">Ingreso por ventas </t>
  </si>
  <si>
    <t>TELCONET S.A.
Al 31/12/2015 RESTRUCTURADO</t>
  </si>
  <si>
    <t>Saldos
Consoliadados
al 31.12.2015 RESTRUCTURADOS</t>
  </si>
  <si>
    <t>Saldos
Consolidados
al 31.12.2015 REESTRUCTURADO</t>
  </si>
  <si>
    <t>res. Acum a part no controlada</t>
  </si>
  <si>
    <t>ajustes a res. Acum</t>
  </si>
  <si>
    <t>Reservas</t>
  </si>
  <si>
    <t xml:space="preserve">Aportes para futuras </t>
  </si>
  <si>
    <t>Reserva de</t>
  </si>
  <si>
    <t>Por aplicación</t>
  </si>
  <si>
    <t>Resultados</t>
  </si>
  <si>
    <t>Participación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</si>
  <si>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</si>
  <si>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</si>
  <si>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</si>
  <si>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</si>
  <si>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</si>
  <si>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</si>
  <si>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</si>
  <si>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</si>
  <si>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</si>
  <si>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</si>
  <si>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</si>
  <si>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</si>
  <si>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</si>
  <si>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</si>
  <si>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</si>
  <si>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</si>
  <si>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</si>
  <si>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</si>
  <si>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</si>
  <si>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</si>
  <si>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</si>
  <si>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</si>
  <si>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</si>
  <si>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</si>
  <si>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 xml:space="preserve">Otros resultados integrales </t>
  </si>
  <si>
    <t>Saldos al 31 de diciembre del 2016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</si>
  <si>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</si>
  <si>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</si>
  <si>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</si>
  <si>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</si>
  <si>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</si>
  <si>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</si>
  <si>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</si>
  <si>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Cuentas por cobrar a compañías relacionadas</t>
  </si>
  <si>
    <t>Total activos corrientes</t>
  </si>
  <si>
    <t xml:space="preserve"> </t>
  </si>
  <si>
    <t>Activos no corrientes mantenidos para la venta</t>
  </si>
  <si>
    <t>Activos no corrientes</t>
  </si>
  <si>
    <t xml:space="preserve">Propiedades de inversión </t>
  </si>
  <si>
    <t>Total activos no corrientes</t>
  </si>
  <si>
    <t>PASIVOS Y PATRIMONIO</t>
  </si>
  <si>
    <t>PASIVOS</t>
  </si>
  <si>
    <t>Pasivos corrientes</t>
  </si>
  <si>
    <t xml:space="preserve">Cuentas por pagar a proveedores </t>
  </si>
  <si>
    <t>Cuentas por pagar a compañías relacionadas</t>
  </si>
  <si>
    <t>Otros impuestos por pagar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</si>
  <si>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</si>
  <si>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</si>
  <si>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</si>
  <si>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</si>
  <si>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</si>
  <si>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</si>
  <si>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</si>
  <si>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</si>
  <si>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</si>
  <si>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</si>
  <si>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</si>
  <si>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</si>
  <si>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</si>
  <si>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</si>
  <si>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</si>
  <si>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</si>
  <si>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</si>
  <si>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</si>
  <si>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</si>
  <si>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</si>
  <si>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</si>
  <si>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</si>
  <si>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</si>
  <si>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</si>
  <si>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>Pendiente movimiento de proyecto</t>
  </si>
  <si>
    <t>Pendiente clasificacion</t>
  </si>
  <si>
    <t>Eliminación de estimación por deterioro de inversiones (subsidiarias)</t>
  </si>
  <si>
    <t>Invsersión en subsidiarias (estimación por deterioro)</t>
  </si>
  <si>
    <t>Otros gastos, ingresos neto</t>
  </si>
  <si>
    <t xml:space="preserve">b </t>
  </si>
  <si>
    <t>Gastos administrativos</t>
  </si>
  <si>
    <t>Redactar reclasificacion a trabajos en proceso por US$38 millones</t>
  </si>
  <si>
    <t>CABLE ANDINO INC.
Al 31/12/2017</t>
  </si>
  <si>
    <t>CABLE ANDINO CORPORANDINO
Al 31/12/2017</t>
  </si>
  <si>
    <t>Linkotel Al 31/12/2017</t>
  </si>
  <si>
    <t>TELSOTERRA
Al 31/12/2017</t>
  </si>
  <si>
    <t>Sobregiros bancarios</t>
  </si>
  <si>
    <t>Porción corriente de las obligaciones financieras</t>
  </si>
  <si>
    <t>Porcion corriente de valores emitidos</t>
  </si>
  <si>
    <t>Obligaciones financieras</t>
  </si>
  <si>
    <t>Valores emitidos</t>
  </si>
  <si>
    <t>Otros resultados integrales</t>
  </si>
  <si>
    <t>TELCONET S.A.
Al 31/12/2017</t>
  </si>
  <si>
    <t>ECONOCOMPU
Al 31/12/2017</t>
  </si>
  <si>
    <t>INMOB. LEONOR3
Al 31/12/2017</t>
  </si>
  <si>
    <t>SMARTCITIES S.A.
Al 31/12/2017</t>
  </si>
  <si>
    <t>31/12/2017</t>
  </si>
  <si>
    <t>Saldo inversiones en Telconet S.A. al 31.12.2017</t>
  </si>
  <si>
    <t>Devolución</t>
  </si>
  <si>
    <t>Valor de la Inversión al 31.12.2017</t>
  </si>
  <si>
    <t>Aporte 2017 capitalizado</t>
  </si>
  <si>
    <t>TRASNSTELCO</t>
  </si>
  <si>
    <t>TRANSTELCO
Al 31/12/2017</t>
  </si>
  <si>
    <t xml:space="preserve">Cuentas por cobrar relacionadas </t>
  </si>
  <si>
    <t>Cuentas por pagar relacionada L/P</t>
  </si>
  <si>
    <t>Cuentas por pagar</t>
  </si>
  <si>
    <t xml:space="preserve"> TELCONET S.A.</t>
  </si>
  <si>
    <t>TELCONET</t>
  </si>
  <si>
    <t>NETSPEED
Al 31/12/2017</t>
  </si>
  <si>
    <t>CERINSA
Al 31/12/2017</t>
  </si>
  <si>
    <t xml:space="preserve">  Participación no controladora</t>
  </si>
  <si>
    <t>Utilidades acumuladas</t>
  </si>
  <si>
    <t>Variación patrimonial de Linkotel S.A.</t>
  </si>
  <si>
    <t>Variación patrimonial de Telconet Panamá</t>
  </si>
  <si>
    <t>R. de capital</t>
  </si>
  <si>
    <t>Cuentas por PAGAR relacionada</t>
  </si>
  <si>
    <t>DIFERENCIA EN PANAMA</t>
  </si>
  <si>
    <t>Cable Andino Inc.</t>
  </si>
  <si>
    <t>Corpoandino S.A.</t>
  </si>
  <si>
    <t>AJUSTE DEL 2016</t>
  </si>
  <si>
    <t>Reserva de Capital</t>
  </si>
  <si>
    <t>Cuentas por pagar Proveedores</t>
  </si>
  <si>
    <t>Saldos
Consolidados
al 31.12.2017</t>
  </si>
  <si>
    <t>Aporte futuras capitalizaciones</t>
  </si>
  <si>
    <t>Superavit por revaluación</t>
  </si>
  <si>
    <t>Otros resultados integrales (ORI)</t>
  </si>
  <si>
    <t>Reserva por aplicación inicial NIIF</t>
  </si>
  <si>
    <t>Total pasivo y patrimonio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</si>
  <si>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</si>
  <si>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</si>
  <si>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</si>
  <si>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</si>
  <si>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</si>
  <si>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Cable Andino Inc</t>
  </si>
  <si>
    <t>Inmobiliaria Leonortres</t>
  </si>
  <si>
    <t>Cable Andino Corpandino</t>
  </si>
  <si>
    <t>Smartcities</t>
  </si>
  <si>
    <t>Superavit por revaaluación</t>
  </si>
  <si>
    <t>Flujos de efectivo proveniente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</si>
  <si>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</si>
  <si>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</si>
  <si>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</si>
  <si>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</si>
  <si>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</si>
  <si>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</si>
  <si>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</si>
  <si>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</si>
  <si>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</si>
  <si>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</si>
  <si>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</si>
  <si>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</si>
  <si>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</si>
  <si>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</si>
  <si>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</si>
  <si>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</si>
  <si>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</si>
  <si>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</si>
  <si>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</si>
  <si>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</si>
  <si>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</si>
  <si>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</si>
  <si>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</si>
  <si>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</si>
  <si>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</si>
  <si>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</si>
  <si>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</si>
  <si>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utilizado en las actividades de inversión</t>
  </si>
  <si>
    <t>Flujos de efectivo usado en actividades de financiación:</t>
  </si>
  <si>
    <t>Obligaciones financieras, neto</t>
  </si>
  <si>
    <t>Emision de Obligaciones, neto</t>
  </si>
  <si>
    <t>Flujo neto de efectivo (utilizado en) provisto por las actividades de financiación</t>
  </si>
  <si>
    <t>(Disminución) Aumento neto en efectivo y equivalentes de efectivo</t>
  </si>
  <si>
    <t>Efectivo y equivalentes de efectivo al inicio del año</t>
  </si>
  <si>
    <t>Efectivo y equivalentes de efectivo al final del año</t>
  </si>
  <si>
    <t>Reestructurado 
(Ver nota 35)</t>
  </si>
  <si>
    <r>
      <t xml:space="preserve">        </t>
    </r>
    <r>
      <rPr>
        <u/>
        <sz val="6"/>
        <rFont val="Arial"/>
        <family val="2"/>
      </rPr>
      <t>Activo</t>
    </r>
  </si>
  <si>
    <r>
      <t xml:space="preserve">        </t>
    </r>
    <r>
      <rPr>
        <u/>
        <sz val="6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</si>
  <si>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</si>
  <si>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</si>
  <si>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</si>
  <si>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</si>
  <si>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</si>
  <si>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</si>
  <si>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</si>
  <si>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</si>
  <si>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</si>
  <si>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Compañias relacionadas</t>
  </si>
  <si>
    <t>Beneficios Sociales</t>
  </si>
  <si>
    <t>Total del activo corriente</t>
  </si>
  <si>
    <t>Total pasivos corrientes</t>
  </si>
  <si>
    <t>ACTIVO NO CORRIENTE</t>
  </si>
  <si>
    <t>PASIVO NO CORRIENTE</t>
  </si>
  <si>
    <t>Propiedad y equipos, neto</t>
  </si>
  <si>
    <t>Obligaciones Financieras</t>
  </si>
  <si>
    <t>Propiedades de Inversión</t>
  </si>
  <si>
    <t>Activos Intangibles</t>
  </si>
  <si>
    <t>Jubilación Patronal y Bonifcación por desahucio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</si>
  <si>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</si>
  <si>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</si>
  <si>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</si>
  <si>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</si>
  <si>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</si>
  <si>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</si>
  <si>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</si>
  <si>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</si>
  <si>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</si>
  <si>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</si>
  <si>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</si>
  <si>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</si>
  <si>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</si>
  <si>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</si>
  <si>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</si>
  <si>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</si>
  <si>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Valor de participación patrimonial</t>
  </si>
  <si>
    <t>Telconet S.A.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</si>
  <si>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</si>
  <si>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</si>
  <si>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</si>
  <si>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</si>
  <si>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</si>
  <si>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Telsoterra
31/12/2017</t>
  </si>
  <si>
    <t>Linkotel 31/12/2017</t>
  </si>
  <si>
    <t>Telconet Panamá 31/12/2017</t>
  </si>
  <si>
    <t>Inmob. Leonor3
31/12/2017</t>
  </si>
  <si>
    <t>Cable Andino Inc.
31/12/2017</t>
  </si>
  <si>
    <t>Smartcities
31/12/2017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</si>
  <si>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</si>
  <si>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</si>
  <si>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</si>
  <si>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</si>
  <si>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</si>
  <si>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</si>
  <si>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</si>
  <si>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</si>
  <si>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</si>
  <si>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</si>
  <si>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</si>
  <si>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integrales</t>
  </si>
  <si>
    <t xml:space="preserve"> NIIF</t>
  </si>
  <si>
    <t>no controlada</t>
  </si>
  <si>
    <t>Saldos al 1 de enero del 2014</t>
  </si>
  <si>
    <t>Apropiación reserva legal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</si>
  <si>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</si>
  <si>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</si>
  <si>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</si>
  <si>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</si>
  <si>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</si>
  <si>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</si>
  <si>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</si>
  <si>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</si>
  <si>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</si>
  <si>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Saldos al 31 de diciembre del 2017</t>
  </si>
  <si>
    <t>Resultado integral del año Controladora</t>
  </si>
  <si>
    <t>Saldos al 31 de diciembre del 2018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</si>
  <si>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</si>
  <si>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</si>
  <si>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</si>
  <si>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</si>
  <si>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</si>
  <si>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</si>
  <si>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</si>
  <si>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</si>
  <si>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</si>
  <si>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</si>
  <si>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</si>
  <si>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</si>
  <si>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>Saldos
Consolidados
al 31.12.2018</t>
  </si>
  <si>
    <t>Acciones suscritas por cobrar</t>
  </si>
  <si>
    <t>Eliminación de Ingresos en Telconet por ventas a Subsidiarias, 2018</t>
  </si>
  <si>
    <t>ok</t>
  </si>
  <si>
    <t>Ingreso por ventas</t>
  </si>
  <si>
    <t xml:space="preserve"> Costo de ventas</t>
  </si>
  <si>
    <t xml:space="preserve">           Costo de ventas</t>
  </si>
  <si>
    <t>RESUMEN</t>
  </si>
  <si>
    <t>T</t>
  </si>
  <si>
    <t>E</t>
  </si>
  <si>
    <t>L</t>
  </si>
  <si>
    <t>C</t>
  </si>
  <si>
    <t>O</t>
  </si>
  <si>
    <t>N</t>
  </si>
  <si>
    <t>SMARTCITIES</t>
  </si>
  <si>
    <t>Cableandino Inc.</t>
  </si>
  <si>
    <t>Anticipos de clientes L/P (capacidad)</t>
  </si>
  <si>
    <t>Anticipos de clientes L/P (préstamo)</t>
  </si>
  <si>
    <t>El informe de auditoria indica $1,023,076</t>
  </si>
  <si>
    <t>Corporandino</t>
  </si>
  <si>
    <t>Cuentas por pagar relacionadas LP</t>
  </si>
  <si>
    <t>Participación controladora Total</t>
  </si>
  <si>
    <t>PC</t>
  </si>
  <si>
    <t>Participación Total</t>
  </si>
  <si>
    <t>Diferencia</t>
  </si>
  <si>
    <t>Valor de la Inversión al 31.12.2018</t>
  </si>
  <si>
    <t>Reclasificación de la Inversión vs. CxC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</si>
  <si>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</si>
  <si>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</si>
  <si>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</si>
  <si>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</si>
  <si>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</si>
  <si>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</si>
  <si>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</si>
  <si>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</si>
  <si>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</si>
  <si>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</si>
  <si>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</si>
  <si>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</si>
  <si>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</si>
  <si>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</si>
  <si>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</si>
  <si>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</si>
  <si>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</si>
  <si>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</si>
  <si>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</si>
  <si>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</si>
  <si>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</si>
  <si>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</si>
  <si>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</si>
  <si>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</si>
  <si>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</si>
  <si>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</si>
  <si>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</si>
  <si>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</si>
  <si>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</si>
  <si>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</si>
  <si>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</si>
  <si>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</si>
  <si>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</si>
  <si>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</si>
  <si>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</si>
  <si>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</si>
  <si>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>Saldo inversiones en Telconet S.A. al 31.12.2018</t>
  </si>
  <si>
    <t>AL 31.12.2018</t>
  </si>
  <si>
    <t>SUSIDIARIAS</t>
  </si>
  <si>
    <t>ASOCIADAS Y AFILIADAS</t>
  </si>
  <si>
    <t>Ajustes a la Inversión vs. el Capital 2017</t>
  </si>
  <si>
    <t>Asociadas</t>
  </si>
  <si>
    <t>Deterioro</t>
  </si>
  <si>
    <t>Ajustes a la Inversión vs. el Capital 2018</t>
  </si>
  <si>
    <t>Cable Andino S.A. Corpoandino</t>
  </si>
  <si>
    <t xml:space="preserve">Inmobiliaria Leonor Tres </t>
  </si>
  <si>
    <t xml:space="preserve">Linkotel </t>
  </si>
  <si>
    <t>Inversión en Acciones</t>
  </si>
  <si>
    <t>Total de Asiento</t>
  </si>
  <si>
    <t>31/12/2018</t>
  </si>
  <si>
    <t>Ajuste 1</t>
  </si>
  <si>
    <t>Ajuste 2</t>
  </si>
  <si>
    <t>Eliminación de la disminución de la Inversión por deterioro</t>
  </si>
  <si>
    <t>Ajuste 3</t>
  </si>
  <si>
    <t>Reserva Legal</t>
  </si>
  <si>
    <t>Participación No controladora</t>
  </si>
  <si>
    <t>Aportes para futuros aumentos de capital</t>
  </si>
  <si>
    <t>Rserva Legal</t>
  </si>
  <si>
    <t>Reserva Facultativa</t>
  </si>
  <si>
    <t>Aje 1 y 2</t>
  </si>
  <si>
    <t>Aje 1</t>
  </si>
  <si>
    <t>Aje 2</t>
  </si>
  <si>
    <t>Aje 1 y 3</t>
  </si>
  <si>
    <t>Ver en Participaciones 2018</t>
  </si>
  <si>
    <t>Ajuste a la Inversión revaluada</t>
  </si>
  <si>
    <t>Patrimonio participado de las Subsidiarias</t>
  </si>
  <si>
    <t>Ajuste a la Inversión histórica</t>
  </si>
  <si>
    <t>US$6,000 no ajustado por inmaterialidad</t>
  </si>
  <si>
    <t>Otras cuentas por pagar L/P (Anticipos de clientes)</t>
  </si>
  <si>
    <t>SUMAN</t>
  </si>
  <si>
    <t>Importe reclasificado en el AD 1 de inversiones</t>
  </si>
  <si>
    <t>Otras cuenta por cobrar (terceros)</t>
  </si>
  <si>
    <t>TELCONET Y SUBSIDIARIAS</t>
  </si>
  <si>
    <t>ELIMINACION DE CUENTAS Y SALDOS CON SUBSIDIARIAS</t>
  </si>
  <si>
    <t>Otras cuentas por cobrar terceros</t>
  </si>
  <si>
    <t>PATRIMONIO - Telconet</t>
  </si>
  <si>
    <t>Eliminación del resto de las cuentas de patrimonio y reconocimiento del demérito de la inversión</t>
  </si>
  <si>
    <t>Aje 5</t>
  </si>
  <si>
    <t>Aje 4</t>
  </si>
  <si>
    <t>Aje 1, 3 y 4</t>
  </si>
  <si>
    <t>Aje 1,3,4 y 5</t>
  </si>
  <si>
    <t>Efecto neto en Resultados Acumulados</t>
  </si>
  <si>
    <t>Pasivo contingente</t>
  </si>
  <si>
    <t>Aumento de capital según Acta de Junta de Accionistas del 4 de septiembre del 2018</t>
  </si>
  <si>
    <t>Eliminación de la Inversión vs Capital y Aportes en dinero (para futuros aumentos de capital) y en especie</t>
  </si>
  <si>
    <t>Comprobación de valores participados</t>
  </si>
  <si>
    <t>Resultados acumulados Telconet</t>
  </si>
  <si>
    <t>Reconocimiento de la Participación No controladora (PNC)</t>
  </si>
  <si>
    <t>Créditos mercantiles</t>
  </si>
  <si>
    <t>Activo intagible</t>
  </si>
  <si>
    <t>Ajustes por el VPP</t>
  </si>
  <si>
    <t>Inversiones en asociadas</t>
  </si>
  <si>
    <t>TELCONET S.A. &amp; SUBSIDIARIAS</t>
  </si>
  <si>
    <t>PLANILLA DE TRABAJO PARA EL ESTADO DE FLUJOS DE EFECTIVO</t>
  </si>
  <si>
    <t>x</t>
  </si>
  <si>
    <t>Débitos</t>
  </si>
  <si>
    <t>Créditos</t>
  </si>
  <si>
    <t>Provisión por deterioro de inversión en subsidiarias y asociadas</t>
  </si>
  <si>
    <t>Impuesto diferido</t>
  </si>
  <si>
    <t>Activos por Impuestos diferidos</t>
  </si>
  <si>
    <t>Pasivos de contrato</t>
  </si>
  <si>
    <t>Resultado integral del año No controlador</t>
  </si>
  <si>
    <t>Variacion del efectivo</t>
  </si>
  <si>
    <t>Variaciones por financiamiento:</t>
  </si>
  <si>
    <t>…Obligaciones financieras</t>
  </si>
  <si>
    <t>…Valores emitidos</t>
  </si>
  <si>
    <t>Flujos por actividades de financiamiento</t>
  </si>
  <si>
    <t>Variaciones por inversion:</t>
  </si>
  <si>
    <t>…Inversiones en asociadas</t>
  </si>
  <si>
    <t>…Inversiones en derechos fiduciarios</t>
  </si>
  <si>
    <t>…Activos intangibles</t>
  </si>
  <si>
    <t>…Financiamiento de companias relacionadas</t>
  </si>
  <si>
    <t>…Propiedades y equipos</t>
  </si>
  <si>
    <t>FUENTE</t>
  </si>
  <si>
    <t>USO</t>
  </si>
  <si>
    <t>…Otros activos</t>
  </si>
  <si>
    <t>MAS:</t>
  </si>
  <si>
    <t>…Jubilacion y desahucio</t>
  </si>
  <si>
    <t>…Ingresos diferidos</t>
  </si>
  <si>
    <t>…Provisiones</t>
  </si>
  <si>
    <t>…Otros pasivos (y proveedores LP)</t>
  </si>
  <si>
    <t>Flujos de las actividades de inversion</t>
  </si>
  <si>
    <t>…Variacion de patrimonio</t>
  </si>
  <si>
    <t>DISMINUCION DEL EFECTIVO</t>
  </si>
  <si>
    <t>…Propiedades de inversion</t>
  </si>
  <si>
    <t>…Otras cuentas por cobrar</t>
  </si>
  <si>
    <t>Efectivo generado por las operaciones</t>
  </si>
  <si>
    <t>Utilidad antes de 15%PT e IR</t>
  </si>
  <si>
    <t>Gastos que no representan desembolsos:</t>
  </si>
  <si>
    <t>Provision deterioro</t>
  </si>
  <si>
    <t>Ctas x cobrar</t>
  </si>
  <si>
    <t>Provision</t>
  </si>
  <si>
    <t>15% PT e IR</t>
  </si>
  <si>
    <t>15% PT e IR pagado</t>
  </si>
  <si>
    <t xml:space="preserve">Pago de 15% PT </t>
  </si>
  <si>
    <t>e IR</t>
  </si>
  <si>
    <t>Pago de jubilacion y desahucio</t>
  </si>
  <si>
    <t>Flujo neto de efectivo provisto por las operaciones</t>
  </si>
  <si>
    <t>Depreciación</t>
  </si>
  <si>
    <t>Jubilacion y</t>
  </si>
  <si>
    <t>desahucio</t>
  </si>
  <si>
    <t>Amortización de</t>
  </si>
  <si>
    <t>intangibles</t>
  </si>
  <si>
    <t>VPP</t>
  </si>
  <si>
    <t>...Provision jubilacion patronal</t>
  </si>
  <si>
    <t>...Provision deterioro de cuentas por cobrar</t>
  </si>
  <si>
    <t>...Depreciación de propiedades y equipos</t>
  </si>
  <si>
    <t>...Depreciación de propiedades de inversión</t>
  </si>
  <si>
    <t>...Amortización de intangibles</t>
  </si>
  <si>
    <t>...Provision 15%PT e IR</t>
  </si>
  <si>
    <t>...Valor de VPP</t>
  </si>
  <si>
    <t>Utilidad antes de</t>
  </si>
  <si>
    <t>Ajustes</t>
  </si>
  <si>
    <t>totales</t>
  </si>
  <si>
    <t>TOTAL</t>
  </si>
  <si>
    <t>Antes de ajustes</t>
  </si>
  <si>
    <t>Ajustado</t>
  </si>
  <si>
    <t>Pago de provisiones</t>
  </si>
  <si>
    <t>TELCONET &amp; SUBSIDIARIAS</t>
  </si>
  <si>
    <t>ESTADOS DE FLUJOS DE EFECITVO</t>
  </si>
  <si>
    <t>Cifras en US dolares</t>
  </si>
  <si>
    <t>VARIACIONES BRUTAS, ANTES DE AJUSTES</t>
  </si>
  <si>
    <t>CAMBIIOS EN ACTIVOS Y PASIVOS AJUSTADOS</t>
  </si>
  <si>
    <t>AJUSTES POR PARTIDAS QUE NO REPRESENTAN MOVMIENTOS DE EFECTIVO</t>
  </si>
  <si>
    <t>FLUJOS</t>
  </si>
  <si>
    <t>AJUSTADOS</t>
  </si>
  <si>
    <t>PAPELES DE TRABAJO PARA PREPARACION DEL ESTADO DE FLUJOS DE EFECTIVO 2018</t>
  </si>
  <si>
    <t>FLUJO NETO DE EFECTIVO PROVISTO POR LAS OPERACIONES</t>
  </si>
  <si>
    <t>FLUJO NETO DE EFECTIVO UTILIZADO EN ACTIVIDADES DE INVERSION</t>
  </si>
  <si>
    <t>FLUJO NETO DE EFECTIVO UTILIZADO EN ACTIVIDADES DE FINANCIACION</t>
  </si>
  <si>
    <t>Variacion del capital de trabajo</t>
  </si>
  <si>
    <t>Otras cuentas por cobrar a LP</t>
  </si>
  <si>
    <t>Cuentas por pagar a proveedores LP</t>
  </si>
  <si>
    <t>Cuentas por pagar a compañías relacionadas a LP</t>
  </si>
  <si>
    <t>Otras cuentas por pagar a LP</t>
  </si>
  <si>
    <t>Provisiones (LP)</t>
  </si>
  <si>
    <t>Cuentas por cobrar a compañías relacionadas a LP</t>
  </si>
  <si>
    <t>Impuesto a la renta provisionado</t>
  </si>
  <si>
    <t>(Adiciones) de propiedades y equipos, neto</t>
  </si>
  <si>
    <t>(Aumento) disminución de inversiones en subsidiarias y asociadas</t>
  </si>
  <si>
    <t>(Aumento) disminución de inversiones en derechos fiduciarios</t>
  </si>
  <si>
    <t>Utilidad antes de impuesto a la renta y PTU</t>
  </si>
  <si>
    <t>Descuadre</t>
  </si>
  <si>
    <t>Activos intengibles</t>
  </si>
  <si>
    <t>Adiciones</t>
  </si>
  <si>
    <t>Reclasificaciones</t>
  </si>
  <si>
    <t>Amortizaciones</t>
  </si>
  <si>
    <t>Devolucion de aporte en Cableandino</t>
  </si>
  <si>
    <t>Efecto de implementacion de NIIF 9</t>
  </si>
  <si>
    <t>CONCILIACION</t>
  </si>
  <si>
    <t>CON AUDITORIA EXTERNA</t>
  </si>
  <si>
    <t>Ajuste reflejado por nosotros</t>
  </si>
  <si>
    <t>Diferencia real en el patrimonio</t>
  </si>
  <si>
    <t>Deterioro de activos de anios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</si>
</sst>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 * #,##0_ ;_ * \-#,##0_ ;_ * &quot;-&quot;_ ;_ @_ "/>
    <numFmt numFmtId="43" formatCode="_ * #,##0.00_ ;_ * \-#,##0.00_ ;_ * &quot;-&quot;??_ ;_ @_ "/>
    <numFmt numFmtId="164" formatCode="&quot;$&quot;\ #,##0_);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&quot;$&quot;#,##0;\-&quot;$&quot;#,##0"/>
    <numFmt numFmtId="169" formatCode="&quot;$&quot;#,##0.00;[Red]\-&quot;$&quot;#,##0.00"/>
    <numFmt numFmtId="170" formatCode="_-* #,##0.00_-;\-* #,##0.00_-;_-* &quot;-&quot;??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_-* #,##0_-;\-* #,##0_-;_-* &quot;-&quot;??_-;_-@_-"/>
    <numFmt numFmtId="174" formatCode="* \(#,##0\);* #,##0_);&quot;-&quot;??_);@"/>
    <numFmt numFmtId="175" formatCode="* #,##0_);* \(#,##0\);&quot;-&quot;??_);@"/>
    <numFmt numFmtId="176" formatCode="_-[$€-2]* #,##0.00_-;\-[$€-2]* #,##0.00_-;_-[$€-2]* &quot;-&quot;??_-"/>
    <numFmt numFmtId="177" formatCode="_ [$€]\ * #,##0.00_ ;_ [$€]\ * \-#,##0.00_ ;_ [$€]\ * &quot;-&quot;??_ ;_ @_ "/>
    <numFmt numFmtId="178" formatCode="_ [$€-2]\ * #,##0.00_ ;_ [$€-2]\ * \-#,##0.00_ ;_ [$€-2]\ * &quot;-&quot;??_ "/>
    <numFmt numFmtId="179" formatCode="&quot;$&quot;\ #,##0;[Red]&quot;$&quot;\ \-#,##0"/>
    <numFmt numFmtId="180" formatCode="_ * #,##0.0_ ;_ * \(#,##0.0\);_ * &quot;-&quot;??_ ;_ @_ "/>
    <numFmt numFmtId="181" formatCode="_ [$€]* #,##0.00_ ;_ [$€]* \-#,##0.00_ ;_ [$€]* &quot;-&quot;??_ ;_ @_ "/>
    <numFmt numFmtId="182" formatCode="dd/mm/yyyy;@"/>
    <numFmt numFmtId="183" formatCode="_ * #,##0_ ;_ * \-#,##0_ ;_ * &quot;-&quot;??_ ;_ @_ "/>
    <numFmt numFmtId="184" formatCode="_-* #,##0.0_-;\-* #,##0.0_-;_-* &quot;-&quot;??_-;_-@_-"/>
    <numFmt numFmtId="185" formatCode="_-* #,##0\ &quot;€&quot;_-;\-* #,##0\ &quot;€&quot;_-;_-* &quot;-&quot;\ &quot;€&quot;_-;_-@_-"/>
    <numFmt numFmtId="186" formatCode="_ * #,##0_ ;_ * \(#,##0\);_ * &quot;-&quot;??_ ;_ @_ "/>
    <numFmt numFmtId="187" formatCode="#,##0;[Red]\(#,##0\)"/>
    <numFmt numFmtId="188" formatCode="_-* #,##0.00\ _€_-;\-* #,##0.00\ _€_-;_-* &quot;-&quot;??\ _€_-;_-@_-"/>
    <numFmt numFmtId="189" formatCode="&quot;$&quot;#,##0.00_);[Red]\(&quot;$&quot;#,##0.00\)"/>
    <numFmt numFmtId="190" formatCode="_ * #,##0_ ;_ * \(#,##0\);_ * &quot;-&quot;?_ ;_ @_ "/>
    <numFmt numFmtId="191" formatCode="&quot;$&quot;\ #,##0.00;[Red]&quot;$&quot;\ \-#,##0.00"/>
    <numFmt numFmtId="192" formatCode="_ &quot;$&quot;\ * #,##0.00_ ;_ &quot;$&quot;\ * \-#,##0.00_ ;_ &quot;$&quot;\ * &quot;-&quot;??_ ;_ @_ "/>
    <numFmt numFmtId="193" formatCode="\ #,##0\ ;\-\ #,##0\ "/>
    <numFmt numFmtId="194" formatCode="0.0000%"/>
    <numFmt numFmtId="195" formatCode="_(* #,##0.0000_);_(* \(#,##0.0000\);_(* &quot;-&quot;????_);_(@_)"/>
    <numFmt numFmtId="196" formatCode="0.000000%"/>
    <numFmt numFmtId="197" formatCode="0.000000000000000%"/>
    <numFmt numFmtId="198" formatCode="_ * #,##0_ ;_ * \(#,##0\)_ ;_ * &quot;-&quot;_ ;_ @_ "/>
    <numFmt numFmtId="199" formatCode="_ * #,##0_ ;\(* #,##0\);_ * &quot;-&quot;??_ ;_ @_ "/>
    <numFmt numFmtId="200" formatCode="_-* #,##0\ _€_-;\-* #,##0\ _€_-;_-* &quot;-&quot;??\ _€_-;_-@_-"/>
    <numFmt numFmtId="201" formatCode="_ * #,##0_ ;\(* #,##0\);_ * &quot;-&quot;_ ;_ @_ "/>
    <numFmt numFmtId="202" formatCode="#,##0\ ;\(#,##0\)"/>
    <numFmt numFmtId="203" formatCode="#,##0.00;[Red]#,##0.00"/>
    <numFmt numFmtId="204" formatCode="#,##0;[Red]#,##0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9.6"/>
      <color indexed="12"/>
      <name val="Times New Roman"/>
      <family val="1"/>
    </font>
    <font>
      <sz val="8"/>
      <name val="Tahoma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10"/>
      <name val="Courier"/>
      <family val="3"/>
    </font>
    <font>
      <sz val="8"/>
      <color theme="1"/>
      <name val="Tahoma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sz val="10"/>
      <color indexed="8"/>
      <name val="匠牥晩††††††††††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color rgb="FFFF0000"/>
      <name val="Calibri"/>
      <family val="2"/>
    </font>
    <font>
      <b/>
      <sz val="8.8000000000000007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Georgia"/>
      <family val="1"/>
    </font>
    <font>
      <sz val="8"/>
      <name val="Georgia"/>
      <family val="1"/>
    </font>
    <font>
      <sz val="8"/>
      <color rgb="FF000000"/>
      <name val="Georgia"/>
      <family val="1"/>
    </font>
    <font>
      <b/>
      <sz val="8"/>
      <name val="Georgia"/>
      <family val="1"/>
    </font>
    <font>
      <u/>
      <sz val="8"/>
      <name val="Georgia"/>
      <family val="1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u/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6"/>
      <color theme="1"/>
      <name val="Arial"/>
      <family val="2"/>
    </font>
    <font>
      <u/>
      <sz val="6"/>
      <name val="Arial"/>
      <family val="2"/>
    </font>
    <font>
      <b/>
      <sz val="6"/>
      <name val="Arial"/>
      <family val="2"/>
    </font>
    <font>
      <b/>
      <u/>
      <sz val="6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  <font>
      <b/>
      <sz val="9.5"/>
      <name val="Arial"/>
      <family val="2"/>
    </font>
    <font>
      <sz val="9.5"/>
      <color theme="1"/>
      <name val="Calibri"/>
      <family val="2"/>
      <scheme val="minor"/>
    </font>
    <font>
      <sz val="9.5"/>
      <name val="Arial"/>
      <family val="2"/>
    </font>
    <font>
      <sz val="9.5"/>
      <color theme="1"/>
      <name val="Arial"/>
      <family val="2"/>
    </font>
    <font>
      <b/>
      <sz val="9.5"/>
      <color rgb="FFFF0000"/>
      <name val="Arial"/>
      <family val="2"/>
    </font>
    <font>
      <sz val="9.5"/>
      <color rgb="FFFF0000"/>
      <name val="Arial"/>
      <family val="2"/>
    </font>
    <font>
      <b/>
      <u/>
      <sz val="9.5"/>
      <name val="Arial"/>
      <family val="2"/>
    </font>
    <font>
      <b/>
      <sz val="9.5"/>
      <color theme="1"/>
      <name val="Calibri"/>
      <family val="2"/>
      <scheme val="minor"/>
    </font>
    <font>
      <b/>
      <sz val="9.5"/>
      <color theme="0"/>
      <name val="Arial"/>
      <family val="2"/>
    </font>
    <font>
      <u/>
      <sz val="7.5"/>
      <color theme="1"/>
      <name val="Arial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7.5"/>
      <color rgb="FFFF0000"/>
      <name val="Arial"/>
      <family val="2"/>
    </font>
    <font>
      <b/>
      <sz val="7.5"/>
      <color theme="3"/>
      <name val="Arial"/>
      <family val="2"/>
    </font>
    <font>
      <b/>
      <sz val="7.5"/>
      <color rgb="FFFF0000"/>
      <name val="Arial"/>
      <family val="2"/>
    </font>
    <font>
      <b/>
      <sz val="7.5"/>
      <name val="Arial"/>
      <family val="2"/>
    </font>
    <font>
      <u/>
      <sz val="7.5"/>
      <color theme="3"/>
      <name val="Arial"/>
      <family val="2"/>
    </font>
    <font>
      <b/>
      <sz val="7.5"/>
      <color theme="6" tint="-0.499984740745262"/>
      <name val="Arial"/>
      <family val="2"/>
    </font>
    <font>
      <u val="singleAccounting"/>
      <sz val="7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color theme="1"/>
      <name val="Calibri"/>
      <family val="2"/>
      <scheme val="minor"/>
    </font>
    <font>
      <b/>
      <sz val="6"/>
      <color theme="0"/>
      <name val="Arial"/>
      <family val="2"/>
    </font>
    <font>
      <b/>
      <sz val="7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86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74" fontId="10" fillId="0" borderId="0" applyFill="0" applyBorder="0" applyProtection="0"/>
    <xf numFmtId="174" fontId="10" fillId="0" borderId="4" applyFill="0" applyProtection="0"/>
    <xf numFmtId="174" fontId="10" fillId="0" borderId="1" applyFill="0" applyProtection="0"/>
    <xf numFmtId="174" fontId="10" fillId="0" borderId="0" applyFill="0" applyBorder="0" applyProtection="0"/>
    <xf numFmtId="175" fontId="10" fillId="0" borderId="0" applyFill="0" applyBorder="0" applyProtection="0"/>
    <xf numFmtId="175" fontId="10" fillId="0" borderId="4" applyFill="0" applyProtection="0"/>
    <xf numFmtId="175" fontId="10" fillId="0" borderId="1" applyFill="0" applyProtection="0"/>
    <xf numFmtId="175" fontId="10" fillId="0" borderId="0" applyFill="0" applyBorder="0" applyProtection="0"/>
    <xf numFmtId="0" fontId="11" fillId="0" borderId="0">
      <alignment vertical="top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8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90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4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Border="0" applyAlignment="0"/>
    <xf numFmtId="0" fontId="19" fillId="0" borderId="0" applyNumberFormat="0" applyBorder="0" applyAlignment="0"/>
    <xf numFmtId="0" fontId="19" fillId="0" borderId="0" applyNumberFormat="0" applyBorder="0" applyAlignment="0"/>
    <xf numFmtId="0" fontId="20" fillId="0" borderId="0" applyNumberFormat="0" applyBorder="0" applyAlignment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5" fillId="0" borderId="0">
      <alignment vertical="top"/>
    </xf>
    <xf numFmtId="0" fontId="5" fillId="0" borderId="0"/>
    <xf numFmtId="167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3" fillId="0" borderId="0"/>
    <xf numFmtId="0" fontId="23" fillId="0" borderId="0"/>
    <xf numFmtId="167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01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7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 wrapText="1"/>
    </xf>
    <xf numFmtId="165" fontId="5" fillId="0" borderId="3" xfId="3" applyNumberFormat="1" applyFont="1" applyFill="1" applyBorder="1" applyAlignment="1">
      <alignment horizontal="right" vertical="center"/>
    </xf>
    <xf numFmtId="0" fontId="5" fillId="0" borderId="3" xfId="7" applyFont="1" applyFill="1" applyBorder="1" applyAlignment="1">
      <alignment horizontal="left" vertical="center"/>
    </xf>
    <xf numFmtId="165" fontId="9" fillId="0" borderId="3" xfId="4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 wrapText="1"/>
    </xf>
    <xf numFmtId="165" fontId="21" fillId="0" borderId="3" xfId="3" applyNumberFormat="1" applyFont="1" applyFill="1" applyBorder="1" applyAlignment="1">
      <alignment horizontal="center" vertical="center"/>
    </xf>
    <xf numFmtId="9" fontId="21" fillId="0" borderId="3" xfId="3" applyFont="1" applyFill="1" applyBorder="1" applyAlignment="1">
      <alignment horizontal="center" vertical="center" wrapText="1"/>
    </xf>
    <xf numFmtId="165" fontId="21" fillId="0" borderId="3" xfId="4" applyNumberFormat="1" applyFont="1" applyFill="1" applyBorder="1" applyAlignment="1">
      <alignment horizontal="center" vertical="center"/>
    </xf>
    <xf numFmtId="165" fontId="3" fillId="0" borderId="3" xfId="567" applyNumberFormat="1" applyFont="1" applyFill="1" applyBorder="1" applyAlignment="1"/>
    <xf numFmtId="0" fontId="24" fillId="0" borderId="0" xfId="7" applyFont="1" applyFill="1" applyAlignment="1">
      <alignment horizontal="left" vertical="center"/>
    </xf>
    <xf numFmtId="9" fontId="25" fillId="0" borderId="0" xfId="3" applyFont="1" applyFill="1" applyAlignment="1">
      <alignment horizontal="right" vertical="center"/>
    </xf>
    <xf numFmtId="165" fontId="25" fillId="0" borderId="0" xfId="3" applyNumberFormat="1" applyFont="1" applyFill="1" applyAlignment="1">
      <alignment horizontal="right" vertical="center"/>
    </xf>
    <xf numFmtId="0" fontId="22" fillId="0" borderId="0" xfId="7" applyFont="1" applyFill="1" applyBorder="1" applyAlignment="1">
      <alignment horizontal="left" vertical="center"/>
    </xf>
    <xf numFmtId="165" fontId="22" fillId="0" borderId="0" xfId="3" applyNumberFormat="1" applyFont="1" applyFill="1" applyAlignment="1">
      <alignment horizontal="right" vertical="center"/>
    </xf>
    <xf numFmtId="172" fontId="5" fillId="0" borderId="3" xfId="1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173" fontId="4" fillId="0" borderId="3" xfId="558" applyNumberFormat="1" applyFont="1" applyFill="1" applyBorder="1" applyAlignment="1">
      <alignment horizontal="center"/>
    </xf>
    <xf numFmtId="167" fontId="4" fillId="0" borderId="3" xfId="558" applyFont="1" applyFill="1" applyBorder="1" applyAlignment="1">
      <alignment horizontal="center"/>
    </xf>
    <xf numFmtId="172" fontId="9" fillId="0" borderId="15" xfId="558" applyNumberFormat="1" applyFont="1" applyFill="1" applyBorder="1" applyAlignment="1">
      <alignment horizontal="center" vertical="center" wrapText="1"/>
    </xf>
    <xf numFmtId="167" fontId="2" fillId="0" borderId="8" xfId="558" applyFont="1" applyFill="1" applyBorder="1" applyAlignment="1">
      <alignment horizontal="center"/>
    </xf>
    <xf numFmtId="173" fontId="2" fillId="0" borderId="10" xfId="558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indent="2"/>
    </xf>
    <xf numFmtId="173" fontId="2" fillId="0" borderId="0" xfId="0" applyNumberFormat="1" applyFont="1" applyFill="1" applyAlignment="1">
      <alignment vertical="center"/>
    </xf>
    <xf numFmtId="171" fontId="4" fillId="0" borderId="0" xfId="2" applyNumberFormat="1" applyFont="1" applyFill="1" applyAlignment="1">
      <alignment vertical="center"/>
    </xf>
    <xf numFmtId="0" fontId="2" fillId="0" borderId="10" xfId="0" applyFont="1" applyFill="1" applyBorder="1" applyAlignment="1">
      <alignment horizontal="left"/>
    </xf>
    <xf numFmtId="173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vertical="center"/>
    </xf>
    <xf numFmtId="165" fontId="6" fillId="0" borderId="3" xfId="4" applyNumberFormat="1" applyFont="1" applyFill="1" applyBorder="1" applyAlignment="1">
      <alignment vertical="center"/>
    </xf>
    <xf numFmtId="165" fontId="5" fillId="0" borderId="22" xfId="4" applyNumberFormat="1" applyFont="1" applyFill="1" applyBorder="1" applyAlignment="1">
      <alignment vertical="center"/>
    </xf>
    <xf numFmtId="165" fontId="6" fillId="0" borderId="10" xfId="4" applyNumberFormat="1" applyFont="1" applyFill="1" applyBorder="1" applyAlignment="1">
      <alignment vertical="center"/>
    </xf>
    <xf numFmtId="165" fontId="3" fillId="0" borderId="22" xfId="567" applyNumberFormat="1" applyFont="1" applyFill="1" applyBorder="1" applyAlignment="1"/>
    <xf numFmtId="165" fontId="6" fillId="0" borderId="10" xfId="3" applyNumberFormat="1" applyFont="1" applyFill="1" applyBorder="1" applyAlignment="1">
      <alignment horizontal="right" vertical="center" wrapText="1"/>
    </xf>
    <xf numFmtId="165" fontId="6" fillId="0" borderId="10" xfId="3" applyNumberFormat="1" applyFont="1" applyFill="1" applyBorder="1" applyAlignment="1">
      <alignment horizontal="right" vertical="center"/>
    </xf>
    <xf numFmtId="165" fontId="5" fillId="0" borderId="22" xfId="3" applyNumberFormat="1" applyFont="1" applyFill="1" applyBorder="1" applyAlignment="1">
      <alignment horizontal="right" vertical="center"/>
    </xf>
    <xf numFmtId="0" fontId="30" fillId="0" borderId="3" xfId="7" applyFont="1" applyFill="1" applyBorder="1" applyAlignment="1">
      <alignment horizontal="left" vertical="center" wrapText="1"/>
    </xf>
    <xf numFmtId="172" fontId="2" fillId="0" borderId="0" xfId="1" applyNumberFormat="1" applyFont="1" applyFill="1" applyAlignment="1">
      <alignment vertical="center"/>
    </xf>
    <xf numFmtId="172" fontId="2" fillId="0" borderId="9" xfId="1" applyNumberFormat="1" applyFont="1" applyFill="1" applyBorder="1" applyAlignment="1">
      <alignment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8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vertical="center"/>
    </xf>
    <xf numFmtId="172" fontId="2" fillId="0" borderId="5" xfId="1" applyNumberFormat="1" applyFont="1" applyFill="1" applyBorder="1" applyAlignment="1">
      <alignment vertical="center"/>
    </xf>
    <xf numFmtId="172" fontId="2" fillId="0" borderId="10" xfId="1" applyNumberFormat="1" applyFont="1" applyFill="1" applyBorder="1" applyAlignment="1">
      <alignment vertical="center"/>
    </xf>
    <xf numFmtId="172" fontId="4" fillId="0" borderId="0" xfId="1" applyNumberFormat="1" applyFont="1" applyFill="1" applyAlignment="1">
      <alignment vertical="center"/>
    </xf>
    <xf numFmtId="172" fontId="2" fillId="0" borderId="2" xfId="1" applyNumberFormat="1" applyFont="1" applyFill="1" applyBorder="1" applyAlignment="1">
      <alignment vertical="center"/>
    </xf>
    <xf numFmtId="167" fontId="2" fillId="0" borderId="0" xfId="0" applyNumberFormat="1" applyFont="1" applyFill="1" applyAlignment="1">
      <alignment vertical="center"/>
    </xf>
    <xf numFmtId="165" fontId="5" fillId="0" borderId="8" xfId="4" applyNumberFormat="1" applyFont="1" applyFill="1" applyBorder="1" applyAlignment="1">
      <alignment vertical="center"/>
    </xf>
    <xf numFmtId="172" fontId="5" fillId="0" borderId="8" xfId="1" applyNumberFormat="1" applyFont="1" applyFill="1" applyBorder="1" applyAlignment="1">
      <alignment wrapText="1"/>
    </xf>
    <xf numFmtId="0" fontId="3" fillId="0" borderId="0" xfId="0" applyFont="1"/>
    <xf numFmtId="0" fontId="33" fillId="0" borderId="3" xfId="0" applyFont="1" applyBorder="1" applyAlignment="1">
      <alignment horizontal="center"/>
    </xf>
    <xf numFmtId="167" fontId="3" fillId="0" borderId="9" xfId="1" applyFont="1" applyBorder="1"/>
    <xf numFmtId="167" fontId="3" fillId="0" borderId="10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wrapText="1"/>
    </xf>
    <xf numFmtId="172" fontId="2" fillId="0" borderId="0" xfId="1" applyNumberFormat="1" applyFont="1" applyAlignment="1">
      <alignment vertical="center"/>
    </xf>
    <xf numFmtId="172" fontId="28" fillId="0" borderId="3" xfId="1" applyNumberFormat="1" applyFont="1" applyBorder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/>
    </xf>
    <xf numFmtId="172" fontId="4" fillId="0" borderId="0" xfId="1" applyNumberFormat="1" applyFont="1" applyFill="1" applyAlignment="1">
      <alignment horizontal="center" vertical="center"/>
    </xf>
    <xf numFmtId="172" fontId="2" fillId="0" borderId="9" xfId="1" applyNumberFormat="1" applyFont="1" applyBorder="1" applyAlignment="1">
      <alignment vertical="center"/>
    </xf>
    <xf numFmtId="172" fontId="2" fillId="0" borderId="8" xfId="1" applyNumberFormat="1" applyFont="1" applyFill="1" applyBorder="1" applyAlignment="1">
      <alignment horizontal="center"/>
    </xf>
    <xf numFmtId="172" fontId="2" fillId="0" borderId="9" xfId="1" applyNumberFormat="1" applyFont="1" applyFill="1" applyBorder="1" applyAlignment="1">
      <alignment horizontal="center"/>
    </xf>
    <xf numFmtId="172" fontId="2" fillId="0" borderId="10" xfId="1" applyNumberFormat="1" applyFont="1" applyBorder="1" applyAlignment="1">
      <alignment vertical="center"/>
    </xf>
    <xf numFmtId="172" fontId="2" fillId="0" borderId="10" xfId="1" applyNumberFormat="1" applyFont="1" applyFill="1" applyBorder="1" applyAlignment="1">
      <alignment horizontal="center"/>
    </xf>
    <xf numFmtId="172" fontId="28" fillId="0" borderId="0" xfId="1" applyNumberFormat="1" applyFont="1" applyFill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 vertical="center"/>
    </xf>
    <xf numFmtId="172" fontId="4" fillId="0" borderId="7" xfId="1" applyNumberFormat="1" applyFont="1" applyFill="1" applyBorder="1" applyAlignment="1">
      <alignment horizontal="center" vertical="center"/>
    </xf>
    <xf numFmtId="172" fontId="2" fillId="0" borderId="8" xfId="1" applyNumberFormat="1" applyFont="1" applyBorder="1" applyAlignment="1">
      <alignment vertical="center"/>
    </xf>
    <xf numFmtId="172" fontId="4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172" fontId="0" fillId="0" borderId="0" xfId="0" applyNumberFormat="1"/>
    <xf numFmtId="172" fontId="2" fillId="0" borderId="23" xfId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72" fontId="2" fillId="0" borderId="25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0" xfId="0" applyFill="1"/>
    <xf numFmtId="165" fontId="27" fillId="0" borderId="0" xfId="3" applyNumberFormat="1" applyFont="1" applyFill="1" applyAlignment="1">
      <alignment horizontal="right" vertical="center"/>
    </xf>
    <xf numFmtId="165" fontId="27" fillId="0" borderId="0" xfId="3" applyNumberFormat="1" applyFont="1" applyFill="1" applyAlignment="1">
      <alignment horizontal="left" vertical="center"/>
    </xf>
    <xf numFmtId="0" fontId="9" fillId="0" borderId="16" xfId="557" applyFont="1" applyFill="1" applyBorder="1" applyAlignment="1">
      <alignment horizontal="left"/>
    </xf>
    <xf numFmtId="172" fontId="2" fillId="0" borderId="0" xfId="1" applyNumberFormat="1" applyFont="1" applyFill="1" applyBorder="1" applyAlignment="1">
      <alignment horizontal="left"/>
    </xf>
    <xf numFmtId="0" fontId="2" fillId="0" borderId="0" xfId="557" applyFont="1" applyFill="1" applyAlignment="1">
      <alignment wrapText="1"/>
    </xf>
    <xf numFmtId="0" fontId="29" fillId="0" borderId="16" xfId="557" applyFont="1" applyFill="1" applyBorder="1" applyAlignment="1">
      <alignment horizontal="left"/>
    </xf>
    <xf numFmtId="165" fontId="9" fillId="0" borderId="18" xfId="558" applyNumberFormat="1" applyFont="1" applyFill="1" applyBorder="1" applyAlignment="1">
      <alignment horizontal="center" vertical="center" wrapText="1"/>
    </xf>
    <xf numFmtId="167" fontId="2" fillId="0" borderId="0" xfId="1" applyFont="1" applyFill="1" applyAlignment="1">
      <alignment wrapText="1"/>
    </xf>
    <xf numFmtId="194" fontId="2" fillId="0" borderId="0" xfId="557" applyNumberFormat="1" applyFont="1" applyFill="1" applyAlignment="1">
      <alignment wrapText="1"/>
    </xf>
    <xf numFmtId="0" fontId="2" fillId="0" borderId="0" xfId="557" applyFont="1" applyFill="1"/>
    <xf numFmtId="165" fontId="29" fillId="0" borderId="15" xfId="558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28" fillId="0" borderId="11" xfId="557" applyFont="1" applyFill="1" applyBorder="1" applyAlignment="1"/>
    <xf numFmtId="172" fontId="2" fillId="0" borderId="12" xfId="558" applyNumberFormat="1" applyFont="1" applyFill="1" applyBorder="1" applyAlignment="1">
      <alignment wrapText="1"/>
    </xf>
    <xf numFmtId="0" fontId="4" fillId="0" borderId="13" xfId="557" applyFont="1" applyFill="1" applyBorder="1" applyAlignment="1">
      <alignment horizontal="right"/>
    </xf>
    <xf numFmtId="172" fontId="29" fillId="0" borderId="14" xfId="558" applyNumberFormat="1" applyFont="1" applyFill="1" applyBorder="1" applyAlignment="1">
      <alignment wrapText="1"/>
    </xf>
    <xf numFmtId="172" fontId="2" fillId="0" borderId="0" xfId="1" applyNumberFormat="1" applyFont="1" applyFill="1"/>
    <xf numFmtId="0" fontId="2" fillId="0" borderId="13" xfId="557" applyFont="1" applyFill="1" applyBorder="1" applyAlignment="1"/>
    <xf numFmtId="172" fontId="2" fillId="0" borderId="14" xfId="558" applyNumberFormat="1" applyFont="1" applyFill="1" applyBorder="1" applyAlignment="1">
      <alignment wrapText="1"/>
    </xf>
    <xf numFmtId="0" fontId="9" fillId="0" borderId="13" xfId="557" applyFont="1" applyFill="1" applyBorder="1" applyAlignment="1">
      <alignment horizontal="right" vertical="center"/>
    </xf>
    <xf numFmtId="0" fontId="21" fillId="0" borderId="0" xfId="557" applyFont="1" applyFill="1" applyAlignment="1">
      <alignment horizontal="right" wrapText="1"/>
    </xf>
    <xf numFmtId="194" fontId="4" fillId="0" borderId="0" xfId="3" applyNumberFormat="1" applyFont="1" applyFill="1" applyAlignment="1">
      <alignment horizontal="left" wrapText="1"/>
    </xf>
    <xf numFmtId="165" fontId="29" fillId="0" borderId="17" xfId="558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167" fontId="2" fillId="0" borderId="5" xfId="1" applyFont="1" applyFill="1" applyBorder="1" applyAlignment="1">
      <alignment wrapText="1"/>
    </xf>
    <xf numFmtId="165" fontId="9" fillId="0" borderId="15" xfId="558" applyNumberFormat="1" applyFont="1" applyFill="1" applyBorder="1" applyAlignment="1">
      <alignment horizontal="center" vertical="center" wrapText="1"/>
    </xf>
    <xf numFmtId="0" fontId="2" fillId="0" borderId="19" xfId="557" applyFont="1" applyFill="1" applyBorder="1" applyAlignment="1"/>
    <xf numFmtId="172" fontId="2" fillId="0" borderId="20" xfId="558" applyNumberFormat="1" applyFont="1" applyFill="1" applyBorder="1" applyAlignment="1">
      <alignment wrapText="1"/>
    </xf>
    <xf numFmtId="194" fontId="2" fillId="0" borderId="0" xfId="557" applyNumberFormat="1" applyFont="1" applyFill="1"/>
    <xf numFmtId="0" fontId="2" fillId="0" borderId="0" xfId="557" applyFont="1" applyFill="1" applyAlignment="1"/>
    <xf numFmtId="172" fontId="2" fillId="0" borderId="0" xfId="558" applyNumberFormat="1" applyFont="1" applyFill="1" applyAlignment="1">
      <alignment wrapText="1"/>
    </xf>
    <xf numFmtId="0" fontId="2" fillId="0" borderId="0" xfId="557" applyFont="1" applyFill="1" applyBorder="1" applyAlignment="1"/>
    <xf numFmtId="172" fontId="2" fillId="0" borderId="0" xfId="558" applyNumberFormat="1" applyFont="1" applyFill="1" applyBorder="1" applyAlignment="1">
      <alignment wrapText="1"/>
    </xf>
    <xf numFmtId="0" fontId="21" fillId="0" borderId="0" xfId="557" applyFont="1" applyFill="1" applyAlignment="1">
      <alignment horizontal="right"/>
    </xf>
    <xf numFmtId="172" fontId="4" fillId="0" borderId="0" xfId="558" applyNumberFormat="1" applyFont="1" applyFill="1" applyAlignment="1">
      <alignment wrapText="1"/>
    </xf>
    <xf numFmtId="0" fontId="4" fillId="0" borderId="0" xfId="557" applyFont="1" applyFill="1" applyAlignment="1">
      <alignment wrapText="1"/>
    </xf>
    <xf numFmtId="167" fontId="2" fillId="0" borderId="0" xfId="1" applyFont="1" applyFill="1"/>
    <xf numFmtId="0" fontId="0" fillId="0" borderId="0" xfId="0"/>
    <xf numFmtId="172" fontId="2" fillId="0" borderId="0" xfId="557" applyNumberFormat="1" applyFont="1" applyFill="1"/>
    <xf numFmtId="167" fontId="2" fillId="0" borderId="0" xfId="557" applyNumberFormat="1" applyFont="1" applyFill="1"/>
    <xf numFmtId="165" fontId="2" fillId="0" borderId="0" xfId="557" applyNumberFormat="1" applyFont="1" applyFill="1"/>
    <xf numFmtId="195" fontId="2" fillId="0" borderId="0" xfId="557" applyNumberFormat="1" applyFont="1" applyFill="1"/>
    <xf numFmtId="165" fontId="2" fillId="0" borderId="0" xfId="557" applyNumberFormat="1" applyFont="1" applyFill="1" applyAlignment="1">
      <alignment wrapText="1"/>
    </xf>
    <xf numFmtId="195" fontId="2" fillId="0" borderId="0" xfId="557" applyNumberFormat="1" applyFont="1" applyFill="1" applyAlignment="1">
      <alignment wrapText="1"/>
    </xf>
    <xf numFmtId="172" fontId="2" fillId="2" borderId="9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vertical="center"/>
    </xf>
    <xf numFmtId="173" fontId="2" fillId="2" borderId="8" xfId="558" applyNumberFormat="1" applyFont="1" applyFill="1" applyBorder="1" applyAlignment="1">
      <alignment horizontal="center"/>
    </xf>
    <xf numFmtId="0" fontId="2" fillId="0" borderId="0" xfId="0" applyFont="1"/>
    <xf numFmtId="172" fontId="2" fillId="2" borderId="9" xfId="1" applyNumberFormat="1" applyFont="1" applyFill="1" applyBorder="1" applyAlignment="1">
      <alignment vertical="center"/>
    </xf>
    <xf numFmtId="172" fontId="29" fillId="0" borderId="0" xfId="1" applyNumberFormat="1" applyFont="1" applyFill="1"/>
    <xf numFmtId="0" fontId="2" fillId="0" borderId="0" xfId="0" applyFont="1" applyFill="1"/>
    <xf numFmtId="0" fontId="2" fillId="3" borderId="9" xfId="0" applyFont="1" applyFill="1" applyBorder="1" applyAlignment="1">
      <alignment horizontal="left"/>
    </xf>
    <xf numFmtId="172" fontId="2" fillId="3" borderId="9" xfId="1" applyNumberFormat="1" applyFont="1" applyFill="1" applyBorder="1" applyAlignment="1">
      <alignment vertical="center"/>
    </xf>
    <xf numFmtId="172" fontId="2" fillId="3" borderId="9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172" fontId="2" fillId="0" borderId="0" xfId="0" applyNumberFormat="1" applyFont="1" applyAlignment="1">
      <alignment vertical="center"/>
    </xf>
    <xf numFmtId="0" fontId="34" fillId="0" borderId="0" xfId="0" applyFont="1"/>
    <xf numFmtId="172" fontId="2" fillId="0" borderId="0" xfId="1" applyNumberFormat="1" applyFont="1" applyFill="1" applyAlignment="1">
      <alignment wrapText="1"/>
    </xf>
    <xf numFmtId="172" fontId="2" fillId="0" borderId="5" xfId="1" applyNumberFormat="1" applyFont="1" applyFill="1" applyBorder="1" applyAlignment="1">
      <alignment wrapText="1"/>
    </xf>
    <xf numFmtId="172" fontId="34" fillId="0" borderId="0" xfId="0" applyNumberFormat="1" applyFont="1"/>
    <xf numFmtId="0" fontId="9" fillId="0" borderId="0" xfId="7" applyFont="1" applyFill="1" applyBorder="1" applyAlignment="1">
      <alignment horizontal="left" vertical="center" wrapText="1"/>
    </xf>
    <xf numFmtId="165" fontId="9" fillId="0" borderId="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horizontal="center" vertical="center"/>
    </xf>
    <xf numFmtId="0" fontId="29" fillId="0" borderId="3" xfId="7" applyFont="1" applyFill="1" applyBorder="1" applyAlignment="1">
      <alignment horizontal="left" vertical="center" wrapText="1"/>
    </xf>
    <xf numFmtId="165" fontId="29" fillId="0" borderId="3" xfId="4" applyNumberFormat="1" applyFont="1" applyFill="1" applyBorder="1" applyAlignment="1">
      <alignment vertical="center"/>
    </xf>
    <xf numFmtId="172" fontId="4" fillId="0" borderId="0" xfId="1" applyNumberFormat="1" applyFont="1" applyFill="1"/>
    <xf numFmtId="0" fontId="4" fillId="0" borderId="0" xfId="0" applyFont="1" applyFill="1"/>
    <xf numFmtId="49" fontId="28" fillId="0" borderId="0" xfId="1" applyNumberFormat="1" applyFont="1" applyFill="1" applyAlignment="1">
      <alignment horizontal="center"/>
    </xf>
    <xf numFmtId="194" fontId="28" fillId="0" borderId="0" xfId="1" applyNumberFormat="1" applyFont="1" applyFill="1" applyAlignment="1">
      <alignment horizontal="center"/>
    </xf>
    <xf numFmtId="172" fontId="2" fillId="0" borderId="5" xfId="1" applyNumberFormat="1" applyFont="1" applyFill="1" applyBorder="1"/>
    <xf numFmtId="172" fontId="2" fillId="0" borderId="0" xfId="1" applyNumberFormat="1" applyFont="1" applyFill="1" applyBorder="1"/>
    <xf numFmtId="0" fontId="4" fillId="0" borderId="0" xfId="0" applyFont="1" applyFill="1" applyAlignment="1">
      <alignment horizontal="right"/>
    </xf>
    <xf numFmtId="172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 indent="5"/>
    </xf>
    <xf numFmtId="195" fontId="2" fillId="0" borderId="0" xfId="0" applyNumberFormat="1" applyFont="1" applyFill="1"/>
    <xf numFmtId="0" fontId="28" fillId="0" borderId="0" xfId="0" applyFont="1" applyFill="1" applyAlignment="1">
      <alignment horizontal="center"/>
    </xf>
    <xf numFmtId="196" fontId="4" fillId="0" borderId="0" xfId="3" applyNumberFormat="1" applyFont="1" applyFill="1" applyAlignment="1">
      <alignment horizontal="left"/>
    </xf>
    <xf numFmtId="197" fontId="2" fillId="0" borderId="0" xfId="0" applyNumberFormat="1" applyFont="1" applyFill="1"/>
    <xf numFmtId="172" fontId="2" fillId="0" borderId="0" xfId="0" applyNumberFormat="1" applyFont="1" applyFill="1"/>
    <xf numFmtId="172" fontId="35" fillId="0" borderId="0" xfId="1" applyNumberFormat="1" applyFont="1" applyFill="1"/>
    <xf numFmtId="172" fontId="4" fillId="0" borderId="5" xfId="1" applyNumberFormat="1" applyFont="1" applyFill="1" applyBorder="1"/>
    <xf numFmtId="0" fontId="6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/>
    </xf>
    <xf numFmtId="165" fontId="5" fillId="0" borderId="3" xfId="7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4" borderId="0" xfId="576" applyFont="1" applyFill="1" applyAlignment="1">
      <alignment horizontal="center"/>
    </xf>
    <xf numFmtId="0" fontId="39" fillId="4" borderId="0" xfId="576" applyFont="1" applyFill="1" applyAlignment="1"/>
    <xf numFmtId="0" fontId="39" fillId="4" borderId="0" xfId="576" applyFont="1" applyFill="1" applyBorder="1" applyAlignment="1">
      <alignment horizontal="center"/>
    </xf>
    <xf numFmtId="0" fontId="39" fillId="0" borderId="0" xfId="495" applyFont="1" applyAlignment="1"/>
    <xf numFmtId="0" fontId="38" fillId="4" borderId="0" xfId="576" applyFont="1" applyFill="1" applyAlignment="1"/>
    <xf numFmtId="172" fontId="39" fillId="4" borderId="0" xfId="578" applyNumberFormat="1" applyFont="1" applyFill="1" applyAlignment="1">
      <alignment horizontal="center"/>
    </xf>
    <xf numFmtId="172" fontId="39" fillId="4" borderId="0" xfId="578" applyNumberFormat="1" applyFont="1" applyFill="1" applyBorder="1" applyAlignment="1">
      <alignment horizontal="center"/>
    </xf>
    <xf numFmtId="172" fontId="39" fillId="4" borderId="5" xfId="578" applyNumberFormat="1" applyFont="1" applyFill="1" applyBorder="1" applyAlignment="1">
      <alignment horizontal="center"/>
    </xf>
    <xf numFmtId="0" fontId="38" fillId="4" borderId="5" xfId="495" applyFont="1" applyFill="1" applyBorder="1" applyAlignment="1">
      <alignment horizontal="center"/>
    </xf>
    <xf numFmtId="15" fontId="40" fillId="4" borderId="0" xfId="576" applyNumberFormat="1" applyFont="1" applyFill="1" applyAlignment="1"/>
    <xf numFmtId="172" fontId="39" fillId="4" borderId="0" xfId="1" applyNumberFormat="1" applyFont="1" applyFill="1" applyBorder="1" applyAlignment="1">
      <alignment horizontal="right"/>
    </xf>
    <xf numFmtId="172" fontId="38" fillId="0" borderId="0" xfId="0" applyNumberFormat="1" applyFont="1"/>
    <xf numFmtId="0" fontId="40" fillId="4" borderId="0" xfId="576" applyFont="1" applyFill="1" applyBorder="1" applyAlignment="1"/>
    <xf numFmtId="0" fontId="40" fillId="4" borderId="0" xfId="576" applyFont="1" applyFill="1" applyAlignment="1">
      <alignment wrapText="1"/>
    </xf>
    <xf numFmtId="172" fontId="39" fillId="0" borderId="0" xfId="1" applyNumberFormat="1" applyFont="1" applyFill="1" applyAlignment="1">
      <alignment horizontal="right"/>
    </xf>
    <xf numFmtId="172" fontId="38" fillId="0" borderId="0" xfId="1" applyNumberFormat="1" applyFont="1" applyFill="1" applyAlignment="1">
      <alignment horizontal="right"/>
    </xf>
    <xf numFmtId="172" fontId="39" fillId="0" borderId="0" xfId="1" applyNumberFormat="1" applyFont="1" applyAlignment="1"/>
    <xf numFmtId="0" fontId="40" fillId="4" borderId="0" xfId="576" applyFont="1" applyFill="1" applyAlignment="1"/>
    <xf numFmtId="0" fontId="39" fillId="0" borderId="0" xfId="0" applyFont="1" applyFill="1" applyAlignment="1">
      <alignment wrapText="1"/>
    </xf>
    <xf numFmtId="0" fontId="39" fillId="0" borderId="0" xfId="0" applyFont="1" applyFill="1"/>
    <xf numFmtId="172" fontId="38" fillId="0" borderId="0" xfId="1" applyNumberFormat="1" applyFont="1"/>
    <xf numFmtId="172" fontId="38" fillId="4" borderId="0" xfId="1" applyNumberFormat="1" applyFont="1" applyFill="1" applyAlignment="1">
      <alignment horizontal="right"/>
    </xf>
    <xf numFmtId="0" fontId="39" fillId="4" borderId="0" xfId="576" applyFont="1" applyFill="1" applyAlignment="1">
      <alignment wrapText="1"/>
    </xf>
    <xf numFmtId="172" fontId="39" fillId="0" borderId="5" xfId="1" applyNumberFormat="1" applyFont="1" applyFill="1" applyBorder="1" applyAlignment="1">
      <alignment horizontal="right"/>
    </xf>
    <xf numFmtId="172" fontId="39" fillId="4" borderId="5" xfId="1" applyNumberFormat="1" applyFont="1" applyFill="1" applyBorder="1" applyAlignment="1">
      <alignment horizontal="right"/>
    </xf>
    <xf numFmtId="172" fontId="38" fillId="4" borderId="5" xfId="1" applyNumberFormat="1" applyFont="1" applyFill="1" applyBorder="1" applyAlignment="1"/>
    <xf numFmtId="172" fontId="39" fillId="0" borderId="2" xfId="1" applyNumberFormat="1" applyFont="1" applyFill="1" applyBorder="1" applyAlignment="1">
      <alignment horizontal="right"/>
    </xf>
    <xf numFmtId="167" fontId="38" fillId="0" borderId="0" xfId="1" applyFont="1"/>
    <xf numFmtId="0" fontId="38" fillId="0" borderId="0" xfId="0" applyFont="1" applyFill="1"/>
    <xf numFmtId="0" fontId="39" fillId="4" borderId="0" xfId="0" applyFont="1" applyFill="1" applyBorder="1" applyAlignment="1">
      <alignment horizontal="center"/>
    </xf>
    <xf numFmtId="0" fontId="39" fillId="4" borderId="0" xfId="0" applyFont="1" applyFill="1" applyBorder="1"/>
    <xf numFmtId="172" fontId="39" fillId="4" borderId="5" xfId="578" applyNumberFormat="1" applyFont="1" applyFill="1" applyBorder="1" applyAlignment="1"/>
    <xf numFmtId="0" fontId="41" fillId="0" borderId="0" xfId="315" applyFont="1" applyFill="1" applyAlignment="1">
      <alignment horizontal="center"/>
    </xf>
    <xf numFmtId="0" fontId="39" fillId="4" borderId="5" xfId="0" applyFont="1" applyFill="1" applyBorder="1" applyAlignment="1">
      <alignment horizontal="center"/>
    </xf>
    <xf numFmtId="172" fontId="38" fillId="4" borderId="5" xfId="578" applyNumberFormat="1" applyFont="1" applyFill="1" applyBorder="1" applyAlignment="1">
      <alignment horizontal="center" wrapText="1"/>
    </xf>
    <xf numFmtId="0" fontId="39" fillId="0" borderId="0" xfId="315" applyFont="1" applyFill="1"/>
    <xf numFmtId="3" fontId="38" fillId="0" borderId="0" xfId="0" applyNumberFormat="1" applyFont="1"/>
    <xf numFmtId="3" fontId="39" fillId="0" borderId="0" xfId="315" applyNumberFormat="1" applyFont="1" applyFill="1"/>
    <xf numFmtId="0" fontId="41" fillId="0" borderId="0" xfId="315" applyFont="1" applyFill="1"/>
    <xf numFmtId="0" fontId="39" fillId="0" borderId="0" xfId="315" applyFont="1" applyFill="1" applyAlignment="1">
      <alignment horizontal="left" indent="1"/>
    </xf>
    <xf numFmtId="3" fontId="38" fillId="4" borderId="0" xfId="0" applyNumberFormat="1" applyFont="1" applyFill="1"/>
    <xf numFmtId="0" fontId="41" fillId="0" borderId="0" xfId="315" applyFont="1" applyFill="1" applyBorder="1"/>
    <xf numFmtId="3" fontId="39" fillId="0" borderId="0" xfId="315" applyNumberFormat="1" applyFont="1" applyFill="1" applyBorder="1"/>
    <xf numFmtId="172" fontId="38" fillId="4" borderId="0" xfId="1" applyNumberFormat="1" applyFont="1" applyFill="1"/>
    <xf numFmtId="172" fontId="39" fillId="0" borderId="0" xfId="1" applyNumberFormat="1" applyFont="1" applyFill="1"/>
    <xf numFmtId="3" fontId="39" fillId="4" borderId="0" xfId="315" applyNumberFormat="1" applyFont="1" applyFill="1"/>
    <xf numFmtId="0" fontId="38" fillId="4" borderId="0" xfId="0" applyFont="1" applyFill="1"/>
    <xf numFmtId="198" fontId="41" fillId="4" borderId="0" xfId="315" applyNumberFormat="1" applyFont="1" applyFill="1"/>
    <xf numFmtId="198" fontId="39" fillId="4" borderId="0" xfId="315" applyNumberFormat="1" applyFont="1" applyFill="1" applyAlignment="1">
      <alignment horizontal="left" indent="1"/>
    </xf>
    <xf numFmtId="172" fontId="38" fillId="4" borderId="5" xfId="1" applyNumberFormat="1" applyFont="1" applyFill="1" applyBorder="1"/>
    <xf numFmtId="172" fontId="38" fillId="4" borderId="0" xfId="1" applyNumberFormat="1" applyFont="1" applyFill="1" applyBorder="1"/>
    <xf numFmtId="172" fontId="38" fillId="4" borderId="2" xfId="1" applyNumberFormat="1" applyFont="1" applyFill="1" applyBorder="1"/>
    <xf numFmtId="0" fontId="38" fillId="4" borderId="0" xfId="0" applyFont="1" applyFill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41" fillId="4" borderId="0" xfId="579" applyFont="1" applyFill="1" applyAlignment="1">
      <alignment horizontal="center"/>
    </xf>
    <xf numFmtId="0" fontId="42" fillId="4" borderId="0" xfId="318" applyFont="1" applyFill="1" applyBorder="1" applyAlignment="1">
      <alignment horizontal="center" vertical="center"/>
    </xf>
    <xf numFmtId="0" fontId="38" fillId="4" borderId="0" xfId="318" applyFont="1" applyFill="1" applyAlignment="1">
      <alignment vertical="center"/>
    </xf>
    <xf numFmtId="0" fontId="39" fillId="4" borderId="5" xfId="318" quotePrefix="1" applyNumberFormat="1" applyFont="1" applyFill="1" applyBorder="1" applyAlignment="1">
      <alignment horizontal="center" vertical="center"/>
    </xf>
    <xf numFmtId="0" fontId="38" fillId="4" borderId="0" xfId="0" applyFont="1" applyFill="1" applyAlignment="1">
      <alignment vertical="top"/>
    </xf>
    <xf numFmtId="0" fontId="41" fillId="4" borderId="0" xfId="579" applyFont="1" applyFill="1" applyBorder="1" applyAlignment="1">
      <alignment horizontal="center"/>
    </xf>
    <xf numFmtId="0" fontId="39" fillId="4" borderId="0" xfId="579" applyFont="1" applyFill="1"/>
    <xf numFmtId="0" fontId="39" fillId="4" borderId="0" xfId="579" applyFont="1" applyFill="1" applyAlignment="1">
      <alignment horizontal="center"/>
    </xf>
    <xf numFmtId="183" fontId="39" fillId="4" borderId="0" xfId="1" applyNumberFormat="1" applyFont="1" applyFill="1" applyAlignment="1"/>
    <xf numFmtId="183" fontId="38" fillId="4" borderId="0" xfId="1" applyNumberFormat="1" applyFont="1" applyFill="1" applyAlignment="1"/>
    <xf numFmtId="183" fontId="39" fillId="4" borderId="0" xfId="1" applyNumberFormat="1" applyFont="1" applyFill="1" applyAlignment="1">
      <alignment vertical="top"/>
    </xf>
    <xf numFmtId="183" fontId="38" fillId="4" borderId="0" xfId="0" applyNumberFormat="1" applyFont="1" applyFill="1" applyAlignment="1">
      <alignment vertical="top"/>
    </xf>
    <xf numFmtId="0" fontId="38" fillId="4" borderId="0" xfId="579" applyFont="1" applyFill="1"/>
    <xf numFmtId="37" fontId="39" fillId="4" borderId="5" xfId="1" applyNumberFormat="1" applyFont="1" applyFill="1" applyBorder="1" applyAlignment="1">
      <alignment vertical="top"/>
    </xf>
    <xf numFmtId="183" fontId="38" fillId="4" borderId="0" xfId="1" applyNumberFormat="1" applyFont="1" applyFill="1" applyBorder="1" applyAlignment="1"/>
    <xf numFmtId="183" fontId="38" fillId="4" borderId="0" xfId="1" applyNumberFormat="1" applyFont="1" applyFill="1"/>
    <xf numFmtId="37" fontId="39" fillId="4" borderId="5" xfId="1" applyNumberFormat="1" applyFont="1" applyFill="1" applyBorder="1"/>
    <xf numFmtId="37" fontId="39" fillId="4" borderId="0" xfId="1" applyNumberFormat="1" applyFont="1" applyFill="1" applyBorder="1"/>
    <xf numFmtId="183" fontId="39" fillId="4" borderId="0" xfId="1" applyNumberFormat="1" applyFont="1" applyFill="1" applyBorder="1"/>
    <xf numFmtId="183" fontId="38" fillId="4" borderId="4" xfId="1" applyNumberFormat="1" applyFont="1" applyFill="1" applyBorder="1"/>
    <xf numFmtId="167" fontId="39" fillId="4" borderId="0" xfId="1" applyFont="1" applyFill="1" applyAlignment="1">
      <alignment vertical="top"/>
    </xf>
    <xf numFmtId="167" fontId="38" fillId="4" borderId="0" xfId="1" applyFont="1" applyFill="1" applyAlignment="1">
      <alignment vertical="top"/>
    </xf>
    <xf numFmtId="183" fontId="38" fillId="4" borderId="0" xfId="1" applyNumberFormat="1" applyFont="1" applyFill="1" applyBorder="1"/>
    <xf numFmtId="0" fontId="41" fillId="4" borderId="0" xfId="579" applyFont="1" applyFill="1"/>
    <xf numFmtId="37" fontId="39" fillId="4" borderId="2" xfId="1" applyNumberFormat="1" applyFont="1" applyFill="1" applyBorder="1"/>
    <xf numFmtId="183" fontId="41" fillId="4" borderId="0" xfId="1" applyNumberFormat="1" applyFont="1" applyFill="1" applyBorder="1"/>
    <xf numFmtId="172" fontId="38" fillId="0" borderId="5" xfId="1" applyNumberFormat="1" applyFont="1" applyFill="1" applyBorder="1"/>
    <xf numFmtId="172" fontId="38" fillId="4" borderId="1" xfId="1" applyNumberFormat="1" applyFont="1" applyFill="1" applyBorder="1"/>
    <xf numFmtId="0" fontId="39" fillId="4" borderId="5" xfId="576" applyFont="1" applyFill="1" applyBorder="1" applyAlignment="1">
      <alignment horizontal="center"/>
    </xf>
    <xf numFmtId="172" fontId="38" fillId="4" borderId="0" xfId="0" applyNumberFormat="1" applyFont="1" applyFill="1"/>
    <xf numFmtId="0" fontId="39" fillId="0" borderId="0" xfId="576" applyFont="1" applyFill="1" applyAlignment="1">
      <alignment wrapText="1"/>
    </xf>
    <xf numFmtId="172" fontId="39" fillId="0" borderId="0" xfId="1" applyNumberFormat="1" applyFont="1" applyFill="1" applyBorder="1" applyAlignment="1">
      <alignment horizontal="right"/>
    </xf>
    <xf numFmtId="172" fontId="39" fillId="0" borderId="0" xfId="1" applyNumberFormat="1" applyFont="1" applyFill="1" applyAlignment="1"/>
    <xf numFmtId="0" fontId="40" fillId="0" borderId="0" xfId="576" applyFont="1" applyFill="1" applyAlignment="1"/>
    <xf numFmtId="3" fontId="38" fillId="0" borderId="0" xfId="0" applyNumberFormat="1" applyFont="1" applyFill="1" applyAlignment="1">
      <alignment horizontal="center" vertical="center"/>
    </xf>
    <xf numFmtId="3" fontId="38" fillId="0" borderId="0" xfId="0" applyNumberFormat="1" applyFont="1" applyFill="1"/>
    <xf numFmtId="0" fontId="38" fillId="0" borderId="0" xfId="0" applyFont="1" applyFill="1" applyAlignment="1">
      <alignment horizontal="left" indent="1"/>
    </xf>
    <xf numFmtId="172" fontId="38" fillId="0" borderId="0" xfId="1" applyNumberFormat="1" applyFont="1" applyFill="1"/>
    <xf numFmtId="172" fontId="38" fillId="0" borderId="26" xfId="1" applyNumberFormat="1" applyFont="1" applyFill="1" applyBorder="1"/>
    <xf numFmtId="3" fontId="38" fillId="0" borderId="0" xfId="0" applyNumberFormat="1" applyFont="1" applyFill="1" applyBorder="1"/>
    <xf numFmtId="3" fontId="38" fillId="0" borderId="26" xfId="0" applyNumberFormat="1" applyFont="1" applyFill="1" applyBorder="1"/>
    <xf numFmtId="172" fontId="38" fillId="0" borderId="0" xfId="1" applyNumberFormat="1" applyFont="1" applyFill="1" applyBorder="1"/>
    <xf numFmtId="167" fontId="38" fillId="0" borderId="5" xfId="1" applyFont="1" applyFill="1" applyBorder="1"/>
    <xf numFmtId="167" fontId="38" fillId="0" borderId="0" xfId="1" applyFont="1" applyFill="1"/>
    <xf numFmtId="3" fontId="38" fillId="0" borderId="5" xfId="0" applyNumberFormat="1" applyFont="1" applyFill="1" applyBorder="1"/>
    <xf numFmtId="3" fontId="38" fillId="0" borderId="4" xfId="0" applyNumberFormat="1" applyFont="1" applyFill="1" applyBorder="1"/>
    <xf numFmtId="3" fontId="38" fillId="0" borderId="1" xfId="0" applyNumberFormat="1" applyFont="1" applyFill="1" applyBorder="1"/>
    <xf numFmtId="0" fontId="39" fillId="0" borderId="0" xfId="0" applyFont="1" applyFill="1" applyAlignment="1">
      <alignment horizontal="center"/>
    </xf>
    <xf numFmtId="0" fontId="38" fillId="0" borderId="5" xfId="0" applyFont="1" applyFill="1" applyBorder="1" applyAlignment="1"/>
    <xf numFmtId="198" fontId="41" fillId="0" borderId="0" xfId="315" applyNumberFormat="1" applyFont="1" applyFill="1" applyAlignment="1">
      <alignment horizontal="center"/>
    </xf>
    <xf numFmtId="0" fontId="39" fillId="0" borderId="5" xfId="0" applyFont="1" applyFill="1" applyBorder="1" applyAlignment="1">
      <alignment horizontal="center"/>
    </xf>
    <xf numFmtId="172" fontId="38" fillId="0" borderId="5" xfId="578" applyNumberFormat="1" applyFont="1" applyFill="1" applyBorder="1" applyAlignment="1">
      <alignment horizontal="center" wrapText="1"/>
    </xf>
    <xf numFmtId="0" fontId="39" fillId="0" borderId="0" xfId="0" applyFont="1" applyFill="1" applyBorder="1"/>
    <xf numFmtId="198" fontId="39" fillId="0" borderId="0" xfId="315" applyNumberFormat="1" applyFont="1" applyFill="1"/>
    <xf numFmtId="198" fontId="41" fillId="0" borderId="0" xfId="315" applyNumberFormat="1" applyFont="1" applyFill="1"/>
    <xf numFmtId="198" fontId="39" fillId="0" borderId="0" xfId="315" applyNumberFormat="1" applyFont="1" applyFill="1" applyAlignment="1">
      <alignment horizontal="left" indent="1"/>
    </xf>
    <xf numFmtId="3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/>
    <xf numFmtId="172" fontId="38" fillId="0" borderId="0" xfId="0" applyNumberFormat="1" applyFont="1" applyFill="1"/>
    <xf numFmtId="165" fontId="0" fillId="0" borderId="0" xfId="0" applyNumberFormat="1" applyFill="1"/>
    <xf numFmtId="167" fontId="0" fillId="0" borderId="0" xfId="1" applyFont="1" applyFill="1"/>
    <xf numFmtId="172" fontId="0" fillId="0" borderId="0" xfId="1" applyNumberFormat="1" applyFont="1" applyFill="1"/>
    <xf numFmtId="43" fontId="0" fillId="0" borderId="0" xfId="0" applyNumberFormat="1" applyFill="1"/>
    <xf numFmtId="0" fontId="39" fillId="0" borderId="0" xfId="579" applyFont="1" applyFill="1"/>
    <xf numFmtId="0" fontId="39" fillId="0" borderId="0" xfId="579" applyFont="1" applyFill="1" applyAlignment="1">
      <alignment horizontal="center"/>
    </xf>
    <xf numFmtId="0" fontId="38" fillId="0" borderId="0" xfId="579" applyFont="1" applyFill="1"/>
    <xf numFmtId="37" fontId="39" fillId="0" borderId="0" xfId="1" applyNumberFormat="1" applyFont="1" applyFill="1" applyAlignment="1">
      <alignment vertical="top"/>
    </xf>
    <xf numFmtId="183" fontId="38" fillId="0" borderId="0" xfId="1" applyNumberFormat="1" applyFont="1" applyFill="1" applyBorder="1" applyAlignment="1"/>
    <xf numFmtId="183" fontId="39" fillId="0" borderId="0" xfId="1" applyNumberFormat="1" applyFont="1" applyFill="1" applyAlignment="1">
      <alignment vertical="top"/>
    </xf>
    <xf numFmtId="37" fontId="38" fillId="0" borderId="0" xfId="0" applyNumberFormat="1" applyFont="1" applyFill="1" applyAlignment="1">
      <alignment vertical="top"/>
    </xf>
    <xf numFmtId="37" fontId="39" fillId="0" borderId="5" xfId="1" applyNumberFormat="1" applyFont="1" applyFill="1" applyBorder="1" applyAlignment="1">
      <alignment vertical="top"/>
    </xf>
    <xf numFmtId="0" fontId="38" fillId="0" borderId="0" xfId="0" applyFont="1" applyFill="1" applyAlignment="1">
      <alignment vertical="top"/>
    </xf>
    <xf numFmtId="172" fontId="2" fillId="2" borderId="0" xfId="1" applyNumberFormat="1" applyFont="1" applyFill="1"/>
    <xf numFmtId="172" fontId="2" fillId="0" borderId="28" xfId="1" applyNumberFormat="1" applyFont="1" applyFill="1" applyBorder="1" applyAlignment="1">
      <alignment vertical="center"/>
    </xf>
    <xf numFmtId="0" fontId="0" fillId="0" borderId="9" xfId="0" applyFill="1" applyBorder="1"/>
    <xf numFmtId="172" fontId="2" fillId="0" borderId="27" xfId="1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 indent="5"/>
    </xf>
    <xf numFmtId="172" fontId="2" fillId="0" borderId="27" xfId="1" applyNumberFormat="1" applyFont="1" applyBorder="1" applyAlignment="1">
      <alignment vertical="center"/>
    </xf>
    <xf numFmtId="0" fontId="0" fillId="0" borderId="27" xfId="0" applyFill="1" applyBorder="1"/>
    <xf numFmtId="0" fontId="2" fillId="0" borderId="27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9" fontId="6" fillId="0" borderId="0" xfId="3" applyFont="1" applyFill="1" applyAlignment="1">
      <alignment horizontal="left" vertical="center"/>
    </xf>
    <xf numFmtId="9" fontId="5" fillId="0" borderId="0" xfId="3" applyFont="1" applyFill="1" applyAlignment="1">
      <alignment horizontal="right" vertical="center"/>
    </xf>
    <xf numFmtId="165" fontId="5" fillId="0" borderId="0" xfId="3" applyNumberFormat="1" applyFont="1" applyFill="1" applyAlignment="1">
      <alignment horizontal="right" vertical="center"/>
    </xf>
    <xf numFmtId="0" fontId="6" fillId="0" borderId="0" xfId="5" applyFont="1" applyFill="1" applyAlignment="1">
      <alignment vertical="center"/>
    </xf>
    <xf numFmtId="0" fontId="5" fillId="0" borderId="0" xfId="6" applyFont="1" applyFill="1" applyBorder="1" applyAlignment="1">
      <alignment vertical="center"/>
    </xf>
    <xf numFmtId="172" fontId="0" fillId="0" borderId="0" xfId="0" applyNumberFormat="1" applyFill="1"/>
    <xf numFmtId="0" fontId="7" fillId="0" borderId="8" xfId="7" applyFont="1" applyFill="1" applyBorder="1" applyAlignment="1">
      <alignment horizontal="center" vertical="center" wrapText="1"/>
    </xf>
    <xf numFmtId="173" fontId="6" fillId="0" borderId="8" xfId="4" applyNumberFormat="1" applyFont="1" applyFill="1" applyBorder="1" applyAlignment="1">
      <alignment horizontal="center" vertical="center" wrapText="1"/>
    </xf>
    <xf numFmtId="165" fontId="43" fillId="0" borderId="3" xfId="4" applyNumberFormat="1" applyFont="1" applyFill="1" applyBorder="1" applyAlignment="1">
      <alignment vertical="center"/>
    </xf>
    <xf numFmtId="172" fontId="9" fillId="0" borderId="0" xfId="1" applyNumberFormat="1" applyFont="1" applyFill="1" applyBorder="1" applyAlignment="1">
      <alignment vertical="center"/>
    </xf>
    <xf numFmtId="0" fontId="26" fillId="0" borderId="0" xfId="0" applyFont="1" applyFill="1"/>
    <xf numFmtId="165" fontId="26" fillId="0" borderId="0" xfId="0" applyNumberFormat="1" applyFont="1" applyFill="1"/>
    <xf numFmtId="0" fontId="34" fillId="0" borderId="0" xfId="0" applyFont="1" applyFill="1"/>
    <xf numFmtId="167" fontId="0" fillId="0" borderId="0" xfId="0" applyNumberFormat="1" applyFill="1"/>
    <xf numFmtId="165" fontId="0" fillId="0" borderId="5" xfId="0" applyNumberFormat="1" applyFont="1" applyFill="1" applyBorder="1"/>
    <xf numFmtId="167" fontId="0" fillId="0" borderId="0" xfId="1" applyNumberFormat="1" applyFont="1" applyFill="1"/>
    <xf numFmtId="172" fontId="2" fillId="0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 applyAlignment="1">
      <alignment vertical="center"/>
    </xf>
    <xf numFmtId="172" fontId="0" fillId="2" borderId="0" xfId="0" applyNumberFormat="1" applyFill="1"/>
    <xf numFmtId="172" fontId="2" fillId="2" borderId="8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  <xf numFmtId="167" fontId="27" fillId="0" borderId="0" xfId="3" applyNumberFormat="1" applyFont="1" applyFill="1" applyAlignment="1">
      <alignment horizontal="left" vertical="center"/>
    </xf>
    <xf numFmtId="167" fontId="5" fillId="0" borderId="3" xfId="4" applyNumberFormat="1" applyFont="1" applyFill="1" applyBorder="1" applyAlignment="1">
      <alignment vertical="center"/>
    </xf>
    <xf numFmtId="165" fontId="5" fillId="2" borderId="3" xfId="4" applyNumberFormat="1" applyFont="1" applyFill="1" applyBorder="1" applyAlignment="1">
      <alignment vertical="center"/>
    </xf>
    <xf numFmtId="0" fontId="5" fillId="2" borderId="3" xfId="7" applyFont="1" applyFill="1" applyBorder="1" applyAlignment="1">
      <alignment horizontal="left" vertical="center" wrapText="1"/>
    </xf>
    <xf numFmtId="165" fontId="5" fillId="2" borderId="3" xfId="7" applyNumberFormat="1" applyFont="1" applyFill="1" applyBorder="1" applyAlignment="1">
      <alignment horizontal="left" vertical="center" wrapText="1"/>
    </xf>
    <xf numFmtId="165" fontId="3" fillId="2" borderId="3" xfId="567" applyNumberFormat="1" applyFont="1" applyFill="1" applyBorder="1" applyAlignment="1"/>
    <xf numFmtId="165" fontId="21" fillId="2" borderId="3" xfId="4" applyNumberFormat="1" applyFont="1" applyFill="1" applyBorder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65" fontId="5" fillId="2" borderId="8" xfId="4" applyNumberFormat="1" applyFont="1" applyFill="1" applyBorder="1" applyAlignment="1">
      <alignment vertical="center"/>
    </xf>
    <xf numFmtId="165" fontId="5" fillId="5" borderId="3" xfId="4" applyNumberFormat="1" applyFont="1" applyFill="1" applyBorder="1" applyAlignment="1">
      <alignment vertical="center"/>
    </xf>
    <xf numFmtId="165" fontId="5" fillId="5" borderId="8" xfId="4" applyNumberFormat="1" applyFont="1" applyFill="1" applyBorder="1" applyAlignment="1">
      <alignment vertical="center"/>
    </xf>
    <xf numFmtId="165" fontId="5" fillId="6" borderId="3" xfId="4" applyNumberFormat="1" applyFont="1" applyFill="1" applyBorder="1" applyAlignment="1">
      <alignment vertical="center"/>
    </xf>
    <xf numFmtId="165" fontId="5" fillId="7" borderId="3" xfId="4" applyNumberFormat="1" applyFont="1" applyFill="1" applyBorder="1" applyAlignment="1">
      <alignment vertical="center"/>
    </xf>
    <xf numFmtId="0" fontId="5" fillId="6" borderId="3" xfId="7" applyFont="1" applyFill="1" applyBorder="1" applyAlignment="1">
      <alignment horizontal="left" vertical="center" wrapText="1"/>
    </xf>
    <xf numFmtId="165" fontId="5" fillId="6" borderId="3" xfId="7" applyNumberFormat="1" applyFont="1" applyFill="1" applyBorder="1" applyAlignment="1">
      <alignment horizontal="left" vertical="center" wrapText="1"/>
    </xf>
    <xf numFmtId="165" fontId="3" fillId="6" borderId="3" xfId="567" applyNumberFormat="1" applyFont="1" applyFill="1" applyBorder="1" applyAlignment="1"/>
    <xf numFmtId="165" fontId="21" fillId="6" borderId="3" xfId="4" applyNumberFormat="1" applyFont="1" applyFill="1" applyBorder="1" applyAlignment="1">
      <alignment horizontal="center" vertical="center"/>
    </xf>
    <xf numFmtId="0" fontId="0" fillId="6" borderId="0" xfId="0" applyFill="1"/>
    <xf numFmtId="0" fontId="44" fillId="0" borderId="0" xfId="0" applyFont="1" applyFill="1"/>
    <xf numFmtId="0" fontId="46" fillId="0" borderId="0" xfId="449" applyNumberFormat="1" applyFont="1" applyFill="1" applyBorder="1" applyAlignment="1" applyProtection="1"/>
    <xf numFmtId="0" fontId="47" fillId="0" borderId="0" xfId="0" applyFont="1" applyFill="1"/>
    <xf numFmtId="1" fontId="48" fillId="0" borderId="0" xfId="449" applyNumberFormat="1" applyFont="1" applyFill="1" applyBorder="1" applyAlignment="1" applyProtection="1">
      <alignment horizontal="center"/>
    </xf>
    <xf numFmtId="0" fontId="49" fillId="0" borderId="0" xfId="449" applyNumberFormat="1" applyFont="1" applyFill="1" applyBorder="1" applyAlignment="1" applyProtection="1"/>
    <xf numFmtId="0" fontId="51" fillId="0" borderId="0" xfId="449" applyNumberFormat="1" applyFont="1" applyFill="1" applyBorder="1" applyAlignment="1" applyProtection="1">
      <alignment horizontal="left" vertical="center" wrapText="1"/>
    </xf>
    <xf numFmtId="0" fontId="51" fillId="0" borderId="0" xfId="449" applyNumberFormat="1" applyFont="1" applyFill="1" applyBorder="1" applyAlignment="1" applyProtection="1">
      <alignment horizontal="left" vertical="center" wrapText="1" indent="1"/>
    </xf>
    <xf numFmtId="0" fontId="51" fillId="0" borderId="0" xfId="449" applyNumberFormat="1" applyFont="1" applyFill="1" applyBorder="1" applyAlignment="1" applyProtection="1">
      <alignment horizontal="justify" vertical="center" wrapText="1"/>
    </xf>
    <xf numFmtId="165" fontId="46" fillId="0" borderId="0" xfId="449" applyNumberFormat="1" applyFont="1" applyFill="1" applyBorder="1" applyAlignment="1" applyProtection="1"/>
    <xf numFmtId="0" fontId="51" fillId="0" borderId="0" xfId="449" applyNumberFormat="1" applyFont="1" applyFill="1" applyBorder="1" applyAlignment="1" applyProtection="1">
      <alignment horizontal="justify" vertical="center"/>
    </xf>
    <xf numFmtId="165" fontId="47" fillId="0" borderId="0" xfId="0" applyNumberFormat="1" applyFont="1" applyFill="1"/>
    <xf numFmtId="202" fontId="57" fillId="0" borderId="0" xfId="0" applyNumberFormat="1" applyFont="1" applyFill="1" applyAlignment="1">
      <alignment horizontal="center"/>
    </xf>
    <xf numFmtId="201" fontId="45" fillId="0" borderId="0" xfId="0" applyNumberFormat="1" applyFont="1" applyFill="1" applyAlignment="1">
      <alignment horizontal="center"/>
    </xf>
    <xf numFmtId="0" fontId="58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202" fontId="57" fillId="0" borderId="0" xfId="0" applyNumberFormat="1" applyFont="1" applyFill="1" applyAlignment="1"/>
    <xf numFmtId="0" fontId="44" fillId="0" borderId="0" xfId="0" applyFont="1" applyFill="1" applyAlignment="1"/>
    <xf numFmtId="0" fontId="44" fillId="0" borderId="0" xfId="0" applyFont="1" applyFill="1" applyBorder="1" applyAlignment="1"/>
    <xf numFmtId="202" fontId="45" fillId="0" borderId="0" xfId="0" applyNumberFormat="1" applyFont="1" applyFill="1" applyAlignment="1"/>
    <xf numFmtId="172" fontId="45" fillId="0" borderId="0" xfId="145" applyNumberFormat="1" applyFont="1" applyFill="1" applyBorder="1" applyAlignment="1">
      <alignment horizontal="center"/>
    </xf>
    <xf numFmtId="172" fontId="45" fillId="0" borderId="0" xfId="145" applyNumberFormat="1" applyFont="1" applyFill="1" applyBorder="1" applyAlignment="1"/>
    <xf numFmtId="167" fontId="0" fillId="0" borderId="0" xfId="0" applyNumberFormat="1" applyAlignment="1"/>
    <xf numFmtId="202" fontId="45" fillId="0" borderId="0" xfId="0" applyNumberFormat="1" applyFont="1" applyFill="1" applyBorder="1" applyAlignment="1"/>
    <xf numFmtId="172" fontId="45" fillId="0" borderId="5" xfId="145" applyNumberFormat="1" applyFont="1" applyFill="1" applyBorder="1" applyAlignment="1">
      <alignment horizontal="center"/>
    </xf>
    <xf numFmtId="202" fontId="57" fillId="0" borderId="0" xfId="0" applyNumberFormat="1" applyFont="1" applyFill="1" applyBorder="1" applyAlignment="1"/>
    <xf numFmtId="172" fontId="45" fillId="0" borderId="5" xfId="145" applyNumberFormat="1" applyFont="1" applyFill="1" applyBorder="1" applyAlignment="1"/>
    <xf numFmtId="0" fontId="45" fillId="0" borderId="0" xfId="0" applyFont="1" applyFill="1" applyAlignment="1">
      <alignment horizontal="left" wrapText="1"/>
    </xf>
    <xf numFmtId="172" fontId="45" fillId="0" borderId="0" xfId="145" applyNumberFormat="1" applyFont="1" applyFill="1" applyAlignment="1">
      <alignment horizontal="center"/>
    </xf>
    <xf numFmtId="0" fontId="45" fillId="0" borderId="0" xfId="0" applyFont="1" applyFill="1" applyAlignment="1"/>
    <xf numFmtId="172" fontId="45" fillId="0" borderId="26" xfId="145" applyNumberFormat="1" applyFont="1" applyFill="1" applyBorder="1" applyAlignment="1"/>
    <xf numFmtId="183" fontId="44" fillId="0" borderId="0" xfId="1" applyNumberFormat="1" applyFont="1" applyFill="1" applyAlignment="1"/>
    <xf numFmtId="14" fontId="44" fillId="0" borderId="0" xfId="145" applyFont="1" applyFill="1" applyAlignment="1"/>
    <xf numFmtId="183" fontId="3" fillId="0" borderId="0" xfId="1" applyNumberFormat="1" applyFont="1" applyAlignment="1"/>
    <xf numFmtId="183" fontId="44" fillId="0" borderId="0" xfId="0" applyNumberFormat="1" applyFont="1" applyFill="1" applyAlignment="1"/>
    <xf numFmtId="172" fontId="44" fillId="0" borderId="2" xfId="0" applyNumberFormat="1" applyFont="1" applyFill="1" applyBorder="1" applyAlignment="1"/>
    <xf numFmtId="167" fontId="45" fillId="0" borderId="0" xfId="145" applyNumberFormat="1" applyFont="1" applyFill="1" applyBorder="1" applyAlignment="1"/>
    <xf numFmtId="2" fontId="44" fillId="0" borderId="0" xfId="0" applyNumberFormat="1" applyFont="1" applyFill="1" applyAlignment="1"/>
    <xf numFmtId="183" fontId="44" fillId="0" borderId="5" xfId="1" applyNumberFormat="1" applyFont="1" applyFill="1" applyBorder="1" applyAlignment="1"/>
    <xf numFmtId="167" fontId="47" fillId="0" borderId="0" xfId="1" applyFont="1" applyFill="1"/>
    <xf numFmtId="9" fontId="59" fillId="0" borderId="0" xfId="3" applyFont="1" applyFill="1" applyAlignment="1">
      <alignment horizontal="left" vertical="center"/>
    </xf>
    <xf numFmtId="0" fontId="60" fillId="0" borderId="0" xfId="0" applyFont="1" applyFill="1"/>
    <xf numFmtId="165" fontId="60" fillId="0" borderId="0" xfId="0" applyNumberFormat="1" applyFont="1" applyFill="1"/>
    <xf numFmtId="0" fontId="59" fillId="0" borderId="0" xfId="5" applyFont="1" applyFill="1" applyAlignment="1">
      <alignment vertical="center"/>
    </xf>
    <xf numFmtId="172" fontId="60" fillId="0" borderId="0" xfId="1" applyNumberFormat="1" applyFont="1" applyFill="1"/>
    <xf numFmtId="0" fontId="61" fillId="0" borderId="0" xfId="6" applyFont="1" applyFill="1" applyBorder="1" applyAlignment="1">
      <alignment vertical="center"/>
    </xf>
    <xf numFmtId="165" fontId="61" fillId="0" borderId="3" xfId="4" applyNumberFormat="1" applyFont="1" applyFill="1" applyBorder="1" applyAlignment="1">
      <alignment vertical="center"/>
    </xf>
    <xf numFmtId="165" fontId="62" fillId="0" borderId="3" xfId="567" applyNumberFormat="1" applyFont="1" applyFill="1" applyBorder="1" applyAlignment="1"/>
    <xf numFmtId="165" fontId="63" fillId="0" borderId="3" xfId="4" applyNumberFormat="1" applyFont="1" applyFill="1" applyBorder="1" applyAlignment="1">
      <alignment horizontal="center" vertical="center"/>
    </xf>
    <xf numFmtId="165" fontId="61" fillId="6" borderId="3" xfId="4" applyNumberFormat="1" applyFont="1" applyFill="1" applyBorder="1" applyAlignment="1">
      <alignment vertical="center"/>
    </xf>
    <xf numFmtId="165" fontId="64" fillId="0" borderId="3" xfId="4" applyNumberFormat="1" applyFont="1" applyFill="1" applyBorder="1" applyAlignment="1">
      <alignment vertical="center"/>
    </xf>
    <xf numFmtId="165" fontId="61" fillId="0" borderId="8" xfId="4" applyNumberFormat="1" applyFont="1" applyFill="1" applyBorder="1" applyAlignment="1">
      <alignment vertical="center"/>
    </xf>
    <xf numFmtId="165" fontId="61" fillId="0" borderId="22" xfId="4" applyNumberFormat="1" applyFont="1" applyFill="1" applyBorder="1" applyAlignment="1">
      <alignment vertical="center"/>
    </xf>
    <xf numFmtId="165" fontId="62" fillId="0" borderId="22" xfId="567" applyNumberFormat="1" applyFont="1" applyFill="1" applyBorder="1" applyAlignment="1"/>
    <xf numFmtId="0" fontId="59" fillId="0" borderId="3" xfId="7" applyFont="1" applyFill="1" applyBorder="1" applyAlignment="1">
      <alignment horizontal="left" vertical="center" wrapText="1"/>
    </xf>
    <xf numFmtId="165" fontId="59" fillId="0" borderId="3" xfId="4" applyNumberFormat="1" applyFont="1" applyFill="1" applyBorder="1" applyAlignment="1">
      <alignment vertical="center"/>
    </xf>
    <xf numFmtId="172" fontId="61" fillId="0" borderId="3" xfId="1" applyNumberFormat="1" applyFont="1" applyFill="1" applyBorder="1" applyAlignment="1">
      <alignment wrapText="1"/>
    </xf>
    <xf numFmtId="167" fontId="60" fillId="0" borderId="0" xfId="1" applyFont="1" applyFill="1"/>
    <xf numFmtId="43" fontId="60" fillId="0" borderId="0" xfId="0" applyNumberFormat="1" applyFont="1" applyFill="1"/>
    <xf numFmtId="165" fontId="61" fillId="0" borderId="3" xfId="3" applyNumberFormat="1" applyFont="1" applyFill="1" applyBorder="1" applyAlignment="1">
      <alignment horizontal="right" vertical="center"/>
    </xf>
    <xf numFmtId="165" fontId="63" fillId="0" borderId="3" xfId="3" applyNumberFormat="1" applyFont="1" applyFill="1" applyBorder="1" applyAlignment="1">
      <alignment horizontal="center" vertical="center"/>
    </xf>
    <xf numFmtId="165" fontId="61" fillId="0" borderId="22" xfId="3" applyNumberFormat="1" applyFont="1" applyFill="1" applyBorder="1" applyAlignment="1">
      <alignment horizontal="right" vertical="center"/>
    </xf>
    <xf numFmtId="165" fontId="59" fillId="0" borderId="10" xfId="3" applyNumberFormat="1" applyFont="1" applyFill="1" applyBorder="1" applyAlignment="1">
      <alignment horizontal="right" vertical="center"/>
    </xf>
    <xf numFmtId="0" fontId="59" fillId="0" borderId="0" xfId="7" applyFont="1" applyFill="1" applyBorder="1" applyAlignment="1">
      <alignment horizontal="left" vertical="center" wrapText="1"/>
    </xf>
    <xf numFmtId="165" fontId="59" fillId="0" borderId="0" xfId="4" applyNumberFormat="1" applyFont="1" applyFill="1" applyBorder="1" applyAlignment="1">
      <alignment vertical="center"/>
    </xf>
    <xf numFmtId="172" fontId="59" fillId="0" borderId="0" xfId="1" applyNumberFormat="1" applyFont="1" applyFill="1" applyBorder="1" applyAlignment="1">
      <alignment vertical="center"/>
    </xf>
    <xf numFmtId="165" fontId="63" fillId="0" borderId="0" xfId="4" applyNumberFormat="1" applyFont="1" applyFill="1" applyBorder="1" applyAlignment="1">
      <alignment horizontal="center" vertical="center"/>
    </xf>
    <xf numFmtId="0" fontId="65" fillId="0" borderId="0" xfId="7" applyFont="1" applyFill="1" applyAlignment="1">
      <alignment horizontal="left" vertical="center"/>
    </xf>
    <xf numFmtId="0" fontId="61" fillId="0" borderId="0" xfId="7" applyFont="1" applyFill="1" applyBorder="1" applyAlignment="1">
      <alignment horizontal="left" vertical="center"/>
    </xf>
    <xf numFmtId="165" fontId="61" fillId="0" borderId="0" xfId="3" applyNumberFormat="1" applyFont="1" applyFill="1" applyAlignment="1">
      <alignment horizontal="right" vertical="center"/>
    </xf>
    <xf numFmtId="0" fontId="66" fillId="0" borderId="0" xfId="0" applyFont="1" applyFill="1"/>
    <xf numFmtId="172" fontId="60" fillId="0" borderId="0" xfId="0" applyNumberFormat="1" applyFont="1" applyFill="1"/>
    <xf numFmtId="167" fontId="60" fillId="0" borderId="0" xfId="1" applyNumberFormat="1" applyFont="1" applyFill="1"/>
    <xf numFmtId="0" fontId="67" fillId="8" borderId="8" xfId="7" applyFont="1" applyFill="1" applyBorder="1" applyAlignment="1">
      <alignment horizontal="center" vertical="center" wrapText="1"/>
    </xf>
    <xf numFmtId="173" fontId="67" fillId="8" borderId="8" xfId="4" applyNumberFormat="1" applyFont="1" applyFill="1" applyBorder="1" applyAlignment="1">
      <alignment horizontal="center" vertical="center" wrapText="1"/>
    </xf>
    <xf numFmtId="202" fontId="45" fillId="0" borderId="0" xfId="0" applyNumberFormat="1" applyFont="1" applyFill="1" applyAlignment="1">
      <alignment horizontal="left" wrapText="1"/>
    </xf>
    <xf numFmtId="0" fontId="52" fillId="0" borderId="0" xfId="0" applyFont="1" applyFill="1" applyBorder="1" applyAlignment="1">
      <alignment horizontal="center" wrapText="1"/>
    </xf>
    <xf numFmtId="0" fontId="52" fillId="0" borderId="0" xfId="0" applyFont="1" applyFill="1" applyAlignment="1">
      <alignment horizontal="center"/>
    </xf>
    <xf numFmtId="0" fontId="52" fillId="0" borderId="0" xfId="0" applyFont="1" applyFill="1"/>
    <xf numFmtId="0" fontId="52" fillId="0" borderId="0" xfId="0" applyFont="1" applyFill="1" applyBorder="1" applyAlignment="1">
      <alignment horizontal="center"/>
    </xf>
    <xf numFmtId="0" fontId="54" fillId="0" borderId="0" xfId="0" applyFont="1" applyFill="1" applyAlignment="1">
      <alignment horizontal="center"/>
    </xf>
    <xf numFmtId="0" fontId="52" fillId="0" borderId="0" xfId="584" applyFont="1" applyFill="1" applyAlignment="1">
      <alignment horizontal="left"/>
    </xf>
    <xf numFmtId="199" fontId="52" fillId="0" borderId="0" xfId="583" applyNumberFormat="1" applyFont="1" applyFill="1"/>
    <xf numFmtId="172" fontId="52" fillId="0" borderId="0" xfId="145" applyNumberFormat="1" applyFont="1" applyFill="1" applyBorder="1"/>
    <xf numFmtId="0" fontId="52" fillId="0" borderId="0" xfId="0" applyFont="1" applyFill="1" applyAlignment="1">
      <alignment horizontal="left" indent="1"/>
    </xf>
    <xf numFmtId="0" fontId="52" fillId="0" borderId="0" xfId="0" applyFont="1" applyFill="1" applyBorder="1"/>
    <xf numFmtId="199" fontId="53" fillId="0" borderId="0" xfId="0" applyNumberFormat="1" applyFont="1" applyFill="1"/>
    <xf numFmtId="199" fontId="52" fillId="0" borderId="4" xfId="583" applyNumberFormat="1" applyFont="1" applyFill="1" applyBorder="1"/>
    <xf numFmtId="199" fontId="52" fillId="0" borderId="5" xfId="583" applyNumberFormat="1" applyFont="1" applyFill="1" applyBorder="1"/>
    <xf numFmtId="0" fontId="52" fillId="0" borderId="0" xfId="584" applyFont="1" applyFill="1"/>
    <xf numFmtId="199" fontId="52" fillId="0" borderId="26" xfId="583" applyNumberFormat="1" applyFont="1" applyFill="1" applyBorder="1"/>
    <xf numFmtId="0" fontId="53" fillId="0" borderId="0" xfId="0" applyFont="1" applyFill="1"/>
    <xf numFmtId="172" fontId="52" fillId="0" borderId="5" xfId="145" applyNumberFormat="1" applyFont="1" applyFill="1" applyBorder="1"/>
    <xf numFmtId="172" fontId="53" fillId="0" borderId="26" xfId="0" applyNumberFormat="1" applyFont="1" applyFill="1" applyBorder="1"/>
    <xf numFmtId="201" fontId="52" fillId="0" borderId="0" xfId="0" applyNumberFormat="1" applyFont="1" applyFill="1" applyBorder="1"/>
    <xf numFmtId="172" fontId="52" fillId="0" borderId="0" xfId="145" applyNumberFormat="1" applyFont="1" applyFill="1"/>
    <xf numFmtId="201" fontId="52" fillId="0" borderId="0" xfId="0" applyNumberFormat="1" applyFont="1" applyFill="1" applyBorder="1" applyAlignment="1">
      <alignment horizontal="center"/>
    </xf>
    <xf numFmtId="183" fontId="52" fillId="0" borderId="1" xfId="583" applyNumberFormat="1" applyFont="1" applyFill="1" applyBorder="1"/>
    <xf numFmtId="0" fontId="52" fillId="0" borderId="0" xfId="584" applyFont="1" applyFill="1" applyAlignment="1">
      <alignment wrapText="1"/>
    </xf>
    <xf numFmtId="199" fontId="52" fillId="0" borderId="1" xfId="0" applyNumberFormat="1" applyFont="1" applyFill="1" applyBorder="1" applyAlignment="1">
      <alignment horizontal="center"/>
    </xf>
    <xf numFmtId="172" fontId="52" fillId="0" borderId="0" xfId="0" applyNumberFormat="1" applyFont="1" applyFill="1" applyBorder="1"/>
    <xf numFmtId="14" fontId="55" fillId="0" borderId="0" xfId="145" applyFont="1" applyFill="1" applyBorder="1"/>
    <xf numFmtId="0" fontId="56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left"/>
    </xf>
    <xf numFmtId="14" fontId="53" fillId="0" borderId="0" xfId="145" applyFont="1" applyFill="1"/>
    <xf numFmtId="183" fontId="52" fillId="0" borderId="0" xfId="583" applyNumberFormat="1" applyFont="1" applyFill="1"/>
    <xf numFmtId="172" fontId="53" fillId="0" borderId="0" xfId="0" applyNumberFormat="1" applyFont="1" applyFill="1"/>
    <xf numFmtId="165" fontId="61" fillId="6" borderId="22" xfId="4" applyNumberFormat="1" applyFont="1" applyFill="1" applyBorder="1" applyAlignment="1">
      <alignment vertical="center"/>
    </xf>
    <xf numFmtId="165" fontId="61" fillId="0" borderId="10" xfId="3" applyNumberFormat="1" applyFont="1" applyFill="1" applyBorder="1" applyAlignment="1">
      <alignment horizontal="right" vertical="center"/>
    </xf>
    <xf numFmtId="165" fontId="62" fillId="0" borderId="10" xfId="567" applyNumberFormat="1" applyFont="1" applyFill="1" applyBorder="1" applyAlignment="1"/>
    <xf numFmtId="165" fontId="63" fillId="0" borderId="10" xfId="3" applyNumberFormat="1" applyFont="1" applyFill="1" applyBorder="1" applyAlignment="1">
      <alignment horizontal="center" vertical="center"/>
    </xf>
    <xf numFmtId="165" fontId="61" fillId="0" borderId="10" xfId="4" applyNumberFormat="1" applyFont="1" applyFill="1" applyBorder="1" applyAlignment="1">
      <alignment vertical="center"/>
    </xf>
    <xf numFmtId="165" fontId="59" fillId="0" borderId="0" xfId="3" applyNumberFormat="1" applyFont="1" applyFill="1" applyBorder="1" applyAlignment="1">
      <alignment horizontal="right" vertical="center" wrapText="1"/>
    </xf>
    <xf numFmtId="9" fontId="63" fillId="0" borderId="0" xfId="3" applyFont="1" applyFill="1" applyBorder="1" applyAlignment="1">
      <alignment horizontal="center" vertical="center" wrapText="1"/>
    </xf>
    <xf numFmtId="0" fontId="60" fillId="0" borderId="0" xfId="0" applyFont="1" applyFill="1" applyBorder="1"/>
    <xf numFmtId="165" fontId="60" fillId="0" borderId="0" xfId="0" applyNumberFormat="1" applyFont="1" applyFill="1" applyBorder="1"/>
    <xf numFmtId="172" fontId="61" fillId="6" borderId="3" xfId="1" applyNumberFormat="1" applyFont="1" applyFill="1" applyBorder="1" applyAlignment="1">
      <alignment vertical="center"/>
    </xf>
    <xf numFmtId="172" fontId="61" fillId="0" borderId="3" xfId="1" applyNumberFormat="1" applyFont="1" applyFill="1" applyBorder="1" applyAlignment="1">
      <alignment vertical="center"/>
    </xf>
    <xf numFmtId="165" fontId="66" fillId="0" borderId="0" xfId="0" applyNumberFormat="1" applyFont="1" applyFill="1" applyBorder="1"/>
    <xf numFmtId="0" fontId="67" fillId="9" borderId="3" xfId="7" applyFont="1" applyFill="1" applyBorder="1" applyAlignment="1">
      <alignment horizontal="left" vertical="center" wrapText="1"/>
    </xf>
    <xf numFmtId="165" fontId="67" fillId="9" borderId="3" xfId="4" applyNumberFormat="1" applyFont="1" applyFill="1" applyBorder="1" applyAlignment="1">
      <alignment vertical="center"/>
    </xf>
    <xf numFmtId="165" fontId="67" fillId="9" borderId="3" xfId="4" applyNumberFormat="1" applyFont="1" applyFill="1" applyBorder="1" applyAlignment="1">
      <alignment horizontal="center" vertical="center"/>
    </xf>
    <xf numFmtId="0" fontId="68" fillId="0" borderId="0" xfId="0" applyFont="1" applyFill="1" applyAlignment="1">
      <alignment horizontal="center" wrapText="1"/>
    </xf>
    <xf numFmtId="0" fontId="69" fillId="0" borderId="0" xfId="0" applyFont="1" applyFill="1" applyAlignment="1">
      <alignment horizontal="left"/>
    </xf>
    <xf numFmtId="199" fontId="70" fillId="0" borderId="0" xfId="583" applyNumberFormat="1" applyFont="1" applyFill="1" applyBorder="1"/>
    <xf numFmtId="172" fontId="69" fillId="0" borderId="0" xfId="1" applyNumberFormat="1" applyFont="1" applyFill="1"/>
    <xf numFmtId="172" fontId="71" fillId="0" borderId="0" xfId="1" applyNumberFormat="1" applyFont="1" applyFill="1"/>
    <xf numFmtId="172" fontId="70" fillId="0" borderId="0" xfId="1" applyNumberFormat="1" applyFont="1" applyFill="1"/>
    <xf numFmtId="0" fontId="69" fillId="0" borderId="0" xfId="0" applyFont="1" applyFill="1"/>
    <xf numFmtId="200" fontId="69" fillId="0" borderId="0" xfId="0" applyNumberFormat="1" applyFont="1" applyFill="1"/>
    <xf numFmtId="172" fontId="69" fillId="0" borderId="0" xfId="1" applyNumberFormat="1" applyFont="1" applyFill="1" applyAlignment="1">
      <alignment horizontal="left" vertical="center"/>
    </xf>
    <xf numFmtId="172" fontId="69" fillId="0" borderId="1" xfId="1" applyNumberFormat="1" applyFont="1" applyFill="1" applyBorder="1"/>
    <xf numFmtId="172" fontId="70" fillId="0" borderId="1" xfId="1" applyNumberFormat="1" applyFont="1" applyFill="1" applyBorder="1"/>
    <xf numFmtId="0" fontId="71" fillId="0" borderId="0" xfId="0" applyFont="1" applyFill="1"/>
    <xf numFmtId="172" fontId="69" fillId="0" borderId="0" xfId="0" applyNumberFormat="1" applyFont="1" applyFill="1"/>
    <xf numFmtId="0" fontId="70" fillId="0" borderId="0" xfId="0" applyFont="1" applyFill="1"/>
    <xf numFmtId="10" fontId="72" fillId="0" borderId="0" xfId="3" applyNumberFormat="1" applyFont="1" applyFill="1"/>
    <xf numFmtId="10" fontId="73" fillId="0" borderId="0" xfId="3" applyNumberFormat="1" applyFont="1" applyFill="1"/>
    <xf numFmtId="172" fontId="72" fillId="0" borderId="0" xfId="3" applyNumberFormat="1" applyFont="1" applyFill="1"/>
    <xf numFmtId="10" fontId="74" fillId="0" borderId="0" xfId="3" applyNumberFormat="1" applyFont="1" applyFill="1"/>
    <xf numFmtId="172" fontId="70" fillId="0" borderId="0" xfId="0" applyNumberFormat="1" applyFont="1" applyFill="1"/>
    <xf numFmtId="0" fontId="75" fillId="0" borderId="0" xfId="0" applyFont="1" applyFill="1"/>
    <xf numFmtId="167" fontId="69" fillId="0" borderId="0" xfId="1" applyFont="1" applyFill="1"/>
    <xf numFmtId="172" fontId="69" fillId="0" borderId="5" xfId="1" applyNumberFormat="1" applyFont="1" applyFill="1" applyBorder="1"/>
    <xf numFmtId="172" fontId="70" fillId="0" borderId="5" xfId="1" applyNumberFormat="1" applyFont="1" applyFill="1" applyBorder="1"/>
    <xf numFmtId="172" fontId="69" fillId="0" borderId="5" xfId="0" applyNumberFormat="1" applyFont="1" applyFill="1" applyBorder="1"/>
    <xf numFmtId="0" fontId="76" fillId="0" borderId="0" xfId="0" applyFont="1" applyFill="1"/>
    <xf numFmtId="172" fontId="76" fillId="0" borderId="0" xfId="0" applyNumberFormat="1" applyFont="1" applyFill="1"/>
    <xf numFmtId="0" fontId="73" fillId="0" borderId="0" xfId="0" applyFont="1" applyFill="1"/>
    <xf numFmtId="0" fontId="74" fillId="0" borderId="0" xfId="0" applyFont="1" applyFill="1"/>
    <xf numFmtId="183" fontId="50" fillId="0" borderId="0" xfId="161" applyNumberFormat="1" applyFont="1" applyFill="1" applyBorder="1" applyAlignment="1">
      <alignment horizontal="center" wrapText="1"/>
    </xf>
    <xf numFmtId="183" fontId="50" fillId="0" borderId="5" xfId="161" applyNumberFormat="1" applyFont="1" applyFill="1" applyBorder="1" applyAlignment="1">
      <alignment horizontal="center" wrapText="1"/>
    </xf>
    <xf numFmtId="0" fontId="50" fillId="0" borderId="0" xfId="0" applyFont="1" applyFill="1" applyAlignment="1">
      <alignment wrapText="1"/>
    </xf>
    <xf numFmtId="0" fontId="50" fillId="0" borderId="0" xfId="0" applyFont="1" applyFill="1" applyAlignment="1">
      <alignment vertical="center" wrapText="1"/>
    </xf>
    <xf numFmtId="0" fontId="47" fillId="0" borderId="0" xfId="0" applyFont="1" applyFill="1" applyAlignment="1">
      <alignment horizontal="center" wrapText="1"/>
    </xf>
    <xf numFmtId="183" fontId="50" fillId="0" borderId="0" xfId="161" applyNumberFormat="1" applyFont="1" applyFill="1" applyAlignment="1">
      <alignment horizontal="center" wrapText="1"/>
    </xf>
    <xf numFmtId="0" fontId="47" fillId="0" borderId="0" xfId="0" applyFont="1" applyFill="1" applyBorder="1" applyAlignment="1">
      <alignment horizontal="center" wrapText="1"/>
    </xf>
    <xf numFmtId="183" fontId="77" fillId="0" borderId="0" xfId="161" applyNumberFormat="1" applyFont="1" applyFill="1" applyAlignment="1">
      <alignment horizontal="center" wrapText="1"/>
    </xf>
    <xf numFmtId="0" fontId="47" fillId="0" borderId="0" xfId="0" applyFont="1" applyFill="1" applyAlignment="1">
      <alignment wrapText="1"/>
    </xf>
    <xf numFmtId="201" fontId="50" fillId="0" borderId="0" xfId="585" applyNumberFormat="1" applyFont="1" applyFill="1" applyBorder="1" applyAlignment="1">
      <alignment wrapText="1"/>
    </xf>
    <xf numFmtId="172" fontId="50" fillId="0" borderId="0" xfId="147" applyNumberFormat="1" applyFont="1" applyFill="1" applyBorder="1" applyAlignment="1">
      <alignment wrapText="1"/>
    </xf>
    <xf numFmtId="179" fontId="50" fillId="0" borderId="0" xfId="147" applyFont="1" applyFill="1" applyBorder="1" applyAlignment="1">
      <alignment wrapText="1"/>
    </xf>
    <xf numFmtId="0" fontId="50" fillId="0" borderId="29" xfId="0" applyFont="1" applyFill="1" applyBorder="1" applyAlignment="1">
      <alignment wrapText="1"/>
    </xf>
    <xf numFmtId="183" fontId="50" fillId="0" borderId="0" xfId="161" applyNumberFormat="1" applyFont="1" applyFill="1" applyAlignment="1">
      <alignment wrapText="1"/>
    </xf>
    <xf numFmtId="183" fontId="50" fillId="0" borderId="5" xfId="161" applyNumberFormat="1" applyFont="1" applyFill="1" applyBorder="1" applyAlignment="1">
      <alignment wrapText="1"/>
    </xf>
    <xf numFmtId="179" fontId="50" fillId="0" borderId="5" xfId="147" applyFont="1" applyFill="1" applyBorder="1" applyAlignment="1">
      <alignment wrapText="1"/>
    </xf>
    <xf numFmtId="0" fontId="47" fillId="0" borderId="5" xfId="0" applyFont="1" applyFill="1" applyBorder="1" applyAlignment="1">
      <alignment wrapText="1"/>
    </xf>
    <xf numFmtId="0" fontId="47" fillId="0" borderId="0" xfId="0" applyFont="1" applyFill="1" applyBorder="1" applyAlignment="1">
      <alignment wrapText="1"/>
    </xf>
    <xf numFmtId="201" fontId="50" fillId="0" borderId="4" xfId="585" applyNumberFormat="1" applyFont="1" applyFill="1" applyBorder="1" applyAlignment="1">
      <alignment wrapText="1"/>
    </xf>
    <xf numFmtId="172" fontId="50" fillId="0" borderId="4" xfId="147" applyNumberFormat="1" applyFont="1" applyFill="1" applyBorder="1" applyAlignment="1">
      <alignment wrapText="1"/>
    </xf>
    <xf numFmtId="172" fontId="47" fillId="0" borderId="0" xfId="0" applyNumberFormat="1" applyFont="1" applyFill="1" applyAlignment="1">
      <alignment wrapText="1"/>
    </xf>
    <xf numFmtId="0" fontId="47" fillId="0" borderId="0" xfId="0" applyFont="1" applyFill="1" applyAlignment="1">
      <alignment vertical="center" wrapText="1"/>
    </xf>
    <xf numFmtId="201" fontId="50" fillId="0" borderId="0" xfId="585" applyNumberFormat="1" applyFont="1" applyFill="1" applyBorder="1" applyAlignment="1">
      <alignment vertical="center" wrapText="1"/>
    </xf>
    <xf numFmtId="172" fontId="50" fillId="0" borderId="0" xfId="147" applyNumberFormat="1" applyFont="1" applyFill="1" applyBorder="1" applyAlignment="1">
      <alignment vertical="center" wrapText="1"/>
    </xf>
    <xf numFmtId="172" fontId="50" fillId="0" borderId="1" xfId="147" applyNumberFormat="1" applyFont="1" applyFill="1" applyBorder="1" applyAlignment="1">
      <alignment wrapText="1"/>
    </xf>
    <xf numFmtId="0" fontId="59" fillId="0" borderId="10" xfId="7" applyFont="1" applyFill="1" applyBorder="1" applyAlignment="1">
      <alignment horizontal="left" vertical="center" wrapText="1"/>
    </xf>
    <xf numFmtId="0" fontId="65" fillId="0" borderId="3" xfId="7" applyFont="1" applyFill="1" applyBorder="1" applyAlignment="1">
      <alignment horizontal="left" vertical="center" wrapText="1"/>
    </xf>
    <xf numFmtId="0" fontId="59" fillId="0" borderId="3" xfId="7" applyFont="1" applyFill="1" applyBorder="1" applyAlignment="1">
      <alignment horizontal="left" vertical="center"/>
    </xf>
    <xf numFmtId="0" fontId="50" fillId="0" borderId="0" xfId="0" applyFont="1" applyFill="1" applyBorder="1" applyAlignment="1">
      <alignment wrapText="1"/>
    </xf>
    <xf numFmtId="203" fontId="52" fillId="0" borderId="0" xfId="0" applyNumberFormat="1" applyFont="1" applyFill="1" applyAlignment="1"/>
    <xf numFmtId="203" fontId="52" fillId="0" borderId="0" xfId="145" applyNumberFormat="1" applyFont="1" applyFill="1" applyBorder="1" applyAlignment="1"/>
    <xf numFmtId="204" fontId="52" fillId="0" borderId="0" xfId="145" applyNumberFormat="1" applyFont="1" applyFill="1" applyBorder="1" applyAlignment="1">
      <alignment horizontal="right"/>
    </xf>
    <xf numFmtId="204" fontId="52" fillId="0" borderId="0" xfId="583" applyNumberFormat="1" applyFont="1" applyFill="1" applyAlignment="1">
      <alignment horizontal="right"/>
    </xf>
    <xf numFmtId="204" fontId="52" fillId="0" borderId="26" xfId="583" applyNumberFormat="1" applyFont="1" applyFill="1" applyBorder="1" applyAlignment="1">
      <alignment horizontal="right"/>
    </xf>
    <xf numFmtId="204" fontId="52" fillId="0" borderId="26" xfId="583" applyNumberFormat="1" applyFont="1" applyFill="1" applyBorder="1"/>
    <xf numFmtId="204" fontId="52" fillId="0" borderId="0" xfId="0" applyNumberFormat="1" applyFont="1" applyFill="1" applyAlignment="1">
      <alignment horizontal="right"/>
    </xf>
    <xf numFmtId="204" fontId="52" fillId="0" borderId="5" xfId="0" applyNumberFormat="1" applyFont="1" applyFill="1" applyBorder="1" applyAlignment="1">
      <alignment horizontal="right"/>
    </xf>
    <xf numFmtId="204" fontId="52" fillId="0" borderId="0" xfId="0" applyNumberFormat="1" applyFont="1" applyFill="1" applyAlignment="1"/>
    <xf numFmtId="204" fontId="52" fillId="0" borderId="0" xfId="145" applyNumberFormat="1" applyFont="1" applyFill="1" applyBorder="1" applyAlignment="1"/>
    <xf numFmtId="204" fontId="52" fillId="0" borderId="5" xfId="0" applyNumberFormat="1" applyFont="1" applyFill="1" applyBorder="1" applyAlignment="1"/>
    <xf numFmtId="204" fontId="52" fillId="0" borderId="4" xfId="583" applyNumberFormat="1" applyFont="1" applyFill="1" applyBorder="1" applyAlignment="1"/>
    <xf numFmtId="204" fontId="52" fillId="0" borderId="5" xfId="145" applyNumberFormat="1" applyFont="1" applyFill="1" applyBorder="1" applyAlignment="1"/>
    <xf numFmtId="204" fontId="52" fillId="0" borderId="0" xfId="583" applyNumberFormat="1" applyFont="1" applyFill="1" applyBorder="1" applyAlignment="1"/>
    <xf numFmtId="0" fontId="52" fillId="0" borderId="0" xfId="0" applyFont="1" applyFill="1" applyAlignment="1">
      <alignment horizontal="right"/>
    </xf>
    <xf numFmtId="204" fontId="52" fillId="0" borderId="0" xfId="0" applyNumberFormat="1" applyFont="1" applyFill="1" applyBorder="1"/>
    <xf numFmtId="204" fontId="53" fillId="0" borderId="0" xfId="0" applyNumberFormat="1" applyFont="1" applyFill="1"/>
    <xf numFmtId="204" fontId="52" fillId="0" borderId="1" xfId="0" applyNumberFormat="1" applyFont="1" applyFill="1" applyBorder="1" applyAlignment="1">
      <alignment horizontal="left" indent="2"/>
    </xf>
    <xf numFmtId="204" fontId="52" fillId="0" borderId="1" xfId="0" applyNumberFormat="1" applyFont="1" applyFill="1" applyBorder="1" applyAlignment="1">
      <alignment horizontal="left" indent="4"/>
    </xf>
    <xf numFmtId="202" fontId="45" fillId="0" borderId="5" xfId="0" applyNumberFormat="1" applyFont="1" applyFill="1" applyBorder="1" applyAlignment="1"/>
    <xf numFmtId="0" fontId="45" fillId="0" borderId="5" xfId="0" applyFont="1" applyFill="1" applyBorder="1" applyAlignment="1"/>
    <xf numFmtId="202" fontId="45" fillId="0" borderId="5" xfId="0" applyNumberFormat="1" applyFont="1" applyFill="1" applyBorder="1" applyAlignment="1">
      <alignment horizontal="right" wrapText="1"/>
    </xf>
    <xf numFmtId="204" fontId="50" fillId="0" borderId="0" xfId="147" applyNumberFormat="1" applyFont="1" applyFill="1" applyBorder="1"/>
    <xf numFmtId="204" fontId="49" fillId="0" borderId="0" xfId="449" applyNumberFormat="1" applyFont="1" applyFill="1" applyBorder="1" applyAlignment="1" applyProtection="1"/>
    <xf numFmtId="204" fontId="46" fillId="0" borderId="0" xfId="449" applyNumberFormat="1" applyFont="1" applyFill="1" applyBorder="1" applyAlignment="1" applyProtection="1"/>
    <xf numFmtId="204" fontId="51" fillId="0" borderId="0" xfId="449" applyNumberFormat="1" applyFont="1" applyFill="1" applyBorder="1" applyAlignment="1" applyProtection="1">
      <alignment horizontal="left" vertical="center" wrapText="1" indent="1"/>
    </xf>
    <xf numFmtId="204" fontId="51" fillId="0" borderId="0" xfId="449" applyNumberFormat="1" applyFont="1" applyFill="1" applyBorder="1" applyAlignment="1" applyProtection="1">
      <alignment horizontal="right" vertical="center" wrapText="1"/>
    </xf>
    <xf numFmtId="204" fontId="50" fillId="0" borderId="5" xfId="147" applyNumberFormat="1" applyFont="1" applyFill="1" applyBorder="1"/>
    <xf numFmtId="204" fontId="51" fillId="0" borderId="0" xfId="449" applyNumberFormat="1" applyFont="1" applyFill="1" applyBorder="1" applyAlignment="1" applyProtection="1">
      <alignment horizontal="justify" vertical="center" wrapText="1"/>
    </xf>
    <xf numFmtId="204" fontId="51" fillId="0" borderId="4" xfId="449" applyNumberFormat="1" applyFont="1" applyFill="1" applyBorder="1" applyAlignment="1" applyProtection="1">
      <alignment horizontal="right" vertical="center" wrapText="1"/>
    </xf>
    <xf numFmtId="204" fontId="47" fillId="0" borderId="0" xfId="0" applyNumberFormat="1" applyFont="1" applyFill="1"/>
    <xf numFmtId="204" fontId="51" fillId="0" borderId="1" xfId="449" applyNumberFormat="1" applyFont="1" applyFill="1" applyBorder="1" applyAlignment="1" applyProtection="1">
      <alignment horizontal="right" vertical="center" wrapText="1"/>
    </xf>
    <xf numFmtId="183" fontId="52" fillId="0" borderId="0" xfId="583" applyNumberFormat="1" applyFont="1" applyFill="1" applyBorder="1"/>
    <xf numFmtId="204" fontId="52" fillId="0" borderId="0" xfId="583" applyNumberFormat="1" applyFont="1" applyFill="1" applyBorder="1" applyAlignment="1">
      <alignment horizontal="right"/>
    </xf>
    <xf numFmtId="0" fontId="52" fillId="0" borderId="0" xfId="0" applyFont="1" applyFill="1" applyBorder="1" applyAlignment="1">
      <alignment horizontal="right"/>
    </xf>
    <xf numFmtId="183" fontId="50" fillId="0" borderId="0" xfId="161" applyNumberFormat="1" applyFont="1" applyFill="1" applyAlignment="1">
      <alignment horizontal="center" wrapText="1"/>
    </xf>
    <xf numFmtId="204" fontId="46" fillId="2" borderId="0" xfId="449" applyNumberFormat="1" applyFont="1" applyFill="1" applyBorder="1" applyAlignment="1" applyProtection="1"/>
    <xf numFmtId="204" fontId="50" fillId="2" borderId="0" xfId="147" applyNumberFormat="1" applyFont="1" applyFill="1" applyBorder="1"/>
    <xf numFmtId="204" fontId="50" fillId="2" borderId="5" xfId="147" applyNumberFormat="1" applyFont="1" applyFill="1" applyBorder="1"/>
    <xf numFmtId="204" fontId="51" fillId="2" borderId="4" xfId="449" applyNumberFormat="1" applyFont="1" applyFill="1" applyBorder="1" applyAlignment="1" applyProtection="1">
      <alignment horizontal="right" vertical="center" wrapText="1"/>
    </xf>
    <xf numFmtId="204" fontId="51" fillId="2" borderId="0" xfId="449" applyNumberFormat="1" applyFont="1" applyFill="1" applyBorder="1" applyAlignment="1" applyProtection="1">
      <alignment horizontal="right" vertical="center" wrapText="1"/>
    </xf>
    <xf numFmtId="204" fontId="51" fillId="2" borderId="0" xfId="1" applyNumberFormat="1" applyFont="1" applyFill="1" applyBorder="1" applyAlignment="1" applyProtection="1">
      <alignment horizontal="right" vertical="center"/>
    </xf>
    <xf numFmtId="204" fontId="47" fillId="2" borderId="0" xfId="0" applyNumberFormat="1" applyFont="1" applyFill="1"/>
    <xf numFmtId="204" fontId="51" fillId="2" borderId="1" xfId="449" applyNumberFormat="1" applyFont="1" applyFill="1" applyBorder="1" applyAlignment="1" applyProtection="1">
      <alignment horizontal="right" vertical="center" wrapText="1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27" xfId="0" applyBorder="1"/>
    <xf numFmtId="0" fontId="0" fillId="0" borderId="0" xfId="0" applyBorder="1"/>
    <xf numFmtId="172" fontId="0" fillId="0" borderId="9" xfId="0" applyNumberFormat="1" applyFill="1" applyBorder="1"/>
    <xf numFmtId="0" fontId="0" fillId="0" borderId="27" xfId="0" applyBorder="1" applyAlignment="1">
      <alignment horizontal="left" indent="5"/>
    </xf>
    <xf numFmtId="0" fontId="0" fillId="0" borderId="25" xfId="0" applyBorder="1" applyAlignment="1">
      <alignment horizontal="left" indent="5"/>
    </xf>
    <xf numFmtId="0" fontId="0" fillId="0" borderId="5" xfId="0" applyBorder="1"/>
    <xf numFmtId="0" fontId="0" fillId="0" borderId="10" xfId="0" applyFill="1" applyBorder="1"/>
    <xf numFmtId="172" fontId="0" fillId="0" borderId="10" xfId="0" applyNumberFormat="1" applyFill="1" applyBorder="1"/>
    <xf numFmtId="0" fontId="2" fillId="0" borderId="0" xfId="0" applyFont="1" applyFill="1" applyAlignment="1">
      <alignment horizontal="center" vertical="center"/>
    </xf>
    <xf numFmtId="172" fontId="80" fillId="0" borderId="0" xfId="0" applyNumberFormat="1" applyFont="1"/>
    <xf numFmtId="167" fontId="50" fillId="0" borderId="0" xfId="1" applyFont="1" applyFill="1" applyAlignment="1">
      <alignment wrapText="1"/>
    </xf>
    <xf numFmtId="165" fontId="59" fillId="0" borderId="10" xfId="4" applyNumberFormat="1" applyFont="1" applyFill="1" applyBorder="1" applyAlignment="1">
      <alignment vertical="center"/>
    </xf>
    <xf numFmtId="194" fontId="28" fillId="6" borderId="0" xfId="1" applyNumberFormat="1" applyFont="1" applyFill="1" applyAlignment="1">
      <alignment horizontal="center"/>
    </xf>
    <xf numFmtId="167" fontId="4" fillId="0" borderId="0" xfId="1" applyNumberFormat="1" applyFont="1" applyFill="1"/>
    <xf numFmtId="172" fontId="4" fillId="2" borderId="0" xfId="1" applyNumberFormat="1" applyFont="1" applyFill="1"/>
    <xf numFmtId="10" fontId="72" fillId="6" borderId="0" xfId="3" applyNumberFormat="1" applyFont="1" applyFill="1"/>
    <xf numFmtId="194" fontId="72" fillId="6" borderId="0" xfId="3" applyNumberFormat="1" applyFont="1" applyFill="1"/>
    <xf numFmtId="172" fontId="69" fillId="0" borderId="0" xfId="1" quotePrefix="1" applyNumberFormat="1" applyFont="1" applyFill="1"/>
    <xf numFmtId="167" fontId="69" fillId="0" borderId="5" xfId="1" applyFont="1" applyFill="1" applyBorder="1"/>
    <xf numFmtId="0" fontId="78" fillId="8" borderId="8" xfId="7" applyFont="1" applyFill="1" applyBorder="1" applyAlignment="1">
      <alignment horizontal="center" vertical="center" wrapText="1"/>
    </xf>
    <xf numFmtId="173" fontId="78" fillId="8" borderId="8" xfId="4" applyNumberFormat="1" applyFont="1" applyFill="1" applyBorder="1" applyAlignment="1">
      <alignment horizontal="center" vertical="center" wrapText="1"/>
    </xf>
    <xf numFmtId="0" fontId="6" fillId="0" borderId="0" xfId="7" applyFont="1" applyFill="1" applyBorder="1" applyAlignment="1">
      <alignment horizontal="left" vertical="center" wrapText="1"/>
    </xf>
    <xf numFmtId="0" fontId="81" fillId="0" borderId="3" xfId="7" applyFont="1" applyFill="1" applyBorder="1" applyAlignment="1">
      <alignment horizontal="left" vertical="center" wrapText="1"/>
    </xf>
    <xf numFmtId="0" fontId="6" fillId="0" borderId="3" xfId="7" applyFont="1" applyFill="1" applyBorder="1" applyAlignment="1">
      <alignment horizontal="left" vertical="center"/>
    </xf>
    <xf numFmtId="0" fontId="81" fillId="0" borderId="0" xfId="7" applyFont="1" applyFill="1" applyAlignment="1">
      <alignment horizontal="left" vertical="center"/>
    </xf>
    <xf numFmtId="0" fontId="5" fillId="0" borderId="0" xfId="7" applyFont="1" applyFill="1" applyBorder="1" applyAlignment="1">
      <alignment horizontal="left" vertical="center"/>
    </xf>
    <xf numFmtId="0" fontId="3" fillId="0" borderId="0" xfId="0" applyFont="1" applyFill="1"/>
    <xf numFmtId="165" fontId="3" fillId="0" borderId="0" xfId="0" applyNumberFormat="1" applyFont="1" applyFill="1"/>
    <xf numFmtId="172" fontId="3" fillId="0" borderId="0" xfId="1" applyNumberFormat="1" applyFont="1" applyFill="1"/>
    <xf numFmtId="167" fontId="3" fillId="0" borderId="0" xfId="1" applyFont="1" applyFill="1"/>
    <xf numFmtId="172" fontId="3" fillId="0" borderId="0" xfId="1" applyNumberFormat="1" applyFont="1" applyFill="1" applyBorder="1"/>
    <xf numFmtId="165" fontId="3" fillId="0" borderId="0" xfId="0" applyNumberFormat="1" applyFont="1" applyFill="1" applyBorder="1"/>
    <xf numFmtId="0" fontId="3" fillId="0" borderId="0" xfId="0" applyFont="1" applyFill="1" applyBorder="1"/>
    <xf numFmtId="0" fontId="83" fillId="0" borderId="0" xfId="0" applyFont="1" applyFill="1"/>
    <xf numFmtId="172" fontId="3" fillId="0" borderId="0" xfId="0" applyNumberFormat="1" applyFont="1" applyFill="1"/>
    <xf numFmtId="43" fontId="3" fillId="0" borderId="0" xfId="0" applyNumberFormat="1" applyFont="1" applyFill="1"/>
    <xf numFmtId="0" fontId="8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2" fontId="3" fillId="0" borderId="0" xfId="1" applyNumberFormat="1" applyFont="1" applyAlignment="1">
      <alignment vertical="center"/>
    </xf>
    <xf numFmtId="0" fontId="8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2" fontId="33" fillId="0" borderId="0" xfId="1" applyNumberFormat="1" applyFont="1" applyFill="1" applyAlignment="1">
      <alignment horizontal="center" vertical="center"/>
    </xf>
    <xf numFmtId="0" fontId="83" fillId="0" borderId="0" xfId="0" applyFont="1"/>
    <xf numFmtId="49" fontId="83" fillId="0" borderId="0" xfId="0" applyNumberFormat="1" applyFont="1"/>
    <xf numFmtId="0" fontId="83" fillId="0" borderId="0" xfId="0" applyFont="1" applyAlignment="1">
      <alignment horizontal="center" vertical="center"/>
    </xf>
    <xf numFmtId="172" fontId="3" fillId="0" borderId="0" xfId="1" applyNumberFormat="1" applyFont="1" applyFill="1" applyAlignment="1">
      <alignment vertical="center"/>
    </xf>
    <xf numFmtId="49" fontId="3" fillId="0" borderId="0" xfId="0" applyNumberFormat="1" applyFont="1"/>
    <xf numFmtId="4" fontId="3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72" fontId="3" fillId="0" borderId="0" xfId="1" applyNumberFormat="1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172" fontId="3" fillId="0" borderId="0" xfId="1" applyNumberFormat="1" applyFont="1" applyAlignment="1">
      <alignment horizontal="right"/>
    </xf>
    <xf numFmtId="172" fontId="83" fillId="0" borderId="0" xfId="1" applyNumberFormat="1" applyFont="1"/>
    <xf numFmtId="172" fontId="33" fillId="0" borderId="3" xfId="1" applyNumberFormat="1" applyFont="1" applyFill="1" applyBorder="1" applyAlignment="1">
      <alignment horizontal="center" vertical="center"/>
    </xf>
    <xf numFmtId="173" fontId="83" fillId="0" borderId="3" xfId="558" applyNumberFormat="1" applyFont="1" applyFill="1" applyBorder="1" applyAlignment="1">
      <alignment horizontal="center"/>
    </xf>
    <xf numFmtId="167" fontId="83" fillId="0" borderId="3" xfId="558" applyFont="1" applyFill="1" applyBorder="1" applyAlignment="1">
      <alignment horizontal="center"/>
    </xf>
    <xf numFmtId="172" fontId="3" fillId="0" borderId="9" xfId="1" applyNumberFormat="1" applyFont="1" applyFill="1" applyBorder="1" applyAlignment="1">
      <alignment vertical="center"/>
    </xf>
    <xf numFmtId="173" fontId="3" fillId="2" borderId="8" xfId="558" applyNumberFormat="1" applyFont="1" applyFill="1" applyBorder="1" applyAlignment="1">
      <alignment horizontal="center"/>
    </xf>
    <xf numFmtId="167" fontId="3" fillId="0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173" fontId="3" fillId="2" borderId="9" xfId="558" applyNumberFormat="1" applyFont="1" applyFill="1" applyBorder="1" applyAlignment="1">
      <alignment horizontal="center"/>
    </xf>
    <xf numFmtId="167" fontId="3" fillId="0" borderId="9" xfId="558" applyFont="1" applyFill="1" applyBorder="1" applyAlignment="1">
      <alignment horizontal="center"/>
    </xf>
    <xf numFmtId="172" fontId="3" fillId="0" borderId="10" xfId="1" applyNumberFormat="1" applyFont="1" applyFill="1" applyBorder="1" applyAlignment="1">
      <alignment vertical="center"/>
    </xf>
    <xf numFmtId="173" fontId="3" fillId="0" borderId="10" xfId="558" applyNumberFormat="1" applyFont="1" applyFill="1" applyBorder="1" applyAlignment="1">
      <alignment horizontal="center"/>
    </xf>
    <xf numFmtId="173" fontId="3" fillId="2" borderId="10" xfId="558" applyNumberFormat="1" applyFont="1" applyFill="1" applyBorder="1" applyAlignment="1">
      <alignment horizontal="center"/>
    </xf>
    <xf numFmtId="173" fontId="83" fillId="0" borderId="0" xfId="0" applyNumberFormat="1" applyFont="1" applyFill="1" applyAlignment="1">
      <alignment vertical="center"/>
    </xf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172" fontId="3" fillId="0" borderId="8" xfId="1" applyNumberFormat="1" applyFont="1" applyFill="1" applyBorder="1" applyAlignment="1">
      <alignment vertical="center"/>
    </xf>
    <xf numFmtId="0" fontId="3" fillId="0" borderId="27" xfId="0" applyFont="1" applyFill="1" applyBorder="1" applyAlignment="1"/>
    <xf numFmtId="0" fontId="3" fillId="0" borderId="28" xfId="0" applyFont="1" applyFill="1" applyBorder="1" applyAlignment="1"/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/>
    </xf>
    <xf numFmtId="172" fontId="3" fillId="2" borderId="9" xfId="558" applyNumberFormat="1" applyFont="1" applyFill="1" applyBorder="1" applyAlignment="1">
      <alignment horizontal="center"/>
    </xf>
    <xf numFmtId="0" fontId="33" fillId="0" borderId="0" xfId="0" applyFont="1" applyFill="1"/>
    <xf numFmtId="183" fontId="3" fillId="2" borderId="8" xfId="558" applyNumberFormat="1" applyFont="1" applyFill="1" applyBorder="1" applyAlignment="1">
      <alignment horizontal="center"/>
    </xf>
    <xf numFmtId="167" fontId="3" fillId="2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 indent="2"/>
    </xf>
    <xf numFmtId="172" fontId="3" fillId="0" borderId="10" xfId="1" applyNumberFormat="1" applyFont="1" applyFill="1" applyBorder="1"/>
    <xf numFmtId="173" fontId="3" fillId="2" borderId="27" xfId="558" applyNumberFormat="1" applyFont="1" applyFill="1" applyBorder="1" applyAlignment="1">
      <alignment horizontal="center"/>
    </xf>
    <xf numFmtId="172" fontId="3" fillId="0" borderId="8" xfId="558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3" fontId="3" fillId="0" borderId="0" xfId="558" applyNumberFormat="1" applyFont="1" applyFill="1" applyBorder="1" applyAlignment="1">
      <alignment horizontal="center"/>
    </xf>
    <xf numFmtId="172" fontId="3" fillId="0" borderId="9" xfId="558" applyNumberFormat="1" applyFont="1" applyFill="1" applyBorder="1" applyAlignment="1">
      <alignment horizontal="center"/>
    </xf>
    <xf numFmtId="173" fontId="3" fillId="0" borderId="9" xfId="558" applyNumberFormat="1" applyFont="1" applyFill="1" applyBorder="1" applyAlignment="1">
      <alignment horizontal="center"/>
    </xf>
    <xf numFmtId="172" fontId="3" fillId="2" borderId="0" xfId="1" applyNumberFormat="1" applyFont="1" applyFill="1"/>
    <xf numFmtId="167" fontId="3" fillId="2" borderId="9" xfId="558" applyNumberFormat="1" applyFont="1" applyFill="1" applyBorder="1" applyAlignment="1">
      <alignment horizontal="center"/>
    </xf>
    <xf numFmtId="0" fontId="3" fillId="0" borderId="25" xfId="0" applyFont="1" applyFill="1" applyBorder="1" applyAlignment="1"/>
    <xf numFmtId="0" fontId="3" fillId="0" borderId="21" xfId="0" applyFont="1" applyFill="1" applyBorder="1" applyAlignment="1"/>
    <xf numFmtId="172" fontId="3" fillId="2" borderId="0" xfId="1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2"/>
    </xf>
    <xf numFmtId="10" fontId="3" fillId="0" borderId="0" xfId="3" applyNumberFormat="1" applyFont="1"/>
    <xf numFmtId="4" fontId="83" fillId="0" borderId="0" xfId="0" applyNumberFormat="1" applyFont="1"/>
    <xf numFmtId="10" fontId="83" fillId="0" borderId="0" xfId="3" applyNumberFormat="1" applyFont="1"/>
    <xf numFmtId="204" fontId="3" fillId="0" borderId="0" xfId="1" applyNumberFormat="1" applyFont="1" applyFill="1" applyAlignment="1">
      <alignment vertical="center"/>
    </xf>
    <xf numFmtId="204" fontId="3" fillId="3" borderId="0" xfId="1" applyNumberFormat="1" applyFont="1" applyFill="1" applyAlignment="1">
      <alignment vertical="center"/>
    </xf>
    <xf numFmtId="204" fontId="3" fillId="0" borderId="0" xfId="0" applyNumberFormat="1" applyFont="1"/>
    <xf numFmtId="204" fontId="3" fillId="2" borderId="0" xfId="1" applyNumberFormat="1" applyFont="1" applyFill="1" applyAlignment="1">
      <alignment vertical="center"/>
    </xf>
    <xf numFmtId="204" fontId="3" fillId="0" borderId="2" xfId="1" applyNumberFormat="1" applyFont="1" applyFill="1" applyBorder="1" applyAlignment="1">
      <alignment vertical="center"/>
    </xf>
    <xf numFmtId="204" fontId="83" fillId="0" borderId="0" xfId="1" applyNumberFormat="1" applyFont="1" applyFill="1" applyAlignment="1">
      <alignment vertical="center"/>
    </xf>
    <xf numFmtId="204" fontId="3" fillId="0" borderId="0" xfId="1" applyNumberFormat="1" applyFont="1"/>
    <xf numFmtId="204" fontId="3" fillId="0" borderId="0" xfId="1" applyNumberFormat="1" applyFont="1" applyFill="1"/>
    <xf numFmtId="204" fontId="3" fillId="0" borderId="2" xfId="1" applyNumberFormat="1" applyFont="1" applyBorder="1"/>
    <xf numFmtId="204" fontId="3" fillId="0" borderId="2" xfId="1" applyNumberFormat="1" applyFont="1" applyFill="1" applyBorder="1"/>
    <xf numFmtId="204" fontId="83" fillId="0" borderId="0" xfId="1" applyNumberFormat="1" applyFont="1" applyFill="1" applyBorder="1" applyAlignment="1">
      <alignment vertical="center"/>
    </xf>
    <xf numFmtId="204" fontId="3" fillId="0" borderId="0" xfId="1" applyNumberFormat="1" applyFont="1" applyFill="1" applyBorder="1" applyAlignment="1">
      <alignment vertical="center"/>
    </xf>
    <xf numFmtId="204" fontId="83" fillId="0" borderId="2" xfId="1" applyNumberFormat="1" applyFont="1" applyFill="1" applyBorder="1" applyAlignment="1">
      <alignment vertical="center"/>
    </xf>
    <xf numFmtId="204" fontId="3" fillId="0" borderId="0" xfId="1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204" fontId="3" fillId="0" borderId="0" xfId="0" applyNumberFormat="1" applyFont="1" applyFill="1"/>
    <xf numFmtId="204" fontId="83" fillId="0" borderId="0" xfId="0" applyNumberFormat="1" applyFont="1"/>
    <xf numFmtId="204" fontId="6" fillId="0" borderId="0" xfId="3" applyNumberFormat="1" applyFont="1" applyFill="1" applyBorder="1" applyAlignment="1">
      <alignment horizontal="right" vertical="center" wrapText="1"/>
    </xf>
    <xf numFmtId="204" fontId="5" fillId="0" borderId="0" xfId="3" applyNumberFormat="1" applyFont="1" applyFill="1" applyBorder="1" applyAlignment="1">
      <alignment horizontal="center" vertical="center" wrapText="1"/>
    </xf>
    <xf numFmtId="204" fontId="43" fillId="0" borderId="0" xfId="3" applyNumberFormat="1" applyFont="1" applyFill="1" applyBorder="1" applyAlignment="1">
      <alignment horizontal="center" vertical="center" wrapText="1"/>
    </xf>
    <xf numFmtId="204" fontId="3" fillId="0" borderId="0" xfId="0" applyNumberFormat="1" applyFont="1" applyFill="1" applyBorder="1" applyAlignment="1">
      <alignment horizontal="center"/>
    </xf>
    <xf numFmtId="204" fontId="78" fillId="8" borderId="8" xfId="4" applyNumberFormat="1" applyFont="1" applyFill="1" applyBorder="1" applyAlignment="1">
      <alignment horizontal="center" vertical="center" wrapText="1"/>
    </xf>
    <xf numFmtId="204" fontId="79" fillId="8" borderId="8" xfId="4" applyNumberFormat="1" applyFont="1" applyFill="1" applyBorder="1" applyAlignment="1">
      <alignment horizontal="center" vertical="center" wrapText="1"/>
    </xf>
    <xf numFmtId="204" fontId="5" fillId="0" borderId="10" xfId="3" applyNumberFormat="1" applyFont="1" applyFill="1" applyBorder="1" applyAlignment="1">
      <alignment horizontal="center" vertical="center"/>
    </xf>
    <xf numFmtId="204" fontId="3" fillId="0" borderId="10" xfId="567" applyNumberFormat="1" applyFont="1" applyFill="1" applyBorder="1" applyAlignment="1">
      <alignment horizontal="center"/>
    </xf>
    <xf numFmtId="204" fontId="43" fillId="0" borderId="10" xfId="3" applyNumberFormat="1" applyFont="1" applyFill="1" applyBorder="1" applyAlignment="1">
      <alignment horizontal="center" vertical="center"/>
    </xf>
    <xf numFmtId="204" fontId="5" fillId="0" borderId="10" xfId="4" applyNumberFormat="1" applyFont="1" applyFill="1" applyBorder="1" applyAlignment="1">
      <alignment horizontal="center" vertical="center"/>
    </xf>
    <xf numFmtId="204" fontId="5" fillId="0" borderId="22" xfId="3" applyNumberFormat="1" applyFont="1" applyFill="1" applyBorder="1" applyAlignment="1">
      <alignment horizontal="center" vertical="center"/>
    </xf>
    <xf numFmtId="204" fontId="3" fillId="0" borderId="22" xfId="567" applyNumberFormat="1" applyFont="1" applyFill="1" applyBorder="1" applyAlignment="1">
      <alignment horizontal="center"/>
    </xf>
    <xf numFmtId="204" fontId="43" fillId="0" borderId="3" xfId="3" applyNumberFormat="1" applyFont="1" applyFill="1" applyBorder="1" applyAlignment="1">
      <alignment horizontal="center" vertical="center"/>
    </xf>
    <xf numFmtId="204" fontId="5" fillId="0" borderId="3" xfId="3" applyNumberFormat="1" applyFont="1" applyFill="1" applyBorder="1" applyAlignment="1">
      <alignment horizontal="center" vertical="center"/>
    </xf>
    <xf numFmtId="204" fontId="5" fillId="0" borderId="22" xfId="4" applyNumberFormat="1" applyFont="1" applyFill="1" applyBorder="1" applyAlignment="1">
      <alignment horizontal="center" vertical="center"/>
    </xf>
    <xf numFmtId="204" fontId="6" fillId="0" borderId="10" xfId="3" applyNumberFormat="1" applyFont="1" applyFill="1" applyBorder="1" applyAlignment="1">
      <alignment horizontal="center" vertical="center"/>
    </xf>
    <xf numFmtId="204" fontId="3" fillId="0" borderId="3" xfId="567" applyNumberFormat="1" applyFont="1" applyFill="1" applyBorder="1" applyAlignment="1">
      <alignment horizontal="center"/>
    </xf>
    <xf numFmtId="204" fontId="5" fillId="0" borderId="3" xfId="4" applyNumberFormat="1" applyFont="1" applyFill="1" applyBorder="1" applyAlignment="1">
      <alignment horizontal="center" vertical="center"/>
    </xf>
    <xf numFmtId="204" fontId="61" fillId="0" borderId="3" xfId="3" applyNumberFormat="1" applyFont="1" applyFill="1" applyBorder="1" applyAlignment="1">
      <alignment horizontal="center" vertical="center"/>
    </xf>
    <xf numFmtId="204" fontId="5" fillId="2" borderId="22" xfId="3" quotePrefix="1" applyNumberFormat="1" applyFont="1" applyFill="1" applyBorder="1" applyAlignment="1">
      <alignment horizontal="center" vertical="center"/>
    </xf>
    <xf numFmtId="204" fontId="61" fillId="0" borderId="22" xfId="3" applyNumberFormat="1" applyFont="1" applyFill="1" applyBorder="1" applyAlignment="1">
      <alignment horizontal="center" vertical="center"/>
    </xf>
    <xf numFmtId="204" fontId="43" fillId="0" borderId="3" xfId="4" applyNumberFormat="1" applyFont="1" applyFill="1" applyBorder="1" applyAlignment="1">
      <alignment horizontal="center" vertical="center"/>
    </xf>
    <xf numFmtId="204" fontId="6" fillId="0" borderId="3" xfId="4" applyNumberFormat="1" applyFont="1" applyFill="1" applyBorder="1" applyAlignment="1">
      <alignment horizontal="center" vertical="center"/>
    </xf>
    <xf numFmtId="204" fontId="6" fillId="0" borderId="0" xfId="4" applyNumberFormat="1" applyFont="1" applyFill="1" applyBorder="1" applyAlignment="1">
      <alignment vertical="center"/>
    </xf>
    <xf numFmtId="204" fontId="6" fillId="0" borderId="0" xfId="1" applyNumberFormat="1" applyFont="1" applyFill="1" applyBorder="1" applyAlignment="1">
      <alignment vertical="center"/>
    </xf>
    <xf numFmtId="204" fontId="82" fillId="0" borderId="0" xfId="4" applyNumberFormat="1" applyFont="1" applyFill="1" applyBorder="1" applyAlignment="1">
      <alignment horizontal="center" vertical="center"/>
    </xf>
    <xf numFmtId="204" fontId="5" fillId="0" borderId="0" xfId="3" applyNumberFormat="1" applyFont="1" applyFill="1" applyAlignment="1">
      <alignment horizontal="right" vertical="center"/>
    </xf>
    <xf numFmtId="0" fontId="78" fillId="10" borderId="3" xfId="7" applyFont="1" applyFill="1" applyBorder="1" applyAlignment="1">
      <alignment horizontal="left" vertical="center" wrapText="1"/>
    </xf>
    <xf numFmtId="204" fontId="78" fillId="10" borderId="3" xfId="4" applyNumberFormat="1" applyFont="1" applyFill="1" applyBorder="1" applyAlignment="1">
      <alignment horizontal="center" vertical="center"/>
    </xf>
    <xf numFmtId="204" fontId="79" fillId="10" borderId="3" xfId="4" applyNumberFormat="1" applyFont="1" applyFill="1" applyBorder="1" applyAlignment="1">
      <alignment horizontal="center" vertical="center"/>
    </xf>
    <xf numFmtId="0" fontId="34" fillId="0" borderId="6" xfId="0" applyFont="1" applyBorder="1"/>
    <xf numFmtId="0" fontId="0" fillId="0" borderId="26" xfId="0" applyBorder="1"/>
    <xf numFmtId="172" fontId="34" fillId="0" borderId="3" xfId="0" applyNumberFormat="1" applyFont="1" applyBorder="1"/>
    <xf numFmtId="172" fontId="2" fillId="6" borderId="24" xfId="1" applyNumberFormat="1" applyFont="1" applyFill="1" applyBorder="1" applyAlignment="1">
      <alignment vertical="center"/>
    </xf>
    <xf numFmtId="204" fontId="5" fillId="0" borderId="3" xfId="1" applyNumberFormat="1" applyFont="1" applyFill="1" applyBorder="1" applyAlignment="1">
      <alignment horizontal="right" vertical="center"/>
    </xf>
    <xf numFmtId="204" fontId="5" fillId="0" borderId="10" xfId="3" applyNumberFormat="1" applyFont="1" applyFill="1" applyBorder="1" applyAlignment="1">
      <alignment horizontal="right" vertical="center"/>
    </xf>
    <xf numFmtId="204" fontId="5" fillId="0" borderId="3" xfId="3" applyNumberFormat="1" applyFont="1" applyFill="1" applyBorder="1" applyAlignment="1">
      <alignment horizontal="right" vertical="center"/>
    </xf>
    <xf numFmtId="204" fontId="79" fillId="10" borderId="3" xfId="1" applyNumberFormat="1" applyFont="1" applyFill="1" applyBorder="1" applyAlignment="1">
      <alignment horizontal="right" vertical="center"/>
    </xf>
    <xf numFmtId="204" fontId="5" fillId="0" borderId="0" xfId="1" applyNumberFormat="1" applyFont="1" applyAlignment="1">
      <alignment horizontal="right" vertical="center"/>
    </xf>
    <xf numFmtId="204" fontId="3" fillId="0" borderId="3" xfId="1" applyNumberFormat="1" applyFont="1" applyFill="1" applyBorder="1" applyAlignment="1">
      <alignment horizontal="right"/>
    </xf>
    <xf numFmtId="204" fontId="43" fillId="0" borderId="3" xfId="1" applyNumberFormat="1" applyFont="1" applyFill="1" applyBorder="1" applyAlignment="1">
      <alignment horizontal="right" vertical="center"/>
    </xf>
    <xf numFmtId="204" fontId="5" fillId="6" borderId="3" xfId="1" applyNumberFormat="1" applyFont="1" applyFill="1" applyBorder="1" applyAlignment="1">
      <alignment horizontal="right" vertical="center"/>
    </xf>
    <xf numFmtId="204" fontId="5" fillId="0" borderId="8" xfId="1" applyNumberFormat="1" applyFont="1" applyFill="1" applyBorder="1" applyAlignment="1">
      <alignment horizontal="right" vertical="center"/>
    </xf>
    <xf numFmtId="204" fontId="78" fillId="10" borderId="3" xfId="1" applyNumberFormat="1" applyFont="1" applyFill="1" applyBorder="1" applyAlignment="1">
      <alignment horizontal="right" vertical="center"/>
    </xf>
    <xf numFmtId="204" fontId="5" fillId="0" borderId="22" xfId="1" applyNumberFormat="1" applyFont="1" applyFill="1" applyBorder="1" applyAlignment="1">
      <alignment horizontal="right" vertical="center"/>
    </xf>
    <xf numFmtId="204" fontId="3" fillId="0" borderId="22" xfId="1" applyNumberFormat="1" applyFont="1" applyFill="1" applyBorder="1" applyAlignment="1">
      <alignment horizontal="right"/>
    </xf>
    <xf numFmtId="204" fontId="5" fillId="6" borderId="22" xfId="1" applyNumberFormat="1" applyFont="1" applyFill="1" applyBorder="1" applyAlignment="1">
      <alignment horizontal="right" vertical="center"/>
    </xf>
    <xf numFmtId="204" fontId="5" fillId="0" borderId="3" xfId="1" applyNumberFormat="1" applyFont="1" applyFill="1" applyBorder="1" applyAlignment="1">
      <alignment horizontal="right" wrapText="1"/>
    </xf>
    <xf numFmtId="204" fontId="3" fillId="0" borderId="3" xfId="1" applyNumberFormat="1" applyFont="1" applyBorder="1" applyAlignment="1">
      <alignment horizontal="right"/>
    </xf>
    <xf numFmtId="204" fontId="5" fillId="0" borderId="0" xfId="1" applyNumberFormat="1" applyFont="1" applyFill="1" applyBorder="1" applyAlignment="1">
      <alignment horizontal="right" vertical="center" wrapText="1"/>
    </xf>
    <xf numFmtId="204" fontId="43" fillId="0" borderId="0" xfId="1" applyNumberFormat="1" applyFont="1" applyFill="1" applyBorder="1" applyAlignment="1">
      <alignment horizontal="right" vertical="center" wrapText="1"/>
    </xf>
    <xf numFmtId="172" fontId="2" fillId="2" borderId="5" xfId="1" applyNumberFormat="1" applyFont="1" applyFill="1" applyBorder="1"/>
    <xf numFmtId="172" fontId="4" fillId="0" borderId="0" xfId="1" applyNumberFormat="1" applyFont="1" applyFill="1" applyBorder="1"/>
    <xf numFmtId="0" fontId="83" fillId="0" borderId="23" xfId="0" applyFont="1" applyFill="1" applyBorder="1" applyAlignment="1">
      <alignment horizontal="center"/>
    </xf>
    <xf numFmtId="0" fontId="83" fillId="0" borderId="24" xfId="0" applyFont="1" applyFill="1" applyBorder="1" applyAlignment="1">
      <alignment horizontal="center"/>
    </xf>
    <xf numFmtId="172" fontId="33" fillId="0" borderId="8" xfId="1" applyNumberFormat="1" applyFont="1" applyFill="1" applyBorder="1" applyAlignment="1">
      <alignment horizontal="center" vertical="center"/>
    </xf>
    <xf numFmtId="173" fontId="83" fillId="0" borderId="8" xfId="558" applyNumberFormat="1" applyFont="1" applyFill="1" applyBorder="1" applyAlignment="1">
      <alignment horizontal="center"/>
    </xf>
    <xf numFmtId="167" fontId="83" fillId="0" borderId="8" xfId="558" applyFont="1" applyFill="1" applyBorder="1" applyAlignment="1">
      <alignment horizontal="center"/>
    </xf>
    <xf numFmtId="203" fontId="3" fillId="0" borderId="0" xfId="0" applyNumberFormat="1" applyFont="1"/>
    <xf numFmtId="203" fontId="3" fillId="0" borderId="0" xfId="1" applyNumberFormat="1" applyFont="1"/>
    <xf numFmtId="0" fontId="83" fillId="0" borderId="0" xfId="0" applyFont="1" applyAlignment="1">
      <alignment horizontal="left" indent="1"/>
    </xf>
    <xf numFmtId="203" fontId="83" fillId="0" borderId="0" xfId="0" applyNumberFormat="1" applyFont="1"/>
    <xf numFmtId="203" fontId="3" fillId="6" borderId="0" xfId="0" applyNumberFormat="1" applyFont="1" applyFill="1"/>
    <xf numFmtId="0" fontId="3" fillId="6" borderId="0" xfId="0" applyFont="1" applyFill="1"/>
    <xf numFmtId="204" fontId="83" fillId="2" borderId="0" xfId="0" applyNumberFormat="1" applyFont="1" applyFill="1"/>
    <xf numFmtId="0" fontId="3" fillId="2" borderId="0" xfId="0" applyFont="1" applyFill="1"/>
    <xf numFmtId="172" fontId="50" fillId="0" borderId="0" xfId="0" applyNumberFormat="1" applyFont="1" applyFill="1" applyAlignment="1">
      <alignment wrapText="1"/>
    </xf>
    <xf numFmtId="0" fontId="34" fillId="0" borderId="23" xfId="0" applyFont="1" applyBorder="1" applyAlignment="1">
      <alignment horizontal="center"/>
    </xf>
    <xf numFmtId="0" fontId="0" fillId="0" borderId="8" xfId="0" applyBorder="1"/>
    <xf numFmtId="172" fontId="4" fillId="0" borderId="0" xfId="0" applyNumberFormat="1" applyFont="1" applyFill="1"/>
    <xf numFmtId="204" fontId="52" fillId="0" borderId="0" xfId="0" applyNumberFormat="1" applyFont="1" applyFill="1" applyAlignment="1">
      <alignment horizontal="center"/>
    </xf>
    <xf numFmtId="204" fontId="54" fillId="0" borderId="0" xfId="0" applyNumberFormat="1" applyFont="1" applyFill="1" applyAlignment="1">
      <alignment horizontal="center"/>
    </xf>
    <xf numFmtId="204" fontId="52" fillId="0" borderId="0" xfId="0" applyNumberFormat="1" applyFont="1" applyFill="1" applyBorder="1" applyAlignment="1">
      <alignment horizontal="center"/>
    </xf>
    <xf numFmtId="204" fontId="52" fillId="0" borderId="0" xfId="0" applyNumberFormat="1" applyFont="1" applyFill="1" applyBorder="1" applyAlignment="1">
      <alignment horizontal="right"/>
    </xf>
    <xf numFmtId="204" fontId="52" fillId="0" borderId="0" xfId="0" applyNumberFormat="1" applyFont="1" applyFill="1"/>
    <xf numFmtId="173" fontId="3" fillId="2" borderId="0" xfId="558" applyNumberFormat="1" applyFont="1" applyFill="1" applyBorder="1" applyAlignment="1">
      <alignment horizontal="center"/>
    </xf>
    <xf numFmtId="203" fontId="83" fillId="0" borderId="0" xfId="0" applyNumberFormat="1" applyFont="1" applyFill="1"/>
    <xf numFmtId="203" fontId="3" fillId="0" borderId="0" xfId="0" applyNumberFormat="1" applyFont="1" applyFill="1"/>
    <xf numFmtId="0" fontId="83" fillId="0" borderId="0" xfId="0" applyFont="1" applyAlignment="1">
      <alignment horizontal="left"/>
    </xf>
    <xf numFmtId="203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204" fontId="3" fillId="0" borderId="0" xfId="1" applyNumberFormat="1" applyFont="1" applyFill="1" applyAlignment="1">
      <alignment horizontal="right"/>
    </xf>
    <xf numFmtId="4" fontId="83" fillId="2" borderId="0" xfId="0" applyNumberFormat="1" applyFont="1" applyFill="1"/>
    <xf numFmtId="4" fontId="3" fillId="6" borderId="0" xfId="0" applyNumberFormat="1" applyFont="1" applyFill="1"/>
    <xf numFmtId="0" fontId="0" fillId="0" borderId="9" xfId="0" applyBorder="1"/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173" fontId="2" fillId="2" borderId="9" xfId="558" applyNumberFormat="1" applyFont="1" applyFill="1" applyBorder="1" applyAlignment="1">
      <alignment horizontal="center"/>
    </xf>
    <xf numFmtId="172" fontId="2" fillId="0" borderId="9" xfId="558" applyNumberFormat="1" applyFont="1" applyFill="1" applyBorder="1" applyAlignment="1">
      <alignment horizontal="center"/>
    </xf>
    <xf numFmtId="173" fontId="2" fillId="2" borderId="10" xfId="558" applyNumberFormat="1" applyFont="1" applyFill="1" applyBorder="1" applyAlignment="1">
      <alignment horizontal="center"/>
    </xf>
    <xf numFmtId="172" fontId="44" fillId="0" borderId="0" xfId="0" applyNumberFormat="1" applyFont="1" applyFill="1" applyAlignment="1"/>
    <xf numFmtId="0" fontId="84" fillId="0" borderId="0" xfId="0" applyFont="1" applyFill="1"/>
    <xf numFmtId="165" fontId="84" fillId="0" borderId="0" xfId="0" applyNumberFormat="1" applyFont="1" applyFill="1"/>
    <xf numFmtId="173" fontId="85" fillId="4" borderId="5" xfId="4" applyNumberFormat="1" applyFont="1" applyFill="1" applyBorder="1" applyAlignment="1">
      <alignment vertical="center" wrapText="1"/>
    </xf>
    <xf numFmtId="173" fontId="85" fillId="4" borderId="0" xfId="4" applyNumberFormat="1" applyFont="1" applyFill="1" applyBorder="1" applyAlignment="1">
      <alignment vertical="center" wrapText="1"/>
    </xf>
    <xf numFmtId="173" fontId="85" fillId="8" borderId="8" xfId="4" applyNumberFormat="1" applyFont="1" applyFill="1" applyBorder="1" applyAlignment="1">
      <alignment horizontal="center" vertical="center" wrapText="1"/>
    </xf>
    <xf numFmtId="0" fontId="85" fillId="8" borderId="8" xfId="4" applyNumberFormat="1" applyFont="1" applyFill="1" applyBorder="1" applyAlignment="1">
      <alignment horizontal="center" vertical="center" wrapText="1"/>
    </xf>
    <xf numFmtId="173" fontId="85" fillId="4" borderId="27" xfId="4" applyNumberFormat="1" applyFont="1" applyFill="1" applyBorder="1" applyAlignment="1">
      <alignment horizontal="center" vertical="center" wrapText="1"/>
    </xf>
    <xf numFmtId="1" fontId="48" fillId="0" borderId="0" xfId="449" applyNumberFormat="1" applyFont="1" applyFill="1" applyBorder="1" applyAlignment="1" applyProtection="1">
      <alignment horizontal="center" vertical="center"/>
    </xf>
    <xf numFmtId="173" fontId="85" fillId="4" borderId="8" xfId="4" applyNumberFormat="1" applyFont="1" applyFill="1" applyBorder="1" applyAlignment="1">
      <alignment horizontal="center" vertical="center" wrapText="1"/>
    </xf>
    <xf numFmtId="0" fontId="85" fillId="4" borderId="8" xfId="4" applyNumberFormat="1" applyFont="1" applyFill="1" applyBorder="1" applyAlignment="1">
      <alignment horizontal="center" vertical="center" wrapText="1"/>
    </xf>
    <xf numFmtId="173" fontId="85" fillId="4" borderId="0" xfId="4" applyNumberFormat="1" applyFont="1" applyFill="1" applyBorder="1" applyAlignment="1">
      <alignment horizontal="center" vertical="center" wrapText="1"/>
    </xf>
    <xf numFmtId="1" fontId="48" fillId="4" borderId="0" xfId="449" applyNumberFormat="1" applyFont="1" applyFill="1" applyBorder="1" applyAlignment="1" applyProtection="1">
      <alignment horizontal="center" vertical="center"/>
    </xf>
    <xf numFmtId="0" fontId="46" fillId="4" borderId="0" xfId="449" applyNumberFormat="1" applyFont="1" applyFill="1" applyBorder="1" applyAlignment="1" applyProtection="1"/>
    <xf numFmtId="0" fontId="47" fillId="4" borderId="0" xfId="0" applyFont="1" applyFill="1"/>
    <xf numFmtId="0" fontId="49" fillId="0" borderId="9" xfId="449" applyNumberFormat="1" applyFont="1" applyFill="1" applyBorder="1" applyAlignment="1" applyProtection="1"/>
    <xf numFmtId="204" fontId="50" fillId="2" borderId="9" xfId="147" applyNumberFormat="1" applyFont="1" applyFill="1" applyBorder="1" applyAlignment="1"/>
    <xf numFmtId="0" fontId="51" fillId="0" borderId="9" xfId="449" applyNumberFormat="1" applyFont="1" applyFill="1" applyBorder="1" applyAlignment="1" applyProtection="1">
      <alignment horizontal="left" vertical="center" wrapText="1"/>
    </xf>
    <xf numFmtId="204" fontId="51" fillId="2" borderId="9" xfId="449" applyNumberFormat="1" applyFont="1" applyFill="1" applyBorder="1" applyAlignment="1" applyProtection="1">
      <alignment vertical="center" wrapText="1"/>
    </xf>
    <xf numFmtId="203" fontId="51" fillId="0" borderId="9" xfId="449" applyNumberFormat="1" applyFont="1" applyFill="1" applyBorder="1" applyAlignment="1" applyProtection="1">
      <alignment horizontal="right" vertical="center" wrapText="1" indent="1"/>
    </xf>
    <xf numFmtId="0" fontId="51" fillId="0" borderId="9" xfId="449" applyNumberFormat="1" applyFont="1" applyFill="1" applyBorder="1" applyAlignment="1" applyProtection="1">
      <alignment horizontal="left" vertical="center" wrapText="1" indent="1"/>
    </xf>
    <xf numFmtId="4" fontId="47" fillId="6" borderId="0" xfId="0" applyNumberFormat="1" applyFont="1" applyFill="1"/>
    <xf numFmtId="0" fontId="51" fillId="0" borderId="4" xfId="449" applyNumberFormat="1" applyFont="1" applyFill="1" applyBorder="1" applyAlignment="1" applyProtection="1">
      <alignment horizontal="left" vertical="center" wrapText="1"/>
    </xf>
    <xf numFmtId="0" fontId="51" fillId="0" borderId="8" xfId="449" applyNumberFormat="1" applyFont="1" applyFill="1" applyBorder="1" applyAlignment="1" applyProtection="1">
      <alignment horizontal="left" vertical="center" wrapText="1"/>
    </xf>
    <xf numFmtId="204" fontId="51" fillId="2" borderId="8" xfId="449" applyNumberFormat="1" applyFont="1" applyFill="1" applyBorder="1" applyAlignment="1" applyProtection="1">
      <alignment vertical="center" wrapText="1"/>
    </xf>
    <xf numFmtId="0" fontId="51" fillId="0" borderId="6" xfId="449" applyNumberFormat="1" applyFont="1" applyFill="1" applyBorder="1" applyAlignment="1" applyProtection="1">
      <alignment horizontal="justify" vertical="center" wrapText="1"/>
    </xf>
    <xf numFmtId="0" fontId="51" fillId="0" borderId="3" xfId="449" applyNumberFormat="1" applyFont="1" applyFill="1" applyBorder="1" applyAlignment="1" applyProtection="1">
      <alignment horizontal="justify" vertical="center" wrapText="1"/>
    </xf>
    <xf numFmtId="204" fontId="51" fillId="2" borderId="3" xfId="449" applyNumberFormat="1" applyFont="1" applyFill="1" applyBorder="1" applyAlignment="1" applyProtection="1">
      <alignment vertical="center" wrapText="1"/>
    </xf>
    <xf numFmtId="0" fontId="46" fillId="0" borderId="9" xfId="449" applyNumberFormat="1" applyFont="1" applyFill="1" applyBorder="1" applyAlignment="1" applyProtection="1"/>
    <xf numFmtId="204" fontId="46" fillId="2" borderId="9" xfId="449" applyNumberFormat="1" applyFont="1" applyFill="1" applyBorder="1" applyAlignment="1" applyProtection="1"/>
    <xf numFmtId="204" fontId="49" fillId="2" borderId="9" xfId="449" applyNumberFormat="1" applyFont="1" applyFill="1" applyBorder="1" applyAlignment="1" applyProtection="1"/>
    <xf numFmtId="0" fontId="47" fillId="0" borderId="9" xfId="0" applyFont="1" applyFill="1" applyBorder="1"/>
    <xf numFmtId="204" fontId="47" fillId="2" borderId="9" xfId="0" applyNumberFormat="1" applyFont="1" applyFill="1" applyBorder="1" applyAlignment="1"/>
    <xf numFmtId="0" fontId="51" fillId="0" borderId="9" xfId="449" applyNumberFormat="1" applyFont="1" applyFill="1" applyBorder="1" applyAlignment="1" applyProtection="1">
      <alignment horizontal="justify" vertical="center"/>
    </xf>
    <xf numFmtId="204" fontId="51" fillId="2" borderId="9" xfId="449" applyNumberFormat="1" applyFont="1" applyFill="1" applyBorder="1" applyAlignment="1" applyProtection="1">
      <alignment vertical="center"/>
    </xf>
    <xf numFmtId="0" fontId="51" fillId="0" borderId="9" xfId="449" applyNumberFormat="1" applyFont="1" applyFill="1" applyBorder="1" applyAlignment="1" applyProtection="1">
      <alignment horizontal="justify" vertical="center" wrapText="1"/>
    </xf>
    <xf numFmtId="203" fontId="51" fillId="0" borderId="8" xfId="449" applyNumberFormat="1" applyFont="1" applyFill="1" applyBorder="1" applyAlignment="1" applyProtection="1">
      <alignment horizontal="right" vertical="center" wrapText="1"/>
    </xf>
    <xf numFmtId="203" fontId="51" fillId="0" borderId="9" xfId="449" applyNumberFormat="1" applyFont="1" applyFill="1" applyBorder="1" applyAlignment="1" applyProtection="1">
      <alignment vertical="center" wrapText="1"/>
    </xf>
    <xf numFmtId="0" fontId="51" fillId="0" borderId="9" xfId="449" applyNumberFormat="1" applyFont="1" applyFill="1" applyBorder="1" applyAlignment="1" applyProtection="1">
      <alignment vertical="center" wrapText="1"/>
    </xf>
    <xf numFmtId="203" fontId="51" fillId="0" borderId="3" xfId="449" applyNumberFormat="1" applyFont="1" applyFill="1" applyBorder="1" applyAlignment="1" applyProtection="1">
      <alignment horizontal="right" vertical="center" wrapText="1"/>
    </xf>
    <xf numFmtId="203" fontId="51" fillId="0" borderId="9" xfId="449" applyNumberFormat="1" applyFont="1" applyFill="1" applyBorder="1" applyAlignment="1" applyProtection="1">
      <alignment horizontal="right" vertical="center" wrapText="1"/>
    </xf>
    <xf numFmtId="204" fontId="83" fillId="0" borderId="0" xfId="0" applyNumberFormat="1" applyFont="1" applyFill="1"/>
    <xf numFmtId="204" fontId="83" fillId="2" borderId="0" xfId="1" applyNumberFormat="1" applyFont="1" applyFill="1"/>
    <xf numFmtId="0" fontId="82" fillId="0" borderId="0" xfId="0" applyFont="1" applyFill="1" applyAlignment="1">
      <alignment horizontal="left"/>
    </xf>
    <xf numFmtId="172" fontId="83" fillId="0" borderId="0" xfId="1" applyNumberFormat="1" applyFont="1" applyFill="1"/>
    <xf numFmtId="0" fontId="83" fillId="0" borderId="0" xfId="0" applyFont="1" applyFill="1" applyAlignment="1">
      <alignment horizontal="center" vertical="center" wrapText="1"/>
    </xf>
    <xf numFmtId="0" fontId="51" fillId="11" borderId="0" xfId="449" applyNumberFormat="1" applyFont="1" applyFill="1" applyBorder="1" applyAlignment="1" applyProtection="1">
      <alignment horizontal="left" vertical="center" wrapText="1" indent="1"/>
    </xf>
    <xf numFmtId="203" fontId="51" fillId="11" borderId="9" xfId="449" applyNumberFormat="1" applyFont="1" applyFill="1" applyBorder="1" applyAlignment="1" applyProtection="1">
      <alignment vertical="center" wrapText="1"/>
    </xf>
    <xf numFmtId="204" fontId="52" fillId="4" borderId="0" xfId="0" applyNumberFormat="1" applyFont="1" applyFill="1" applyBorder="1" applyAlignment="1">
      <alignment horizontal="right"/>
    </xf>
    <xf numFmtId="172" fontId="52" fillId="4" borderId="0" xfId="145" applyNumberFormat="1" applyFont="1" applyFill="1" applyBorder="1"/>
    <xf numFmtId="0" fontId="52" fillId="4" borderId="0" xfId="0" applyFont="1" applyFill="1" applyBorder="1"/>
    <xf numFmtId="0" fontId="52" fillId="4" borderId="0" xfId="584" applyFont="1" applyFill="1" applyAlignment="1">
      <alignment horizontal="left"/>
    </xf>
    <xf numFmtId="0" fontId="53" fillId="4" borderId="0" xfId="0" applyFont="1" applyFill="1"/>
    <xf numFmtId="204" fontId="52" fillId="4" borderId="0" xfId="0" applyNumberFormat="1" applyFont="1" applyFill="1" applyAlignment="1">
      <alignment horizontal="right"/>
    </xf>
    <xf numFmtId="0" fontId="52" fillId="4" borderId="0" xfId="0" applyFont="1" applyFill="1" applyAlignment="1">
      <alignment horizontal="center"/>
    </xf>
    <xf numFmtId="0" fontId="52" fillId="4" borderId="0" xfId="584" applyFont="1" applyFill="1" applyAlignment="1">
      <alignment horizontal="left" indent="1"/>
    </xf>
    <xf numFmtId="204" fontId="52" fillId="4" borderId="0" xfId="584" applyNumberFormat="1" applyFont="1" applyFill="1" applyAlignment="1">
      <alignment horizontal="right"/>
    </xf>
    <xf numFmtId="204" fontId="52" fillId="4" borderId="0" xfId="583" applyNumberFormat="1" applyFont="1" applyFill="1"/>
    <xf numFmtId="0" fontId="52" fillId="4" borderId="0" xfId="0" applyFont="1" applyFill="1" applyAlignment="1">
      <alignment horizontal="left" indent="1"/>
    </xf>
    <xf numFmtId="172" fontId="52" fillId="4" borderId="5" xfId="145" applyNumberFormat="1" applyFont="1" applyFill="1" applyBorder="1"/>
    <xf numFmtId="199" fontId="52" fillId="4" borderId="0" xfId="583" applyNumberFormat="1" applyFont="1" applyFill="1" applyBorder="1"/>
    <xf numFmtId="204" fontId="52" fillId="4" borderId="5" xfId="0" applyNumberFormat="1" applyFont="1" applyFill="1" applyBorder="1" applyAlignment="1">
      <alignment horizontal="right"/>
    </xf>
    <xf numFmtId="204" fontId="52" fillId="4" borderId="5" xfId="583" applyNumberFormat="1" applyFont="1" applyFill="1" applyBorder="1"/>
    <xf numFmtId="0" fontId="52" fillId="4" borderId="0" xfId="0" applyFont="1" applyFill="1"/>
    <xf numFmtId="199" fontId="52" fillId="4" borderId="0" xfId="583" applyNumberFormat="1" applyFont="1" applyFill="1"/>
    <xf numFmtId="0" fontId="52" fillId="4" borderId="0" xfId="584" applyFont="1" applyFill="1"/>
    <xf numFmtId="204" fontId="52" fillId="4" borderId="5" xfId="145" applyNumberFormat="1" applyFont="1" applyFill="1" applyBorder="1"/>
    <xf numFmtId="204" fontId="53" fillId="4" borderId="26" xfId="0" applyNumberFormat="1" applyFont="1" applyFill="1" applyBorder="1"/>
    <xf numFmtId="0" fontId="52" fillId="4" borderId="0" xfId="0" applyFont="1" applyFill="1" applyBorder="1" applyAlignment="1">
      <alignment horizontal="center"/>
    </xf>
    <xf numFmtId="204" fontId="52" fillId="4" borderId="0" xfId="584" applyNumberFormat="1" applyFont="1" applyFill="1"/>
    <xf numFmtId="204" fontId="52" fillId="4" borderId="0" xfId="0" applyNumberFormat="1" applyFont="1" applyFill="1" applyBorder="1"/>
    <xf numFmtId="204" fontId="52" fillId="4" borderId="0" xfId="145" applyNumberFormat="1" applyFont="1" applyFill="1"/>
    <xf numFmtId="172" fontId="52" fillId="0" borderId="0" xfId="1" applyNumberFormat="1" applyFont="1" applyFill="1" applyBorder="1" applyAlignment="1">
      <alignment horizontal="right"/>
    </xf>
    <xf numFmtId="172" fontId="52" fillId="0" borderId="0" xfId="1" applyNumberFormat="1" applyFont="1" applyFill="1" applyAlignment="1">
      <alignment horizontal="right"/>
    </xf>
    <xf numFmtId="172" fontId="52" fillId="4" borderId="0" xfId="1" applyNumberFormat="1" applyFont="1" applyFill="1" applyBorder="1" applyAlignment="1">
      <alignment horizontal="right"/>
    </xf>
    <xf numFmtId="172" fontId="52" fillId="4" borderId="0" xfId="1" applyNumberFormat="1" applyFont="1" applyFill="1" applyAlignment="1">
      <alignment horizontal="right"/>
    </xf>
    <xf numFmtId="172" fontId="53" fillId="0" borderId="0" xfId="1" applyNumberFormat="1" applyFont="1" applyFill="1"/>
    <xf numFmtId="0" fontId="86" fillId="0" borderId="0" xfId="0" applyFont="1" applyFill="1"/>
    <xf numFmtId="0" fontId="47" fillId="0" borderId="6" xfId="0" applyFont="1" applyFill="1" applyBorder="1"/>
    <xf numFmtId="0" fontId="47" fillId="0" borderId="26" xfId="0" applyFont="1" applyFill="1" applyBorder="1"/>
    <xf numFmtId="0" fontId="47" fillId="0" borderId="7" xfId="0" applyFont="1" applyFill="1" applyBorder="1"/>
    <xf numFmtId="0" fontId="47" fillId="0" borderId="8" xfId="0" applyFont="1" applyFill="1" applyBorder="1"/>
    <xf numFmtId="0" fontId="47" fillId="0" borderId="27" xfId="0" applyFont="1" applyFill="1" applyBorder="1"/>
    <xf numFmtId="204" fontId="47" fillId="0" borderId="0" xfId="0" applyNumberFormat="1" applyFont="1" applyFill="1" applyBorder="1"/>
    <xf numFmtId="1" fontId="48" fillId="0" borderId="8" xfId="449" applyNumberFormat="1" applyFont="1" applyFill="1" applyBorder="1" applyAlignment="1" applyProtection="1">
      <alignment horizontal="center"/>
    </xf>
    <xf numFmtId="0" fontId="49" fillId="0" borderId="8" xfId="449" applyNumberFormat="1" applyFont="1" applyFill="1" applyBorder="1" applyAlignment="1" applyProtection="1"/>
    <xf numFmtId="0" fontId="46" fillId="0" borderId="8" xfId="449" applyNumberFormat="1" applyFont="1" applyFill="1" applyBorder="1" applyAlignment="1" applyProtection="1"/>
    <xf numFmtId="204" fontId="47" fillId="0" borderId="9" xfId="0" applyNumberFormat="1" applyFont="1" applyFill="1" applyBorder="1"/>
    <xf numFmtId="0" fontId="47" fillId="0" borderId="0" xfId="0" applyFont="1" applyFill="1" applyBorder="1"/>
    <xf numFmtId="0" fontId="47" fillId="0" borderId="23" xfId="0" applyFont="1" applyFill="1" applyBorder="1"/>
    <xf numFmtId="0" fontId="47" fillId="0" borderId="9" xfId="0" applyFont="1" applyFill="1" applyBorder="1" applyAlignment="1">
      <alignment horizontal="center"/>
    </xf>
    <xf numFmtId="201" fontId="50" fillId="0" borderId="8" xfId="0" applyNumberFormat="1" applyFont="1" applyFill="1" applyBorder="1" applyAlignment="1">
      <alignment horizontal="center"/>
    </xf>
    <xf numFmtId="204" fontId="50" fillId="0" borderId="8" xfId="0" applyNumberFormat="1" applyFont="1" applyFill="1" applyBorder="1" applyAlignment="1">
      <alignment horizontal="center"/>
    </xf>
    <xf numFmtId="0" fontId="47" fillId="0" borderId="8" xfId="0" applyFont="1" applyFill="1" applyBorder="1" applyAlignment="1">
      <alignment horizontal="center"/>
    </xf>
    <xf numFmtId="201" fontId="50" fillId="0" borderId="8" xfId="0" applyNumberFormat="1" applyFont="1" applyFill="1" applyBorder="1"/>
    <xf numFmtId="0" fontId="47" fillId="0" borderId="10" xfId="0" applyFont="1" applyFill="1" applyBorder="1" applyAlignment="1">
      <alignment horizontal="center"/>
    </xf>
    <xf numFmtId="201" fontId="50" fillId="0" borderId="10" xfId="0" quotePrefix="1" applyNumberFormat="1" applyFont="1" applyFill="1" applyBorder="1" applyAlignment="1">
      <alignment horizontal="center"/>
    </xf>
    <xf numFmtId="204" fontId="50" fillId="0" borderId="10" xfId="0" applyNumberFormat="1" applyFont="1" applyFill="1" applyBorder="1" applyAlignment="1">
      <alignment horizontal="center"/>
    </xf>
    <xf numFmtId="201" fontId="50" fillId="0" borderId="10" xfId="0" applyNumberFormat="1" applyFont="1" applyFill="1" applyBorder="1"/>
    <xf numFmtId="204" fontId="47" fillId="0" borderId="4" xfId="0" applyNumberFormat="1" applyFont="1" applyFill="1" applyBorder="1"/>
    <xf numFmtId="172" fontId="50" fillId="4" borderId="8" xfId="1" applyNumberFormat="1" applyFont="1" applyFill="1" applyBorder="1" applyAlignment="1">
      <alignment horizontal="right"/>
    </xf>
    <xf numFmtId="172" fontId="50" fillId="0" borderId="0" xfId="0" applyNumberFormat="1" applyFont="1" applyFill="1" applyBorder="1"/>
    <xf numFmtId="204" fontId="50" fillId="0" borderId="8" xfId="0" applyNumberFormat="1" applyFont="1" applyFill="1" applyBorder="1"/>
    <xf numFmtId="201" fontId="47" fillId="0" borderId="8" xfId="0" applyNumberFormat="1" applyFont="1" applyFill="1" applyBorder="1"/>
    <xf numFmtId="201" fontId="50" fillId="0" borderId="27" xfId="0" applyNumberFormat="1" applyFont="1" applyFill="1" applyBorder="1"/>
    <xf numFmtId="201" fontId="50" fillId="0" borderId="0" xfId="0" applyNumberFormat="1" applyFont="1" applyFill="1" applyBorder="1"/>
    <xf numFmtId="172" fontId="50" fillId="4" borderId="9" xfId="1" applyNumberFormat="1" applyFont="1" applyFill="1" applyBorder="1" applyAlignment="1">
      <alignment horizontal="right"/>
    </xf>
    <xf numFmtId="201" fontId="50" fillId="0" borderId="9" xfId="0" applyNumberFormat="1" applyFont="1" applyFill="1" applyBorder="1"/>
    <xf numFmtId="204" fontId="50" fillId="0" borderId="9" xfId="0" applyNumberFormat="1" applyFont="1" applyFill="1" applyBorder="1"/>
    <xf numFmtId="201" fontId="47" fillId="0" borderId="9" xfId="0" applyNumberFormat="1" applyFont="1" applyFill="1" applyBorder="1"/>
    <xf numFmtId="0" fontId="47" fillId="0" borderId="4" xfId="0" applyFont="1" applyFill="1" applyBorder="1"/>
    <xf numFmtId="172" fontId="50" fillId="0" borderId="27" xfId="0" applyNumberFormat="1" applyFont="1" applyFill="1" applyBorder="1"/>
    <xf numFmtId="172" fontId="50" fillId="4" borderId="9" xfId="1" applyNumberFormat="1" applyFont="1" applyFill="1" applyBorder="1"/>
    <xf numFmtId="172" fontId="47" fillId="0" borderId="9" xfId="1" applyNumberFormat="1" applyFont="1" applyFill="1" applyBorder="1"/>
    <xf numFmtId="172" fontId="50" fillId="0" borderId="6" xfId="0" applyNumberFormat="1" applyFont="1" applyFill="1" applyBorder="1"/>
    <xf numFmtId="172" fontId="50" fillId="0" borderId="26" xfId="0" applyNumberFormat="1" applyFont="1" applyFill="1" applyBorder="1"/>
    <xf numFmtId="172" fontId="50" fillId="4" borderId="3" xfId="1" applyNumberFormat="1" applyFont="1" applyFill="1" applyBorder="1"/>
    <xf numFmtId="172" fontId="50" fillId="0" borderId="23" xfId="0" applyNumberFormat="1" applyFont="1" applyFill="1" applyBorder="1"/>
    <xf numFmtId="172" fontId="50" fillId="0" borderId="4" xfId="0" applyNumberFormat="1" applyFont="1" applyFill="1" applyBorder="1"/>
    <xf numFmtId="172" fontId="50" fillId="4" borderId="8" xfId="1" applyNumberFormat="1" applyFont="1" applyFill="1" applyBorder="1"/>
    <xf numFmtId="0" fontId="47" fillId="4" borderId="9" xfId="0" applyFont="1" applyFill="1" applyBorder="1"/>
    <xf numFmtId="172" fontId="47" fillId="4" borderId="9" xfId="0" applyNumberFormat="1" applyFont="1" applyFill="1" applyBorder="1"/>
    <xf numFmtId="201" fontId="50" fillId="4" borderId="9" xfId="0" applyNumberFormat="1" applyFont="1" applyFill="1" applyBorder="1"/>
    <xf numFmtId="201" fontId="50" fillId="4" borderId="10" xfId="0" applyNumberFormat="1" applyFont="1" applyFill="1" applyBorder="1"/>
    <xf numFmtId="172" fontId="50" fillId="0" borderId="9" xfId="1" applyNumberFormat="1" applyFont="1" applyFill="1" applyBorder="1"/>
    <xf numFmtId="172" fontId="47" fillId="0" borderId="9" xfId="0" applyNumberFormat="1" applyFont="1" applyFill="1" applyBorder="1"/>
    <xf numFmtId="172" fontId="50" fillId="4" borderId="3" xfId="1" applyNumberFormat="1" applyFont="1" applyFill="1" applyBorder="1" applyAlignment="1">
      <alignment horizontal="right"/>
    </xf>
    <xf numFmtId="201" fontId="50" fillId="4" borderId="8" xfId="0" applyNumberFormat="1" applyFont="1" applyFill="1" applyBorder="1"/>
    <xf numFmtId="172" fontId="50" fillId="4" borderId="9" xfId="1" applyNumberFormat="1" applyFont="1" applyFill="1" applyBorder="1" applyAlignment="1">
      <alignment horizontal="center"/>
    </xf>
    <xf numFmtId="201" fontId="50" fillId="4" borderId="9" xfId="0" quotePrefix="1" applyNumberFormat="1" applyFont="1" applyFill="1" applyBorder="1"/>
    <xf numFmtId="201" fontId="50" fillId="4" borderId="3" xfId="0" applyNumberFormat="1" applyFont="1" applyFill="1" applyBorder="1"/>
    <xf numFmtId="204" fontId="50" fillId="0" borderId="0" xfId="0" applyNumberFormat="1" applyFont="1" applyFill="1" applyBorder="1"/>
    <xf numFmtId="0" fontId="47" fillId="4" borderId="3" xfId="0" applyFont="1" applyFill="1" applyBorder="1"/>
    <xf numFmtId="0" fontId="47" fillId="4" borderId="27" xfId="0" applyFont="1" applyFill="1" applyBorder="1"/>
    <xf numFmtId="201" fontId="47" fillId="4" borderId="9" xfId="0" applyNumberFormat="1" applyFont="1" applyFill="1" applyBorder="1"/>
    <xf numFmtId="201" fontId="50" fillId="0" borderId="6" xfId="0" applyNumberFormat="1" applyFont="1" applyFill="1" applyBorder="1"/>
    <xf numFmtId="201" fontId="50" fillId="0" borderId="26" xfId="0" applyNumberFormat="1" applyFont="1" applyFill="1" applyBorder="1"/>
    <xf numFmtId="172" fontId="50" fillId="4" borderId="3" xfId="1" applyNumberFormat="1" applyFont="1" applyFill="1" applyBorder="1" applyAlignment="1">
      <alignment horizontal="center"/>
    </xf>
    <xf numFmtId="172" fontId="50" fillId="4" borderId="7" xfId="1" applyNumberFormat="1" applyFont="1" applyFill="1" applyBorder="1" applyAlignment="1">
      <alignment horizontal="right"/>
    </xf>
    <xf numFmtId="0" fontId="47" fillId="2" borderId="27" xfId="0" applyFont="1" applyFill="1" applyBorder="1"/>
    <xf numFmtId="201" fontId="47" fillId="2" borderId="9" xfId="0" applyNumberFormat="1" applyFont="1" applyFill="1" applyBorder="1"/>
    <xf numFmtId="204" fontId="50" fillId="0" borderId="0" xfId="0" applyNumberFormat="1" applyFont="1" applyFill="1"/>
    <xf numFmtId="0" fontId="50" fillId="0" borderId="0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center"/>
    </xf>
    <xf numFmtId="0" fontId="50" fillId="4" borderId="3" xfId="0" applyFont="1" applyFill="1" applyBorder="1" applyAlignment="1">
      <alignment horizontal="center"/>
    </xf>
    <xf numFmtId="37" fontId="50" fillId="0" borderId="9" xfId="0" applyNumberFormat="1" applyFont="1" applyFill="1" applyBorder="1"/>
    <xf numFmtId="0" fontId="50" fillId="0" borderId="27" xfId="0" applyFont="1" applyFill="1" applyBorder="1" applyAlignment="1">
      <alignment horizontal="left" indent="1"/>
    </xf>
    <xf numFmtId="172" fontId="50" fillId="0" borderId="9" xfId="0" applyNumberFormat="1" applyFont="1" applyFill="1" applyBorder="1"/>
    <xf numFmtId="201" fontId="50" fillId="4" borderId="6" xfId="0" applyNumberFormat="1" applyFont="1" applyFill="1" applyBorder="1"/>
    <xf numFmtId="0" fontId="47" fillId="4" borderId="6" xfId="0" applyFont="1" applyFill="1" applyBorder="1"/>
    <xf numFmtId="172" fontId="47" fillId="4" borderId="10" xfId="0" applyNumberFormat="1" applyFont="1" applyFill="1" applyBorder="1"/>
    <xf numFmtId="37" fontId="50" fillId="0" borderId="10" xfId="0" applyNumberFormat="1" applyFont="1" applyFill="1" applyBorder="1"/>
    <xf numFmtId="0" fontId="47" fillId="0" borderId="10" xfId="0" applyFont="1" applyFill="1" applyBorder="1"/>
    <xf numFmtId="204" fontId="50" fillId="0" borderId="10" xfId="0" applyNumberFormat="1" applyFont="1" applyFill="1" applyBorder="1"/>
    <xf numFmtId="201" fontId="47" fillId="0" borderId="10" xfId="0" applyNumberFormat="1" applyFont="1" applyFill="1" applyBorder="1"/>
    <xf numFmtId="201" fontId="47" fillId="4" borderId="3" xfId="0" applyNumberFormat="1" applyFont="1" applyFill="1" applyBorder="1"/>
    <xf numFmtId="37" fontId="50" fillId="0" borderId="0" xfId="0" applyNumberFormat="1" applyFont="1" applyFill="1" applyBorder="1"/>
    <xf numFmtId="201" fontId="47" fillId="0" borderId="0" xfId="0" applyNumberFormat="1" applyFont="1" applyFill="1"/>
    <xf numFmtId="172" fontId="47" fillId="0" borderId="3" xfId="0" applyNumberFormat="1" applyFont="1" applyFill="1" applyBorder="1"/>
    <xf numFmtId="172" fontId="47" fillId="4" borderId="3" xfId="0" applyNumberFormat="1" applyFont="1" applyFill="1" applyBorder="1"/>
    <xf numFmtId="172" fontId="51" fillId="0" borderId="9" xfId="1" applyNumberFormat="1" applyFont="1" applyFill="1" applyBorder="1" applyAlignment="1" applyProtection="1">
      <alignment vertical="center" wrapText="1"/>
    </xf>
    <xf numFmtId="172" fontId="51" fillId="0" borderId="10" xfId="1" applyNumberFormat="1" applyFont="1" applyFill="1" applyBorder="1" applyAlignment="1" applyProtection="1">
      <alignment vertical="center" wrapText="1"/>
    </xf>
    <xf numFmtId="172" fontId="50" fillId="0" borderId="10" xfId="1" applyNumberFormat="1" applyFont="1" applyFill="1" applyBorder="1"/>
    <xf numFmtId="172" fontId="50" fillId="0" borderId="8" xfId="1" applyNumberFormat="1" applyFont="1" applyFill="1" applyBorder="1"/>
    <xf numFmtId="172" fontId="51" fillId="0" borderId="3" xfId="1" applyNumberFormat="1" applyFont="1" applyFill="1" applyBorder="1" applyAlignment="1" applyProtection="1">
      <alignment horizontal="right" vertical="center" wrapText="1"/>
    </xf>
    <xf numFmtId="172" fontId="46" fillId="0" borderId="9" xfId="1" applyNumberFormat="1" applyFont="1" applyFill="1" applyBorder="1" applyAlignment="1" applyProtection="1"/>
    <xf numFmtId="172" fontId="49" fillId="0" borderId="9" xfId="1" applyNumberFormat="1" applyFont="1" applyFill="1" applyBorder="1" applyAlignment="1" applyProtection="1"/>
    <xf numFmtId="172" fontId="51" fillId="0" borderId="9" xfId="1" applyNumberFormat="1" applyFont="1" applyFill="1" applyBorder="1" applyAlignment="1" applyProtection="1">
      <alignment horizontal="right" vertical="center" wrapText="1"/>
    </xf>
    <xf numFmtId="172" fontId="51" fillId="0" borderId="9" xfId="1" applyNumberFormat="1" applyFont="1" applyFill="1" applyBorder="1" applyAlignment="1" applyProtection="1">
      <alignment horizontal="right" vertical="center"/>
    </xf>
    <xf numFmtId="172" fontId="51" fillId="0" borderId="3" xfId="1" applyNumberFormat="1" applyFont="1" applyFill="1" applyBorder="1" applyAlignment="1" applyProtection="1">
      <alignment vertical="center" wrapText="1"/>
    </xf>
    <xf numFmtId="172" fontId="47" fillId="0" borderId="9" xfId="1" applyNumberFormat="1" applyFont="1" applyFill="1" applyBorder="1" applyAlignment="1"/>
    <xf numFmtId="172" fontId="51" fillId="0" borderId="9" xfId="1" applyNumberFormat="1" applyFont="1" applyFill="1" applyBorder="1" applyAlignment="1" applyProtection="1">
      <alignment vertical="center"/>
    </xf>
    <xf numFmtId="0" fontId="47" fillId="0" borderId="28" xfId="0" applyFont="1" applyFill="1" applyBorder="1"/>
    <xf numFmtId="0" fontId="47" fillId="0" borderId="21" xfId="0" applyFont="1" applyFill="1" applyBorder="1"/>
    <xf numFmtId="0" fontId="47" fillId="8" borderId="0" xfId="0" applyFont="1" applyFill="1"/>
    <xf numFmtId="0" fontId="46" fillId="8" borderId="0" xfId="449" applyNumberFormat="1" applyFont="1" applyFill="1" applyBorder="1" applyAlignment="1" applyProtection="1"/>
    <xf numFmtId="165" fontId="46" fillId="8" borderId="0" xfId="449" applyNumberFormat="1" applyFont="1" applyFill="1" applyBorder="1" applyAlignment="1" applyProtection="1"/>
    <xf numFmtId="172" fontId="51" fillId="6" borderId="9" xfId="1" applyNumberFormat="1" applyFont="1" applyFill="1" applyBorder="1" applyAlignment="1" applyProtection="1">
      <alignment vertical="center" wrapText="1"/>
    </xf>
    <xf numFmtId="172" fontId="51" fillId="2" borderId="9" xfId="1" applyNumberFormat="1" applyFont="1" applyFill="1" applyBorder="1" applyAlignment="1" applyProtection="1">
      <alignment vertical="center" wrapText="1"/>
    </xf>
    <xf numFmtId="0" fontId="47" fillId="0" borderId="0" xfId="0" applyFont="1" applyFill="1" applyAlignment="1">
      <alignment horizontal="left" indent="1"/>
    </xf>
    <xf numFmtId="172" fontId="52" fillId="0" borderId="0" xfId="0" applyNumberFormat="1" applyFont="1" applyFill="1"/>
    <xf numFmtId="172" fontId="47" fillId="0" borderId="0" xfId="0" applyNumberFormat="1" applyFont="1" applyFill="1"/>
    <xf numFmtId="172" fontId="50" fillId="0" borderId="9" xfId="1" applyNumberFormat="1" applyFont="1" applyFill="1" applyBorder="1" applyAlignment="1"/>
    <xf numFmtId="0" fontId="86" fillId="0" borderId="0" xfId="0" applyFont="1" applyFill="1" applyAlignment="1">
      <alignment horizontal="left" indent="1"/>
    </xf>
    <xf numFmtId="203" fontId="47" fillId="0" borderId="0" xfId="0" applyNumberFormat="1" applyFont="1" applyFill="1"/>
    <xf numFmtId="172" fontId="50" fillId="6" borderId="9" xfId="1" applyNumberFormat="1" applyFont="1" applyFill="1" applyBorder="1" applyAlignment="1"/>
    <xf numFmtId="173" fontId="6" fillId="0" borderId="6" xfId="4" applyNumberFormat="1" applyFont="1" applyFill="1" applyBorder="1" applyAlignment="1">
      <alignment horizontal="center" vertical="center" wrapText="1"/>
    </xf>
    <xf numFmtId="173" fontId="6" fillId="0" borderId="7" xfId="4" applyNumberFormat="1" applyFont="1" applyFill="1" applyBorder="1" applyAlignment="1">
      <alignment horizontal="center" vertical="center" wrapText="1"/>
    </xf>
    <xf numFmtId="165" fontId="27" fillId="0" borderId="0" xfId="3" applyNumberFormat="1" applyFont="1" applyFill="1" applyAlignment="1">
      <alignment horizontal="center" vertical="center"/>
    </xf>
    <xf numFmtId="9" fontId="27" fillId="0" borderId="0" xfId="3" applyFont="1" applyFill="1" applyAlignment="1">
      <alignment horizontal="center" vertical="center"/>
    </xf>
    <xf numFmtId="0" fontId="39" fillId="4" borderId="5" xfId="576" applyFont="1" applyFill="1" applyBorder="1" applyAlignment="1">
      <alignment horizontal="center"/>
    </xf>
    <xf numFmtId="0" fontId="4" fillId="0" borderId="0" xfId="557" applyFont="1" applyFill="1" applyAlignment="1">
      <alignment horizontal="left" wrapText="1"/>
    </xf>
    <xf numFmtId="0" fontId="2" fillId="0" borderId="0" xfId="557" applyFont="1" applyFill="1" applyAlignment="1">
      <alignment horizontal="center" wrapText="1"/>
    </xf>
    <xf numFmtId="0" fontId="2" fillId="0" borderId="0" xfId="557" applyFont="1" applyFill="1" applyAlignment="1">
      <alignment horizontal="left" wrapText="1"/>
    </xf>
    <xf numFmtId="0" fontId="4" fillId="0" borderId="13" xfId="557" applyFont="1" applyFill="1" applyBorder="1" applyAlignment="1">
      <alignment horizontal="left" wrapText="1"/>
    </xf>
    <xf numFmtId="0" fontId="4" fillId="0" borderId="0" xfId="557" applyFont="1" applyFill="1" applyBorder="1" applyAlignment="1">
      <alignment horizontal="left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83" fillId="0" borderId="0" xfId="0" applyFont="1" applyFill="1" applyAlignment="1">
      <alignment horizontal="center" vertical="center" wrapText="1"/>
    </xf>
    <xf numFmtId="172" fontId="33" fillId="0" borderId="0" xfId="1" applyNumberFormat="1" applyFont="1" applyFill="1" applyAlignment="1">
      <alignment horizontal="center" vertical="center"/>
    </xf>
    <xf numFmtId="0" fontId="83" fillId="0" borderId="6" xfId="0" applyFont="1" applyFill="1" applyBorder="1" applyAlignment="1">
      <alignment horizontal="center"/>
    </xf>
    <xf numFmtId="0" fontId="83" fillId="0" borderId="7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 indent="2"/>
    </xf>
    <xf numFmtId="172" fontId="33" fillId="0" borderId="0" xfId="1" applyNumberFormat="1" applyFont="1" applyFill="1" applyAlignment="1">
      <alignment horizontal="center" vertical="center" wrapText="1"/>
    </xf>
    <xf numFmtId="0" fontId="3" fillId="0" borderId="23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 indent="3"/>
    </xf>
    <xf numFmtId="0" fontId="3" fillId="0" borderId="21" xfId="0" applyFont="1" applyFill="1" applyBorder="1" applyAlignment="1">
      <alignment horizontal="left" indent="3"/>
    </xf>
    <xf numFmtId="0" fontId="2" fillId="0" borderId="25" xfId="0" applyFont="1" applyFill="1" applyBorder="1" applyAlignment="1">
      <alignment horizontal="left" indent="2"/>
    </xf>
    <xf numFmtId="0" fontId="2" fillId="0" borderId="21" xfId="0" applyFont="1" applyFill="1" applyBorder="1" applyAlignment="1">
      <alignment horizontal="left" indent="2"/>
    </xf>
    <xf numFmtId="173" fontId="78" fillId="8" borderId="6" xfId="4" applyNumberFormat="1" applyFont="1" applyFill="1" applyBorder="1" applyAlignment="1">
      <alignment horizontal="center" vertical="center" wrapText="1"/>
    </xf>
    <xf numFmtId="173" fontId="78" fillId="8" borderId="7" xfId="4" applyNumberFormat="1" applyFont="1" applyFill="1" applyBorder="1" applyAlignment="1">
      <alignment horizontal="center" vertical="center" wrapText="1"/>
    </xf>
    <xf numFmtId="183" fontId="50" fillId="0" borderId="5" xfId="161" applyNumberFormat="1" applyFont="1" applyFill="1" applyBorder="1" applyAlignment="1">
      <alignment horizontal="center" wrapText="1"/>
    </xf>
    <xf numFmtId="183" fontId="50" fillId="0" borderId="0" xfId="161" applyNumberFormat="1" applyFont="1" applyFill="1" applyAlignment="1">
      <alignment horizontal="center" wrapText="1"/>
    </xf>
    <xf numFmtId="173" fontId="85" fillId="8" borderId="5" xfId="4" applyNumberFormat="1" applyFont="1" applyFill="1" applyBorder="1" applyAlignment="1">
      <alignment horizontal="center" vertical="center" wrapText="1"/>
    </xf>
    <xf numFmtId="173" fontId="67" fillId="8" borderId="6" xfId="4" applyNumberFormat="1" applyFont="1" applyFill="1" applyBorder="1" applyAlignment="1">
      <alignment horizontal="center" vertical="center" wrapText="1"/>
    </xf>
    <xf numFmtId="173" fontId="67" fillId="8" borderId="7" xfId="4" applyNumberFormat="1" applyFont="1" applyFill="1" applyBorder="1" applyAlignment="1">
      <alignment horizontal="center" vertical="center" wrapText="1"/>
    </xf>
    <xf numFmtId="0" fontId="47" fillId="0" borderId="27" xfId="0" applyFont="1" applyFill="1" applyBorder="1" applyAlignment="1">
      <alignment wrapText="1"/>
    </xf>
    <xf numFmtId="0" fontId="47" fillId="0" borderId="28" xfId="0" applyFont="1" applyFill="1" applyBorder="1" applyAlignment="1">
      <alignment wrapText="1"/>
    </xf>
    <xf numFmtId="172" fontId="47" fillId="0" borderId="27" xfId="0" applyNumberFormat="1" applyFont="1" applyFill="1" applyBorder="1" applyAlignment="1">
      <alignment wrapText="1"/>
    </xf>
    <xf numFmtId="172" fontId="47" fillId="0" borderId="27" xfId="1" applyNumberFormat="1" applyFont="1" applyFill="1" applyBorder="1" applyAlignment="1">
      <alignment wrapText="1"/>
    </xf>
    <xf numFmtId="172" fontId="47" fillId="0" borderId="6" xfId="0" applyNumberFormat="1" applyFont="1" applyFill="1" applyBorder="1" applyAlignment="1">
      <alignment wrapText="1"/>
    </xf>
    <xf numFmtId="0" fontId="47" fillId="0" borderId="7" xfId="0" applyFont="1" applyFill="1" applyBorder="1" applyAlignment="1">
      <alignment wrapText="1"/>
    </xf>
    <xf numFmtId="0" fontId="47" fillId="0" borderId="6" xfId="0" applyFont="1" applyFill="1" applyBorder="1" applyAlignment="1">
      <alignment wrapText="1"/>
    </xf>
  </cellXfs>
  <cellStyles count="586">
    <cellStyle name="=C:\WINNT\SYSTEM32\COMMAND.COM" xfId="9" xr:uid="{00000000-0005-0000-0000-000000000000}"/>
    <cellStyle name="Categoría del Piloto de Datos" xfId="561" xr:uid="{00000000-0005-0000-0000-000001000000}"/>
    <cellStyle name="Comma" xfId="1" builtinId="3"/>
    <cellStyle name="Comma 123" xfId="580" xr:uid="{00000000-0005-0000-0000-000002000000}"/>
    <cellStyle name="Comma 13" xfId="575" xr:uid="{00000000-0005-0000-0000-000003000000}"/>
    <cellStyle name="Comma 15" xfId="582" xr:uid="{00000000-0005-0000-0000-000004000000}"/>
    <cellStyle name="Comma 2" xfId="583" xr:uid="{00000000-0005-0000-0000-000005000000}"/>
    <cellStyle name="Comma 4 2" xfId="577" xr:uid="{00000000-0005-0000-0000-000006000000}"/>
    <cellStyle name="Comma 4 2 4" xfId="578" xr:uid="{00000000-0005-0000-0000-000007000000}"/>
    <cellStyle name="Comma_Worksheet in D: Mis documentos Clientes 2003 Holanda Informes Brenntag-Informe2002-2001" xfId="585" xr:uid="{00000000-0005-0000-0000-000008000000}"/>
    <cellStyle name="Credit" xfId="10" xr:uid="{00000000-0005-0000-0000-000009000000}"/>
    <cellStyle name="Credit subtotal" xfId="11" xr:uid="{00000000-0005-0000-0000-00000A000000}"/>
    <cellStyle name="Credit Total" xfId="12" xr:uid="{00000000-0005-0000-0000-00000B000000}"/>
    <cellStyle name="Credit_Libro1" xfId="13" xr:uid="{00000000-0005-0000-0000-00000C000000}"/>
    <cellStyle name="Currency" xfId="2" builtinId="4"/>
    <cellStyle name="Debit" xfId="14" xr:uid="{00000000-0005-0000-0000-00000D000000}"/>
    <cellStyle name="Debit subtotal" xfId="15" xr:uid="{00000000-0005-0000-0000-00000E000000}"/>
    <cellStyle name="Debit Total" xfId="16" xr:uid="{00000000-0005-0000-0000-00000F000000}"/>
    <cellStyle name="Debit_Libro1" xfId="17" xr:uid="{00000000-0005-0000-0000-000010000000}"/>
    <cellStyle name="Estilo 1" xfId="18" xr:uid="{00000000-0005-0000-0000-000011000000}"/>
    <cellStyle name="Euro" xfId="19" xr:uid="{00000000-0005-0000-0000-000012000000}"/>
    <cellStyle name="Euro 10" xfId="20" xr:uid="{00000000-0005-0000-0000-000013000000}"/>
    <cellStyle name="Euro 11" xfId="21" xr:uid="{00000000-0005-0000-0000-000014000000}"/>
    <cellStyle name="Euro 12" xfId="22" xr:uid="{00000000-0005-0000-0000-000015000000}"/>
    <cellStyle name="Euro 13" xfId="23" xr:uid="{00000000-0005-0000-0000-000016000000}"/>
    <cellStyle name="Euro 14" xfId="24" xr:uid="{00000000-0005-0000-0000-000017000000}"/>
    <cellStyle name="Euro 15" xfId="25" xr:uid="{00000000-0005-0000-0000-000018000000}"/>
    <cellStyle name="Euro 16" xfId="26" xr:uid="{00000000-0005-0000-0000-000019000000}"/>
    <cellStyle name="Euro 17" xfId="27" xr:uid="{00000000-0005-0000-0000-00001A000000}"/>
    <cellStyle name="Euro 18" xfId="28" xr:uid="{00000000-0005-0000-0000-00001B000000}"/>
    <cellStyle name="Euro 19" xfId="29" xr:uid="{00000000-0005-0000-0000-00001C000000}"/>
    <cellStyle name="Euro 2" xfId="30" xr:uid="{00000000-0005-0000-0000-00001D000000}"/>
    <cellStyle name="Euro 20" xfId="31" xr:uid="{00000000-0005-0000-0000-00001E000000}"/>
    <cellStyle name="Euro 21" xfId="32" xr:uid="{00000000-0005-0000-0000-00001F000000}"/>
    <cellStyle name="Euro 22" xfId="33" xr:uid="{00000000-0005-0000-0000-000020000000}"/>
    <cellStyle name="Euro 23" xfId="34" xr:uid="{00000000-0005-0000-0000-000021000000}"/>
    <cellStyle name="Euro 24" xfId="35" xr:uid="{00000000-0005-0000-0000-000022000000}"/>
    <cellStyle name="Euro 25" xfId="36" xr:uid="{00000000-0005-0000-0000-000023000000}"/>
    <cellStyle name="Euro 26" xfId="37" xr:uid="{00000000-0005-0000-0000-000024000000}"/>
    <cellStyle name="Euro 27" xfId="38" xr:uid="{00000000-0005-0000-0000-000025000000}"/>
    <cellStyle name="Euro 28" xfId="39" xr:uid="{00000000-0005-0000-0000-000026000000}"/>
    <cellStyle name="Euro 29" xfId="40" xr:uid="{00000000-0005-0000-0000-000027000000}"/>
    <cellStyle name="Euro 3" xfId="41" xr:uid="{00000000-0005-0000-0000-000028000000}"/>
    <cellStyle name="Euro 30" xfId="42" xr:uid="{00000000-0005-0000-0000-000029000000}"/>
    <cellStyle name="Euro 31" xfId="43" xr:uid="{00000000-0005-0000-0000-00002A000000}"/>
    <cellStyle name="Euro 32" xfId="44" xr:uid="{00000000-0005-0000-0000-00002B000000}"/>
    <cellStyle name="Euro 33" xfId="45" xr:uid="{00000000-0005-0000-0000-00002C000000}"/>
    <cellStyle name="Euro 34" xfId="46" xr:uid="{00000000-0005-0000-0000-00002D000000}"/>
    <cellStyle name="Euro 35" xfId="47" xr:uid="{00000000-0005-0000-0000-00002E000000}"/>
    <cellStyle name="Euro 36" xfId="48" xr:uid="{00000000-0005-0000-0000-00002F000000}"/>
    <cellStyle name="Euro 37" xfId="49" xr:uid="{00000000-0005-0000-0000-000030000000}"/>
    <cellStyle name="Euro 38" xfId="50" xr:uid="{00000000-0005-0000-0000-000031000000}"/>
    <cellStyle name="Euro 39" xfId="51" xr:uid="{00000000-0005-0000-0000-000032000000}"/>
    <cellStyle name="Euro 4" xfId="52" xr:uid="{00000000-0005-0000-0000-000033000000}"/>
    <cellStyle name="Euro 40" xfId="53" xr:uid="{00000000-0005-0000-0000-000034000000}"/>
    <cellStyle name="Euro 41" xfId="54" xr:uid="{00000000-0005-0000-0000-000035000000}"/>
    <cellStyle name="Euro 42" xfId="55" xr:uid="{00000000-0005-0000-0000-000036000000}"/>
    <cellStyle name="Euro 43" xfId="56" xr:uid="{00000000-0005-0000-0000-000037000000}"/>
    <cellStyle name="Euro 44" xfId="57" xr:uid="{00000000-0005-0000-0000-000038000000}"/>
    <cellStyle name="Euro 45" xfId="58" xr:uid="{00000000-0005-0000-0000-000039000000}"/>
    <cellStyle name="Euro 46" xfId="59" xr:uid="{00000000-0005-0000-0000-00003A000000}"/>
    <cellStyle name="Euro 47" xfId="60" xr:uid="{00000000-0005-0000-0000-00003B000000}"/>
    <cellStyle name="Euro 48" xfId="61" xr:uid="{00000000-0005-0000-0000-00003C000000}"/>
    <cellStyle name="Euro 49" xfId="62" xr:uid="{00000000-0005-0000-0000-00003D000000}"/>
    <cellStyle name="Euro 5" xfId="63" xr:uid="{00000000-0005-0000-0000-00003E000000}"/>
    <cellStyle name="Euro 50" xfId="64" xr:uid="{00000000-0005-0000-0000-00003F000000}"/>
    <cellStyle name="Euro 51" xfId="65" xr:uid="{00000000-0005-0000-0000-000040000000}"/>
    <cellStyle name="Euro 52" xfId="66" xr:uid="{00000000-0005-0000-0000-000041000000}"/>
    <cellStyle name="Euro 53" xfId="67" xr:uid="{00000000-0005-0000-0000-000042000000}"/>
    <cellStyle name="Euro 54" xfId="68" xr:uid="{00000000-0005-0000-0000-000043000000}"/>
    <cellStyle name="Euro 55" xfId="69" xr:uid="{00000000-0005-0000-0000-000044000000}"/>
    <cellStyle name="Euro 56" xfId="70" xr:uid="{00000000-0005-0000-0000-000045000000}"/>
    <cellStyle name="Euro 57" xfId="71" xr:uid="{00000000-0005-0000-0000-000046000000}"/>
    <cellStyle name="Euro 58" xfId="72" xr:uid="{00000000-0005-0000-0000-000047000000}"/>
    <cellStyle name="Euro 59" xfId="73" xr:uid="{00000000-0005-0000-0000-000048000000}"/>
    <cellStyle name="Euro 6" xfId="74" xr:uid="{00000000-0005-0000-0000-000049000000}"/>
    <cellStyle name="Euro 60" xfId="75" xr:uid="{00000000-0005-0000-0000-00004A000000}"/>
    <cellStyle name="Euro 61" xfId="76" xr:uid="{00000000-0005-0000-0000-00004B000000}"/>
    <cellStyle name="Euro 62" xfId="77" xr:uid="{00000000-0005-0000-0000-00004C000000}"/>
    <cellStyle name="Euro 63" xfId="78" xr:uid="{00000000-0005-0000-0000-00004D000000}"/>
    <cellStyle name="Euro 64" xfId="79" xr:uid="{00000000-0005-0000-0000-00004E000000}"/>
    <cellStyle name="Euro 7" xfId="80" xr:uid="{00000000-0005-0000-0000-00004F000000}"/>
    <cellStyle name="Euro 8" xfId="81" xr:uid="{00000000-0005-0000-0000-000050000000}"/>
    <cellStyle name="Euro 9" xfId="82" xr:uid="{00000000-0005-0000-0000-000051000000}"/>
    <cellStyle name="Euro_Cédulas 12-31-2009" xfId="83" xr:uid="{00000000-0005-0000-0000-000052000000}"/>
    <cellStyle name="Hipervínculo 2" xfId="84" xr:uid="{00000000-0005-0000-0000-000053000000}"/>
    <cellStyle name="Hipervínculo 3" xfId="85" xr:uid="{00000000-0005-0000-0000-000054000000}"/>
    <cellStyle name="Hipervínculo 4" xfId="86" xr:uid="{00000000-0005-0000-0000-000055000000}"/>
    <cellStyle name="Hipervínculo 5" xfId="87" xr:uid="{00000000-0005-0000-0000-000056000000}"/>
    <cellStyle name="Hipervínculo 6" xfId="88" xr:uid="{00000000-0005-0000-0000-000057000000}"/>
    <cellStyle name="Millares [0] 10" xfId="89" xr:uid="{00000000-0005-0000-0000-000059000000}"/>
    <cellStyle name="Millares [0] 11" xfId="90" xr:uid="{00000000-0005-0000-0000-00005A000000}"/>
    <cellStyle name="Millares [0] 12" xfId="91" xr:uid="{00000000-0005-0000-0000-00005B000000}"/>
    <cellStyle name="Millares [0] 13" xfId="92" xr:uid="{00000000-0005-0000-0000-00005C000000}"/>
    <cellStyle name="Millares [0] 14" xfId="93" xr:uid="{00000000-0005-0000-0000-00005D000000}"/>
    <cellStyle name="Millares [0] 15" xfId="94" xr:uid="{00000000-0005-0000-0000-00005E000000}"/>
    <cellStyle name="Millares [0] 16" xfId="95" xr:uid="{00000000-0005-0000-0000-00005F000000}"/>
    <cellStyle name="Millares [0] 17" xfId="96" xr:uid="{00000000-0005-0000-0000-000060000000}"/>
    <cellStyle name="Millares [0] 18" xfId="97" xr:uid="{00000000-0005-0000-0000-000061000000}"/>
    <cellStyle name="Millares [0] 19" xfId="98" xr:uid="{00000000-0005-0000-0000-000062000000}"/>
    <cellStyle name="Millares [0] 2" xfId="99" xr:uid="{00000000-0005-0000-0000-000063000000}"/>
    <cellStyle name="Millares [0] 20" xfId="100" xr:uid="{00000000-0005-0000-0000-000064000000}"/>
    <cellStyle name="Millares [0] 21" xfId="101" xr:uid="{00000000-0005-0000-0000-000065000000}"/>
    <cellStyle name="Millares [0] 22" xfId="102" xr:uid="{00000000-0005-0000-0000-000066000000}"/>
    <cellStyle name="Millares [0] 23" xfId="103" xr:uid="{00000000-0005-0000-0000-000067000000}"/>
    <cellStyle name="Millares [0] 24" xfId="104" xr:uid="{00000000-0005-0000-0000-000068000000}"/>
    <cellStyle name="Millares [0] 25" xfId="105" xr:uid="{00000000-0005-0000-0000-000069000000}"/>
    <cellStyle name="Millares [0] 26" xfId="106" xr:uid="{00000000-0005-0000-0000-00006A000000}"/>
    <cellStyle name="Millares [0] 27" xfId="107" xr:uid="{00000000-0005-0000-0000-00006B000000}"/>
    <cellStyle name="Millares [0] 28" xfId="108" xr:uid="{00000000-0005-0000-0000-00006C000000}"/>
    <cellStyle name="Millares [0] 29" xfId="109" xr:uid="{00000000-0005-0000-0000-00006D000000}"/>
    <cellStyle name="Millares [0] 3" xfId="110" xr:uid="{00000000-0005-0000-0000-00006E000000}"/>
    <cellStyle name="Millares [0] 30" xfId="111" xr:uid="{00000000-0005-0000-0000-00006F000000}"/>
    <cellStyle name="Millares [0] 31" xfId="112" xr:uid="{00000000-0005-0000-0000-000070000000}"/>
    <cellStyle name="Millares [0] 32" xfId="113" xr:uid="{00000000-0005-0000-0000-000071000000}"/>
    <cellStyle name="Millares [0] 33" xfId="114" xr:uid="{00000000-0005-0000-0000-000072000000}"/>
    <cellStyle name="Millares [0] 34" xfId="115" xr:uid="{00000000-0005-0000-0000-000073000000}"/>
    <cellStyle name="Millares [0] 35" xfId="116" xr:uid="{00000000-0005-0000-0000-000074000000}"/>
    <cellStyle name="Millares [0] 36" xfId="117" xr:uid="{00000000-0005-0000-0000-000075000000}"/>
    <cellStyle name="Millares [0] 37" xfId="118" xr:uid="{00000000-0005-0000-0000-000076000000}"/>
    <cellStyle name="Millares [0] 38" xfId="119" xr:uid="{00000000-0005-0000-0000-000077000000}"/>
    <cellStyle name="Millares [0] 39" xfId="120" xr:uid="{00000000-0005-0000-0000-000078000000}"/>
    <cellStyle name="Millares [0] 4" xfId="121" xr:uid="{00000000-0005-0000-0000-000079000000}"/>
    <cellStyle name="Millares [0] 40" xfId="122" xr:uid="{00000000-0005-0000-0000-00007A000000}"/>
    <cellStyle name="Millares [0] 41" xfId="123" xr:uid="{00000000-0005-0000-0000-00007B000000}"/>
    <cellStyle name="Millares [0] 42" xfId="124" xr:uid="{00000000-0005-0000-0000-00007C000000}"/>
    <cellStyle name="Millares [0] 43" xfId="125" xr:uid="{00000000-0005-0000-0000-00007D000000}"/>
    <cellStyle name="Millares [0] 44" xfId="126" xr:uid="{00000000-0005-0000-0000-00007E000000}"/>
    <cellStyle name="Millares [0] 45" xfId="127" xr:uid="{00000000-0005-0000-0000-00007F000000}"/>
    <cellStyle name="Millares [0] 46" xfId="128" xr:uid="{00000000-0005-0000-0000-000080000000}"/>
    <cellStyle name="Millares [0] 47" xfId="129" xr:uid="{00000000-0005-0000-0000-000081000000}"/>
    <cellStyle name="Millares [0] 48" xfId="130" xr:uid="{00000000-0005-0000-0000-000082000000}"/>
    <cellStyle name="Millares [0] 49" xfId="131" xr:uid="{00000000-0005-0000-0000-000083000000}"/>
    <cellStyle name="Millares [0] 5" xfId="132" xr:uid="{00000000-0005-0000-0000-000084000000}"/>
    <cellStyle name="Millares [0] 50" xfId="133" xr:uid="{00000000-0005-0000-0000-000085000000}"/>
    <cellStyle name="Millares [0] 51" xfId="134" xr:uid="{00000000-0005-0000-0000-000086000000}"/>
    <cellStyle name="Millares [0] 52" xfId="135" xr:uid="{00000000-0005-0000-0000-000087000000}"/>
    <cellStyle name="Millares [0] 53" xfId="136" xr:uid="{00000000-0005-0000-0000-000088000000}"/>
    <cellStyle name="Millares [0] 54" xfId="137" xr:uid="{00000000-0005-0000-0000-000089000000}"/>
    <cellStyle name="Millares [0] 55" xfId="138" xr:uid="{00000000-0005-0000-0000-00008A000000}"/>
    <cellStyle name="Millares [0] 56" xfId="139" xr:uid="{00000000-0005-0000-0000-00008B000000}"/>
    <cellStyle name="Millares [0] 57" xfId="140" xr:uid="{00000000-0005-0000-0000-00008C000000}"/>
    <cellStyle name="Millares [0] 6" xfId="141" xr:uid="{00000000-0005-0000-0000-00008D000000}"/>
    <cellStyle name="Millares [0] 7" xfId="142" xr:uid="{00000000-0005-0000-0000-00008E000000}"/>
    <cellStyle name="Millares [0] 8" xfId="143" xr:uid="{00000000-0005-0000-0000-00008F000000}"/>
    <cellStyle name="Millares [0] 9" xfId="144" xr:uid="{00000000-0005-0000-0000-000090000000}"/>
    <cellStyle name="Millares 10" xfId="145" xr:uid="{00000000-0005-0000-0000-000091000000}"/>
    <cellStyle name="Millares 106" xfId="146" xr:uid="{00000000-0005-0000-0000-000092000000}"/>
    <cellStyle name="Millares 11" xfId="147" xr:uid="{00000000-0005-0000-0000-000093000000}"/>
    <cellStyle name="Millares 12" xfId="148" xr:uid="{00000000-0005-0000-0000-000094000000}"/>
    <cellStyle name="Millares 13" xfId="149" xr:uid="{00000000-0005-0000-0000-000095000000}"/>
    <cellStyle name="Millares 14" xfId="150" xr:uid="{00000000-0005-0000-0000-000096000000}"/>
    <cellStyle name="Millares 15" xfId="151" xr:uid="{00000000-0005-0000-0000-000097000000}"/>
    <cellStyle name="Millares 16" xfId="152" xr:uid="{00000000-0005-0000-0000-000098000000}"/>
    <cellStyle name="Millares 16 2" xfId="153" xr:uid="{00000000-0005-0000-0000-000099000000}"/>
    <cellStyle name="Millares 16 2 2" xfId="154" xr:uid="{00000000-0005-0000-0000-00009A000000}"/>
    <cellStyle name="Millares 17" xfId="155" xr:uid="{00000000-0005-0000-0000-00009B000000}"/>
    <cellStyle name="Millares 17 2" xfId="156" xr:uid="{00000000-0005-0000-0000-00009C000000}"/>
    <cellStyle name="Millares 17 2 2" xfId="157" xr:uid="{00000000-0005-0000-0000-00009D000000}"/>
    <cellStyle name="Millares 17_R8-001 Papeles de Trabajo 2009 betsy" xfId="158" xr:uid="{00000000-0005-0000-0000-00009E000000}"/>
    <cellStyle name="Millares 18" xfId="8" xr:uid="{00000000-0005-0000-0000-00009F000000}"/>
    <cellStyle name="Millares 18 2" xfId="159" xr:uid="{00000000-0005-0000-0000-0000A0000000}"/>
    <cellStyle name="Millares 19" xfId="160" xr:uid="{00000000-0005-0000-0000-0000A1000000}"/>
    <cellStyle name="Millares 2" xfId="161" xr:uid="{00000000-0005-0000-0000-0000A2000000}"/>
    <cellStyle name="Millares 2 2" xfId="162" xr:uid="{00000000-0005-0000-0000-0000A3000000}"/>
    <cellStyle name="Millares 2 3" xfId="563" xr:uid="{00000000-0005-0000-0000-0000A4000000}"/>
    <cellStyle name="Millares 2_Cédulas 12-31-2009" xfId="163" xr:uid="{00000000-0005-0000-0000-0000A5000000}"/>
    <cellStyle name="Millares 20" xfId="164" xr:uid="{00000000-0005-0000-0000-0000A6000000}"/>
    <cellStyle name="Millares 21" xfId="165" xr:uid="{00000000-0005-0000-0000-0000A7000000}"/>
    <cellStyle name="Millares 21 2" xfId="166" xr:uid="{00000000-0005-0000-0000-0000A8000000}"/>
    <cellStyle name="Millares 21_R8-001 Papeles de Trabajo 2009 betsy" xfId="167" xr:uid="{00000000-0005-0000-0000-0000A9000000}"/>
    <cellStyle name="Millares 22" xfId="168" xr:uid="{00000000-0005-0000-0000-0000AA000000}"/>
    <cellStyle name="Millares 23" xfId="169" xr:uid="{00000000-0005-0000-0000-0000AB000000}"/>
    <cellStyle name="Millares 24" xfId="170" xr:uid="{00000000-0005-0000-0000-0000AC000000}"/>
    <cellStyle name="Millares 25" xfId="171" xr:uid="{00000000-0005-0000-0000-0000AD000000}"/>
    <cellStyle name="Millares 26" xfId="172" xr:uid="{00000000-0005-0000-0000-0000AE000000}"/>
    <cellStyle name="Millares 27" xfId="173" xr:uid="{00000000-0005-0000-0000-0000AF000000}"/>
    <cellStyle name="Millares 28" xfId="174" xr:uid="{00000000-0005-0000-0000-0000B0000000}"/>
    <cellStyle name="Millares 29" xfId="175" xr:uid="{00000000-0005-0000-0000-0000B1000000}"/>
    <cellStyle name="Millares 3" xfId="176" xr:uid="{00000000-0005-0000-0000-0000B2000000}"/>
    <cellStyle name="Millares 3 10" xfId="177" xr:uid="{00000000-0005-0000-0000-0000B3000000}"/>
    <cellStyle name="Millares 3 11" xfId="178" xr:uid="{00000000-0005-0000-0000-0000B4000000}"/>
    <cellStyle name="Millares 3 12" xfId="179" xr:uid="{00000000-0005-0000-0000-0000B5000000}"/>
    <cellStyle name="Millares 3 13" xfId="180" xr:uid="{00000000-0005-0000-0000-0000B6000000}"/>
    <cellStyle name="Millares 3 14" xfId="562" xr:uid="{00000000-0005-0000-0000-0000B7000000}"/>
    <cellStyle name="Millares 3 2" xfId="181" xr:uid="{00000000-0005-0000-0000-0000B8000000}"/>
    <cellStyle name="Millares 3 3" xfId="182" xr:uid="{00000000-0005-0000-0000-0000B9000000}"/>
    <cellStyle name="Millares 3 4" xfId="183" xr:uid="{00000000-0005-0000-0000-0000BA000000}"/>
    <cellStyle name="Millares 3 5" xfId="184" xr:uid="{00000000-0005-0000-0000-0000BB000000}"/>
    <cellStyle name="Millares 3 6" xfId="185" xr:uid="{00000000-0005-0000-0000-0000BC000000}"/>
    <cellStyle name="Millares 3 7" xfId="186" xr:uid="{00000000-0005-0000-0000-0000BD000000}"/>
    <cellStyle name="Millares 3 8" xfId="187" xr:uid="{00000000-0005-0000-0000-0000BE000000}"/>
    <cellStyle name="Millares 3 9" xfId="188" xr:uid="{00000000-0005-0000-0000-0000BF000000}"/>
    <cellStyle name="Millares 3_Cédulas 12-31-2009" xfId="189" xr:uid="{00000000-0005-0000-0000-0000C0000000}"/>
    <cellStyle name="Millares 30" xfId="190" xr:uid="{00000000-0005-0000-0000-0000C1000000}"/>
    <cellStyle name="Millares 31" xfId="191" xr:uid="{00000000-0005-0000-0000-0000C2000000}"/>
    <cellStyle name="Millares 32" xfId="192" xr:uid="{00000000-0005-0000-0000-0000C3000000}"/>
    <cellStyle name="Millares 33" xfId="193" xr:uid="{00000000-0005-0000-0000-0000C4000000}"/>
    <cellStyle name="Millares 34" xfId="194" xr:uid="{00000000-0005-0000-0000-0000C5000000}"/>
    <cellStyle name="Millares 35" xfId="195" xr:uid="{00000000-0005-0000-0000-0000C6000000}"/>
    <cellStyle name="Millares 36" xfId="196" xr:uid="{00000000-0005-0000-0000-0000C7000000}"/>
    <cellStyle name="Millares 37" xfId="197" xr:uid="{00000000-0005-0000-0000-0000C8000000}"/>
    <cellStyle name="Millares 38" xfId="198" xr:uid="{00000000-0005-0000-0000-0000C9000000}"/>
    <cellStyle name="Millares 39" xfId="199" xr:uid="{00000000-0005-0000-0000-0000CA000000}"/>
    <cellStyle name="Millares 4" xfId="200" xr:uid="{00000000-0005-0000-0000-0000CB000000}"/>
    <cellStyle name="Millares 4 2" xfId="201" xr:uid="{00000000-0005-0000-0000-0000CC000000}"/>
    <cellStyle name="Millares 4 2 2" xfId="202" xr:uid="{00000000-0005-0000-0000-0000CD000000}"/>
    <cellStyle name="Millares 4 3" xfId="203" xr:uid="{00000000-0005-0000-0000-0000CE000000}"/>
    <cellStyle name="Millares 4 4" xfId="204" xr:uid="{00000000-0005-0000-0000-0000CF000000}"/>
    <cellStyle name="Millares 4 4 2" xfId="205" xr:uid="{00000000-0005-0000-0000-0000D0000000}"/>
    <cellStyle name="Millares 4_DIRECTORIO OCTUBRE 2008 REAL (VERSION 3) (3)" xfId="206" xr:uid="{00000000-0005-0000-0000-0000D1000000}"/>
    <cellStyle name="Millares 40" xfId="207" xr:uid="{00000000-0005-0000-0000-0000D2000000}"/>
    <cellStyle name="Millares 41" xfId="208" xr:uid="{00000000-0005-0000-0000-0000D3000000}"/>
    <cellStyle name="Millares 42" xfId="209" xr:uid="{00000000-0005-0000-0000-0000D4000000}"/>
    <cellStyle name="Millares 43" xfId="210" xr:uid="{00000000-0005-0000-0000-0000D5000000}"/>
    <cellStyle name="Millares 44" xfId="211" xr:uid="{00000000-0005-0000-0000-0000D6000000}"/>
    <cellStyle name="Millares 45" xfId="212" xr:uid="{00000000-0005-0000-0000-0000D7000000}"/>
    <cellStyle name="Millares 46" xfId="213" xr:uid="{00000000-0005-0000-0000-0000D8000000}"/>
    <cellStyle name="Millares 47" xfId="214" xr:uid="{00000000-0005-0000-0000-0000D9000000}"/>
    <cellStyle name="Millares 48" xfId="215" xr:uid="{00000000-0005-0000-0000-0000DA000000}"/>
    <cellStyle name="Millares 49" xfId="216" xr:uid="{00000000-0005-0000-0000-0000DB000000}"/>
    <cellStyle name="Millares 49 2" xfId="217" xr:uid="{00000000-0005-0000-0000-0000DC000000}"/>
    <cellStyle name="Millares 5" xfId="218" xr:uid="{00000000-0005-0000-0000-0000DD000000}"/>
    <cellStyle name="Millares 50" xfId="219" xr:uid="{00000000-0005-0000-0000-0000DE000000}"/>
    <cellStyle name="Millares 50 2" xfId="220" xr:uid="{00000000-0005-0000-0000-0000DF000000}"/>
    <cellStyle name="Millares 51" xfId="221" xr:uid="{00000000-0005-0000-0000-0000E0000000}"/>
    <cellStyle name="Millares 51 2" xfId="222" xr:uid="{00000000-0005-0000-0000-0000E1000000}"/>
    <cellStyle name="Millares 52" xfId="223" xr:uid="{00000000-0005-0000-0000-0000E2000000}"/>
    <cellStyle name="Millares 53" xfId="224" xr:uid="{00000000-0005-0000-0000-0000E3000000}"/>
    <cellStyle name="Millares 54" xfId="225" xr:uid="{00000000-0005-0000-0000-0000E4000000}"/>
    <cellStyle name="Millares 55" xfId="226" xr:uid="{00000000-0005-0000-0000-0000E5000000}"/>
    <cellStyle name="Millares 56" xfId="227" xr:uid="{00000000-0005-0000-0000-0000E6000000}"/>
    <cellStyle name="Millares 57" xfId="228" xr:uid="{00000000-0005-0000-0000-0000E7000000}"/>
    <cellStyle name="Millares 58" xfId="229" xr:uid="{00000000-0005-0000-0000-0000E8000000}"/>
    <cellStyle name="Millares 59" xfId="230" xr:uid="{00000000-0005-0000-0000-0000E9000000}"/>
    <cellStyle name="Millares 6" xfId="231" xr:uid="{00000000-0005-0000-0000-0000EA000000}"/>
    <cellStyle name="Millares 60" xfId="232" xr:uid="{00000000-0005-0000-0000-0000EB000000}"/>
    <cellStyle name="Millares 61" xfId="233" xr:uid="{00000000-0005-0000-0000-0000EC000000}"/>
    <cellStyle name="Millares 62" xfId="234" xr:uid="{00000000-0005-0000-0000-0000ED000000}"/>
    <cellStyle name="Millares 63" xfId="235" xr:uid="{00000000-0005-0000-0000-0000EE000000}"/>
    <cellStyle name="Millares 63 2" xfId="236" xr:uid="{00000000-0005-0000-0000-0000EF000000}"/>
    <cellStyle name="Millares 64" xfId="237" xr:uid="{00000000-0005-0000-0000-0000F0000000}"/>
    <cellStyle name="Millares 65" xfId="238" xr:uid="{00000000-0005-0000-0000-0000F1000000}"/>
    <cellStyle name="Millares 65 2" xfId="239" xr:uid="{00000000-0005-0000-0000-0000F2000000}"/>
    <cellStyle name="Millares 66" xfId="240" xr:uid="{00000000-0005-0000-0000-0000F3000000}"/>
    <cellStyle name="Millares 67" xfId="4" xr:uid="{00000000-0005-0000-0000-0000F4000000}"/>
    <cellStyle name="Millares 68" xfId="558" xr:uid="{00000000-0005-0000-0000-0000F5000000}"/>
    <cellStyle name="Millares 69" xfId="567" xr:uid="{00000000-0005-0000-0000-0000F6000000}"/>
    <cellStyle name="Millares 7" xfId="241" xr:uid="{00000000-0005-0000-0000-0000F7000000}"/>
    <cellStyle name="Millares 7 2" xfId="242" xr:uid="{00000000-0005-0000-0000-0000F8000000}"/>
    <cellStyle name="Millares 7_Cédulas 12-31-2009" xfId="243" xr:uid="{00000000-0005-0000-0000-0000F9000000}"/>
    <cellStyle name="Millares 8" xfId="244" xr:uid="{00000000-0005-0000-0000-0000FA000000}"/>
    <cellStyle name="Millares 8 2" xfId="245" xr:uid="{00000000-0005-0000-0000-0000FB000000}"/>
    <cellStyle name="Millares 9" xfId="246" xr:uid="{00000000-0005-0000-0000-0000FC000000}"/>
    <cellStyle name="Millares 9 2" xfId="247" xr:uid="{00000000-0005-0000-0000-0000FD000000}"/>
    <cellStyle name="Millares 9 2 2" xfId="248" xr:uid="{00000000-0005-0000-0000-0000FE000000}"/>
    <cellStyle name="Millares 9_Cédulas 12-31-2009" xfId="249" xr:uid="{00000000-0005-0000-0000-0000FF000000}"/>
    <cellStyle name="Moneda 2" xfId="250" xr:uid="{00000000-0005-0000-0000-000001010000}"/>
    <cellStyle name="Moneda 3" xfId="251" xr:uid="{00000000-0005-0000-0000-000002010000}"/>
    <cellStyle name="No-definido" xfId="252" xr:uid="{00000000-0005-0000-0000-000003010000}"/>
    <cellStyle name="Normal" xfId="0" builtinId="0"/>
    <cellStyle name="Normal 10" xfId="253" xr:uid="{00000000-0005-0000-0000-000005010000}"/>
    <cellStyle name="Normal 10 2" xfId="7" xr:uid="{00000000-0005-0000-0000-000006010000}"/>
    <cellStyle name="Normal 10 3" xfId="254" xr:uid="{00000000-0005-0000-0000-000007010000}"/>
    <cellStyle name="Normal 10 4" xfId="255" xr:uid="{00000000-0005-0000-0000-000008010000}"/>
    <cellStyle name="Normal 10 5" xfId="256" xr:uid="{00000000-0005-0000-0000-000009010000}"/>
    <cellStyle name="Normal 10 6" xfId="257" xr:uid="{00000000-0005-0000-0000-00000A010000}"/>
    <cellStyle name="Normal 10_R8-001 Papeles de Trabajo 2009 betsy" xfId="258" xr:uid="{00000000-0005-0000-0000-00000B010000}"/>
    <cellStyle name="Normal 11" xfId="259" xr:uid="{00000000-0005-0000-0000-00000C010000}"/>
    <cellStyle name="Normal 11 2" xfId="260" xr:uid="{00000000-0005-0000-0000-00000D010000}"/>
    <cellStyle name="Normal 11 3" xfId="261" xr:uid="{00000000-0005-0000-0000-00000E010000}"/>
    <cellStyle name="Normal 11 4" xfId="262" xr:uid="{00000000-0005-0000-0000-00000F010000}"/>
    <cellStyle name="Normal 11 5" xfId="263" xr:uid="{00000000-0005-0000-0000-000010010000}"/>
    <cellStyle name="Normal 11 6" xfId="264" xr:uid="{00000000-0005-0000-0000-000011010000}"/>
    <cellStyle name="Normal 11 7" xfId="6" xr:uid="{00000000-0005-0000-0000-000012010000}"/>
    <cellStyle name="Normal 12" xfId="265" xr:uid="{00000000-0005-0000-0000-000013010000}"/>
    <cellStyle name="Normal 12 2" xfId="266" xr:uid="{00000000-0005-0000-0000-000014010000}"/>
    <cellStyle name="Normal 12 3" xfId="267" xr:uid="{00000000-0005-0000-0000-000015010000}"/>
    <cellStyle name="Normal 12 4" xfId="268" xr:uid="{00000000-0005-0000-0000-000016010000}"/>
    <cellStyle name="Normal 12 5" xfId="269" xr:uid="{00000000-0005-0000-0000-000017010000}"/>
    <cellStyle name="Normal 12 6" xfId="270" xr:uid="{00000000-0005-0000-0000-000018010000}"/>
    <cellStyle name="Normal 13" xfId="271" xr:uid="{00000000-0005-0000-0000-000019010000}"/>
    <cellStyle name="Normal 13 2" xfId="272" xr:uid="{00000000-0005-0000-0000-00001A010000}"/>
    <cellStyle name="Normal 13 3" xfId="273" xr:uid="{00000000-0005-0000-0000-00001B010000}"/>
    <cellStyle name="Normal 13 4" xfId="274" xr:uid="{00000000-0005-0000-0000-00001C010000}"/>
    <cellStyle name="Normal 13 5" xfId="275" xr:uid="{00000000-0005-0000-0000-00001D010000}"/>
    <cellStyle name="Normal 13 6" xfId="276" xr:uid="{00000000-0005-0000-0000-00001E010000}"/>
    <cellStyle name="Normal 13_Cédulas 12-31-2009" xfId="277" xr:uid="{00000000-0005-0000-0000-00001F010000}"/>
    <cellStyle name="Normal 14" xfId="278" xr:uid="{00000000-0005-0000-0000-000020010000}"/>
    <cellStyle name="Normal 14 2" xfId="279" xr:uid="{00000000-0005-0000-0000-000021010000}"/>
    <cellStyle name="Normal 14 3" xfId="280" xr:uid="{00000000-0005-0000-0000-000022010000}"/>
    <cellStyle name="Normal 14 4" xfId="281" xr:uid="{00000000-0005-0000-0000-000023010000}"/>
    <cellStyle name="Normal 14 5" xfId="282" xr:uid="{00000000-0005-0000-0000-000024010000}"/>
    <cellStyle name="Normal 14 6" xfId="283" xr:uid="{00000000-0005-0000-0000-000025010000}"/>
    <cellStyle name="Normal 15" xfId="284" xr:uid="{00000000-0005-0000-0000-000026010000}"/>
    <cellStyle name="Normal 15 2" xfId="285" xr:uid="{00000000-0005-0000-0000-000027010000}"/>
    <cellStyle name="Normal 15 3" xfId="286" xr:uid="{00000000-0005-0000-0000-000028010000}"/>
    <cellStyle name="Normal 15 4" xfId="287" xr:uid="{00000000-0005-0000-0000-000029010000}"/>
    <cellStyle name="Normal 15 5" xfId="288" xr:uid="{00000000-0005-0000-0000-00002A010000}"/>
    <cellStyle name="Normal 15 6" xfId="289" xr:uid="{00000000-0005-0000-0000-00002B010000}"/>
    <cellStyle name="Normal 16" xfId="290" xr:uid="{00000000-0005-0000-0000-00002C010000}"/>
    <cellStyle name="Normal 16 2" xfId="291" xr:uid="{00000000-0005-0000-0000-00002D010000}"/>
    <cellStyle name="Normal 16 3" xfId="292" xr:uid="{00000000-0005-0000-0000-00002E010000}"/>
    <cellStyle name="Normal 16 4" xfId="293" xr:uid="{00000000-0005-0000-0000-00002F010000}"/>
    <cellStyle name="Normal 16 5" xfId="294" xr:uid="{00000000-0005-0000-0000-000030010000}"/>
    <cellStyle name="Normal 16 6" xfId="295" xr:uid="{00000000-0005-0000-0000-000031010000}"/>
    <cellStyle name="Normal 17" xfId="296" xr:uid="{00000000-0005-0000-0000-000032010000}"/>
    <cellStyle name="Normal 17 2" xfId="297" xr:uid="{00000000-0005-0000-0000-000033010000}"/>
    <cellStyle name="Normal 17 3" xfId="298" xr:uid="{00000000-0005-0000-0000-000034010000}"/>
    <cellStyle name="Normal 17 4" xfId="299" xr:uid="{00000000-0005-0000-0000-000035010000}"/>
    <cellStyle name="Normal 17 5" xfId="300" xr:uid="{00000000-0005-0000-0000-000036010000}"/>
    <cellStyle name="Normal 17 6" xfId="301" xr:uid="{00000000-0005-0000-0000-000037010000}"/>
    <cellStyle name="Normal 18" xfId="302" xr:uid="{00000000-0005-0000-0000-000038010000}"/>
    <cellStyle name="Normal 18 2" xfId="303" xr:uid="{00000000-0005-0000-0000-000039010000}"/>
    <cellStyle name="Normal 18 3" xfId="304" xr:uid="{00000000-0005-0000-0000-00003A010000}"/>
    <cellStyle name="Normal 18 4" xfId="305" xr:uid="{00000000-0005-0000-0000-00003B010000}"/>
    <cellStyle name="Normal 18 5" xfId="306" xr:uid="{00000000-0005-0000-0000-00003C010000}"/>
    <cellStyle name="Normal 18 6" xfId="307" xr:uid="{00000000-0005-0000-0000-00003D010000}"/>
    <cellStyle name="Normal 19" xfId="308" xr:uid="{00000000-0005-0000-0000-00003E010000}"/>
    <cellStyle name="Normal 19 2" xfId="309" xr:uid="{00000000-0005-0000-0000-00003F010000}"/>
    <cellStyle name="Normal 19 3" xfId="310" xr:uid="{00000000-0005-0000-0000-000040010000}"/>
    <cellStyle name="Normal 19 4" xfId="311" xr:uid="{00000000-0005-0000-0000-000041010000}"/>
    <cellStyle name="Normal 19 5" xfId="312" xr:uid="{00000000-0005-0000-0000-000042010000}"/>
    <cellStyle name="Normal 19 6" xfId="313" xr:uid="{00000000-0005-0000-0000-000043010000}"/>
    <cellStyle name="Normal 2" xfId="5" xr:uid="{00000000-0005-0000-0000-000044010000}"/>
    <cellStyle name="Normal 2 10" xfId="584" xr:uid="{00000000-0005-0000-0000-000045010000}"/>
    <cellStyle name="Normal 2 2" xfId="314" xr:uid="{00000000-0005-0000-0000-000046010000}"/>
    <cellStyle name="Normal 2 2 2" xfId="315" xr:uid="{00000000-0005-0000-0000-000047010000}"/>
    <cellStyle name="Normal 2 2_Cédulas 12-31-2009" xfId="316" xr:uid="{00000000-0005-0000-0000-000048010000}"/>
    <cellStyle name="Normal 2 3" xfId="317" xr:uid="{00000000-0005-0000-0000-000049010000}"/>
    <cellStyle name="Normal 2 3 2" xfId="576" xr:uid="{00000000-0005-0000-0000-00004A010000}"/>
    <cellStyle name="Normal 2 4" xfId="318" xr:uid="{00000000-0005-0000-0000-00004B010000}"/>
    <cellStyle name="Normal 2 5" xfId="319" xr:uid="{00000000-0005-0000-0000-00004C010000}"/>
    <cellStyle name="Normal 2 6" xfId="564" xr:uid="{00000000-0005-0000-0000-00004D010000}"/>
    <cellStyle name="Normal 2 7" xfId="574" xr:uid="{00000000-0005-0000-0000-00004E010000}"/>
    <cellStyle name="Normal 2_AF Y SUELDOS" xfId="320" xr:uid="{00000000-0005-0000-0000-00004F010000}"/>
    <cellStyle name="Normal 20" xfId="321" xr:uid="{00000000-0005-0000-0000-000050010000}"/>
    <cellStyle name="Normal 21" xfId="322" xr:uid="{00000000-0005-0000-0000-000051010000}"/>
    <cellStyle name="Normal 21 2" xfId="323" xr:uid="{00000000-0005-0000-0000-000052010000}"/>
    <cellStyle name="Normal 21 3" xfId="324" xr:uid="{00000000-0005-0000-0000-000053010000}"/>
    <cellStyle name="Normal 21 4" xfId="325" xr:uid="{00000000-0005-0000-0000-000054010000}"/>
    <cellStyle name="Normal 21 5" xfId="326" xr:uid="{00000000-0005-0000-0000-000055010000}"/>
    <cellStyle name="Normal 21 6" xfId="327" xr:uid="{00000000-0005-0000-0000-000056010000}"/>
    <cellStyle name="Normal 22" xfId="328" xr:uid="{00000000-0005-0000-0000-000057010000}"/>
    <cellStyle name="Normal 22 2" xfId="329" xr:uid="{00000000-0005-0000-0000-000058010000}"/>
    <cellStyle name="Normal 22 3" xfId="330" xr:uid="{00000000-0005-0000-0000-000059010000}"/>
    <cellStyle name="Normal 22 4" xfId="331" xr:uid="{00000000-0005-0000-0000-00005A010000}"/>
    <cellStyle name="Normal 22 5" xfId="332" xr:uid="{00000000-0005-0000-0000-00005B010000}"/>
    <cellStyle name="Normal 22 6" xfId="333" xr:uid="{00000000-0005-0000-0000-00005C010000}"/>
    <cellStyle name="Normal 23" xfId="334" xr:uid="{00000000-0005-0000-0000-00005D010000}"/>
    <cellStyle name="Normal 23 2" xfId="335" xr:uid="{00000000-0005-0000-0000-00005E010000}"/>
    <cellStyle name="Normal 23 3" xfId="336" xr:uid="{00000000-0005-0000-0000-00005F010000}"/>
    <cellStyle name="Normal 23 4" xfId="337" xr:uid="{00000000-0005-0000-0000-000060010000}"/>
    <cellStyle name="Normal 23 5" xfId="338" xr:uid="{00000000-0005-0000-0000-000061010000}"/>
    <cellStyle name="Normal 23 6" xfId="339" xr:uid="{00000000-0005-0000-0000-000062010000}"/>
    <cellStyle name="Normal 24" xfId="340" xr:uid="{00000000-0005-0000-0000-000063010000}"/>
    <cellStyle name="Normal 24 2" xfId="341" xr:uid="{00000000-0005-0000-0000-000064010000}"/>
    <cellStyle name="Normal 24 3" xfId="342" xr:uid="{00000000-0005-0000-0000-000065010000}"/>
    <cellStyle name="Normal 24 4" xfId="343" xr:uid="{00000000-0005-0000-0000-000066010000}"/>
    <cellStyle name="Normal 24 5" xfId="344" xr:uid="{00000000-0005-0000-0000-000067010000}"/>
    <cellStyle name="Normal 24 6" xfId="345" xr:uid="{00000000-0005-0000-0000-000068010000}"/>
    <cellStyle name="Normal 25" xfId="346" xr:uid="{00000000-0005-0000-0000-000069010000}"/>
    <cellStyle name="Normal 25 2" xfId="347" xr:uid="{00000000-0005-0000-0000-00006A010000}"/>
    <cellStyle name="Normal 25 3" xfId="348" xr:uid="{00000000-0005-0000-0000-00006B010000}"/>
    <cellStyle name="Normal 25 4" xfId="349" xr:uid="{00000000-0005-0000-0000-00006C010000}"/>
    <cellStyle name="Normal 25 5" xfId="350" xr:uid="{00000000-0005-0000-0000-00006D010000}"/>
    <cellStyle name="Normal 25 6" xfId="351" xr:uid="{00000000-0005-0000-0000-00006E010000}"/>
    <cellStyle name="Normal 26" xfId="352" xr:uid="{00000000-0005-0000-0000-00006F010000}"/>
    <cellStyle name="Normal 26 2" xfId="353" xr:uid="{00000000-0005-0000-0000-000070010000}"/>
    <cellStyle name="Normal 26 3" xfId="354" xr:uid="{00000000-0005-0000-0000-000071010000}"/>
    <cellStyle name="Normal 26 4" xfId="355" xr:uid="{00000000-0005-0000-0000-000072010000}"/>
    <cellStyle name="Normal 26 5" xfId="356" xr:uid="{00000000-0005-0000-0000-000073010000}"/>
    <cellStyle name="Normal 26 6" xfId="357" xr:uid="{00000000-0005-0000-0000-000074010000}"/>
    <cellStyle name="Normal 27" xfId="358" xr:uid="{00000000-0005-0000-0000-000075010000}"/>
    <cellStyle name="Normal 27 2" xfId="359" xr:uid="{00000000-0005-0000-0000-000076010000}"/>
    <cellStyle name="Normal 27 2 3" xfId="581" xr:uid="{00000000-0005-0000-0000-000077010000}"/>
    <cellStyle name="Normal 27 3" xfId="360" xr:uid="{00000000-0005-0000-0000-000078010000}"/>
    <cellStyle name="Normal 27 4" xfId="361" xr:uid="{00000000-0005-0000-0000-000079010000}"/>
    <cellStyle name="Normal 27 5" xfId="362" xr:uid="{00000000-0005-0000-0000-00007A010000}"/>
    <cellStyle name="Normal 27 6" xfId="363" xr:uid="{00000000-0005-0000-0000-00007B010000}"/>
    <cellStyle name="Normal 28" xfId="364" xr:uid="{00000000-0005-0000-0000-00007C010000}"/>
    <cellStyle name="Normal 28 2" xfId="365" xr:uid="{00000000-0005-0000-0000-00007D010000}"/>
    <cellStyle name="Normal 28 3" xfId="366" xr:uid="{00000000-0005-0000-0000-00007E010000}"/>
    <cellStyle name="Normal 28 4" xfId="367" xr:uid="{00000000-0005-0000-0000-00007F010000}"/>
    <cellStyle name="Normal 28 5" xfId="368" xr:uid="{00000000-0005-0000-0000-000080010000}"/>
    <cellStyle name="Normal 28 6" xfId="369" xr:uid="{00000000-0005-0000-0000-000081010000}"/>
    <cellStyle name="Normal 29" xfId="370" xr:uid="{00000000-0005-0000-0000-000082010000}"/>
    <cellStyle name="Normal 29 2" xfId="371" xr:uid="{00000000-0005-0000-0000-000083010000}"/>
    <cellStyle name="Normal 29 3" xfId="372" xr:uid="{00000000-0005-0000-0000-000084010000}"/>
    <cellStyle name="Normal 29 4" xfId="373" xr:uid="{00000000-0005-0000-0000-000085010000}"/>
    <cellStyle name="Normal 29 5" xfId="374" xr:uid="{00000000-0005-0000-0000-000086010000}"/>
    <cellStyle name="Normal 29 6" xfId="375" xr:uid="{00000000-0005-0000-0000-000087010000}"/>
    <cellStyle name="Normal 3" xfId="376" xr:uid="{00000000-0005-0000-0000-000088010000}"/>
    <cellStyle name="Normal 3 10" xfId="377" xr:uid="{00000000-0005-0000-0000-000089010000}"/>
    <cellStyle name="Normal 3 11" xfId="378" xr:uid="{00000000-0005-0000-0000-00008A010000}"/>
    <cellStyle name="Normal 3 12" xfId="379" xr:uid="{00000000-0005-0000-0000-00008B010000}"/>
    <cellStyle name="Normal 3 13" xfId="565" xr:uid="{00000000-0005-0000-0000-00008C010000}"/>
    <cellStyle name="Normal 3 2" xfId="380" xr:uid="{00000000-0005-0000-0000-00008D010000}"/>
    <cellStyle name="Normal 3 3" xfId="381" xr:uid="{00000000-0005-0000-0000-00008E010000}"/>
    <cellStyle name="Normal 3 4" xfId="382" xr:uid="{00000000-0005-0000-0000-00008F010000}"/>
    <cellStyle name="Normal 3 5" xfId="383" xr:uid="{00000000-0005-0000-0000-000090010000}"/>
    <cellStyle name="Normal 3 6" xfId="384" xr:uid="{00000000-0005-0000-0000-000091010000}"/>
    <cellStyle name="Normal 3 7" xfId="385" xr:uid="{00000000-0005-0000-0000-000092010000}"/>
    <cellStyle name="Normal 3 8" xfId="386" xr:uid="{00000000-0005-0000-0000-000093010000}"/>
    <cellStyle name="Normal 3 9" xfId="387" xr:uid="{00000000-0005-0000-0000-000094010000}"/>
    <cellStyle name="Normal 3_Cédulas 12-31-2009" xfId="388" xr:uid="{00000000-0005-0000-0000-000095010000}"/>
    <cellStyle name="Normal 30" xfId="389" xr:uid="{00000000-0005-0000-0000-000096010000}"/>
    <cellStyle name="Normal 30 2" xfId="390" xr:uid="{00000000-0005-0000-0000-000097010000}"/>
    <cellStyle name="Normal 30 3" xfId="391" xr:uid="{00000000-0005-0000-0000-000098010000}"/>
    <cellStyle name="Normal 30 4" xfId="392" xr:uid="{00000000-0005-0000-0000-000099010000}"/>
    <cellStyle name="Normal 30 5" xfId="393" xr:uid="{00000000-0005-0000-0000-00009A010000}"/>
    <cellStyle name="Normal 30 6" xfId="394" xr:uid="{00000000-0005-0000-0000-00009B010000}"/>
    <cellStyle name="Normal 31" xfId="395" xr:uid="{00000000-0005-0000-0000-00009C010000}"/>
    <cellStyle name="Normal 31 2" xfId="396" xr:uid="{00000000-0005-0000-0000-00009D010000}"/>
    <cellStyle name="Normal 31 3" xfId="397" xr:uid="{00000000-0005-0000-0000-00009E010000}"/>
    <cellStyle name="Normal 31 4" xfId="398" xr:uid="{00000000-0005-0000-0000-00009F010000}"/>
    <cellStyle name="Normal 31 5" xfId="399" xr:uid="{00000000-0005-0000-0000-0000A0010000}"/>
    <cellStyle name="Normal 31 6" xfId="400" xr:uid="{00000000-0005-0000-0000-0000A1010000}"/>
    <cellStyle name="Normal 32" xfId="401" xr:uid="{00000000-0005-0000-0000-0000A2010000}"/>
    <cellStyle name="Normal 32 2" xfId="402" xr:uid="{00000000-0005-0000-0000-0000A3010000}"/>
    <cellStyle name="Normal 32 3" xfId="403" xr:uid="{00000000-0005-0000-0000-0000A4010000}"/>
    <cellStyle name="Normal 32 4" xfId="404" xr:uid="{00000000-0005-0000-0000-0000A5010000}"/>
    <cellStyle name="Normal 32 5" xfId="405" xr:uid="{00000000-0005-0000-0000-0000A6010000}"/>
    <cellStyle name="Normal 32 6" xfId="406" xr:uid="{00000000-0005-0000-0000-0000A7010000}"/>
    <cellStyle name="Normal 33" xfId="407" xr:uid="{00000000-0005-0000-0000-0000A8010000}"/>
    <cellStyle name="Normal 33 2" xfId="408" xr:uid="{00000000-0005-0000-0000-0000A9010000}"/>
    <cellStyle name="Normal 33 3" xfId="409" xr:uid="{00000000-0005-0000-0000-0000AA010000}"/>
    <cellStyle name="Normal 33 4" xfId="410" xr:uid="{00000000-0005-0000-0000-0000AB010000}"/>
    <cellStyle name="Normal 33 5" xfId="411" xr:uid="{00000000-0005-0000-0000-0000AC010000}"/>
    <cellStyle name="Normal 33 6" xfId="412" xr:uid="{00000000-0005-0000-0000-0000AD010000}"/>
    <cellStyle name="Normal 34" xfId="413" xr:uid="{00000000-0005-0000-0000-0000AE010000}"/>
    <cellStyle name="Normal 34 2" xfId="414" xr:uid="{00000000-0005-0000-0000-0000AF010000}"/>
    <cellStyle name="Normal 34 3" xfId="415" xr:uid="{00000000-0005-0000-0000-0000B0010000}"/>
    <cellStyle name="Normal 34 4" xfId="416" xr:uid="{00000000-0005-0000-0000-0000B1010000}"/>
    <cellStyle name="Normal 34 5" xfId="417" xr:uid="{00000000-0005-0000-0000-0000B2010000}"/>
    <cellStyle name="Normal 34 6" xfId="418" xr:uid="{00000000-0005-0000-0000-0000B3010000}"/>
    <cellStyle name="Normal 35" xfId="419" xr:uid="{00000000-0005-0000-0000-0000B4010000}"/>
    <cellStyle name="Normal 35 2" xfId="420" xr:uid="{00000000-0005-0000-0000-0000B5010000}"/>
    <cellStyle name="Normal 35 3" xfId="421" xr:uid="{00000000-0005-0000-0000-0000B6010000}"/>
    <cellStyle name="Normal 35 4" xfId="422" xr:uid="{00000000-0005-0000-0000-0000B7010000}"/>
    <cellStyle name="Normal 35 5" xfId="423" xr:uid="{00000000-0005-0000-0000-0000B8010000}"/>
    <cellStyle name="Normal 35 6" xfId="424" xr:uid="{00000000-0005-0000-0000-0000B9010000}"/>
    <cellStyle name="Normal 36" xfId="425" xr:uid="{00000000-0005-0000-0000-0000BA010000}"/>
    <cellStyle name="Normal 36 2" xfId="426" xr:uid="{00000000-0005-0000-0000-0000BB010000}"/>
    <cellStyle name="Normal 36 3" xfId="427" xr:uid="{00000000-0005-0000-0000-0000BC010000}"/>
    <cellStyle name="Normal 36 4" xfId="428" xr:uid="{00000000-0005-0000-0000-0000BD010000}"/>
    <cellStyle name="Normal 36 5" xfId="429" xr:uid="{00000000-0005-0000-0000-0000BE010000}"/>
    <cellStyle name="Normal 36 6" xfId="430" xr:uid="{00000000-0005-0000-0000-0000BF010000}"/>
    <cellStyle name="Normal 37" xfId="431" xr:uid="{00000000-0005-0000-0000-0000C0010000}"/>
    <cellStyle name="Normal 37 2" xfId="432" xr:uid="{00000000-0005-0000-0000-0000C1010000}"/>
    <cellStyle name="Normal 37 3" xfId="433" xr:uid="{00000000-0005-0000-0000-0000C2010000}"/>
    <cellStyle name="Normal 37 4" xfId="434" xr:uid="{00000000-0005-0000-0000-0000C3010000}"/>
    <cellStyle name="Normal 37 5" xfId="435" xr:uid="{00000000-0005-0000-0000-0000C4010000}"/>
    <cellStyle name="Normal 37 6" xfId="436" xr:uid="{00000000-0005-0000-0000-0000C5010000}"/>
    <cellStyle name="Normal 38" xfId="437" xr:uid="{00000000-0005-0000-0000-0000C6010000}"/>
    <cellStyle name="Normal 38 2" xfId="438" xr:uid="{00000000-0005-0000-0000-0000C7010000}"/>
    <cellStyle name="Normal 38 3" xfId="439" xr:uid="{00000000-0005-0000-0000-0000C8010000}"/>
    <cellStyle name="Normal 38 4" xfId="440" xr:uid="{00000000-0005-0000-0000-0000C9010000}"/>
    <cellStyle name="Normal 38 5" xfId="441" xr:uid="{00000000-0005-0000-0000-0000CA010000}"/>
    <cellStyle name="Normal 38 6" xfId="442" xr:uid="{00000000-0005-0000-0000-0000CB010000}"/>
    <cellStyle name="Normal 39" xfId="443" xr:uid="{00000000-0005-0000-0000-0000CC010000}"/>
    <cellStyle name="Normal 39 2" xfId="444" xr:uid="{00000000-0005-0000-0000-0000CD010000}"/>
    <cellStyle name="Normal 39 3" xfId="445" xr:uid="{00000000-0005-0000-0000-0000CE010000}"/>
    <cellStyle name="Normal 39 4" xfId="446" xr:uid="{00000000-0005-0000-0000-0000CF010000}"/>
    <cellStyle name="Normal 39 5" xfId="447" xr:uid="{00000000-0005-0000-0000-0000D0010000}"/>
    <cellStyle name="Normal 39 6" xfId="448" xr:uid="{00000000-0005-0000-0000-0000D1010000}"/>
    <cellStyle name="Normal 4" xfId="449" xr:uid="{00000000-0005-0000-0000-0000D2010000}"/>
    <cellStyle name="Normal 4 2" xfId="566" xr:uid="{00000000-0005-0000-0000-0000D3010000}"/>
    <cellStyle name="Normal 40" xfId="450" xr:uid="{00000000-0005-0000-0000-0000D4010000}"/>
    <cellStyle name="Normal 41" xfId="451" xr:uid="{00000000-0005-0000-0000-0000D5010000}"/>
    <cellStyle name="Normal 41 2" xfId="452" xr:uid="{00000000-0005-0000-0000-0000D6010000}"/>
    <cellStyle name="Normal 41 3" xfId="453" xr:uid="{00000000-0005-0000-0000-0000D7010000}"/>
    <cellStyle name="Normal 41 4" xfId="454" xr:uid="{00000000-0005-0000-0000-0000D8010000}"/>
    <cellStyle name="Normal 41 5" xfId="455" xr:uid="{00000000-0005-0000-0000-0000D9010000}"/>
    <cellStyle name="Normal 41 6" xfId="456" xr:uid="{00000000-0005-0000-0000-0000DA010000}"/>
    <cellStyle name="Normal 42" xfId="457" xr:uid="{00000000-0005-0000-0000-0000DB010000}"/>
    <cellStyle name="Normal 42 2" xfId="458" xr:uid="{00000000-0005-0000-0000-0000DC010000}"/>
    <cellStyle name="Normal 42 3" xfId="459" xr:uid="{00000000-0005-0000-0000-0000DD010000}"/>
    <cellStyle name="Normal 42 4" xfId="460" xr:uid="{00000000-0005-0000-0000-0000DE010000}"/>
    <cellStyle name="Normal 42 5" xfId="461" xr:uid="{00000000-0005-0000-0000-0000DF010000}"/>
    <cellStyle name="Normal 42 6" xfId="462" xr:uid="{00000000-0005-0000-0000-0000E0010000}"/>
    <cellStyle name="Normal 43" xfId="463" xr:uid="{00000000-0005-0000-0000-0000E1010000}"/>
    <cellStyle name="Normal 44" xfId="464" xr:uid="{00000000-0005-0000-0000-0000E2010000}"/>
    <cellStyle name="Normal 45" xfId="465" xr:uid="{00000000-0005-0000-0000-0000E3010000}"/>
    <cellStyle name="Normal 46" xfId="466" xr:uid="{00000000-0005-0000-0000-0000E4010000}"/>
    <cellStyle name="Normal 47" xfId="467" xr:uid="{00000000-0005-0000-0000-0000E5010000}"/>
    <cellStyle name="Normal 47 2" xfId="468" xr:uid="{00000000-0005-0000-0000-0000E6010000}"/>
    <cellStyle name="Normal 48" xfId="469" xr:uid="{00000000-0005-0000-0000-0000E7010000}"/>
    <cellStyle name="Normal 49" xfId="470" xr:uid="{00000000-0005-0000-0000-0000E8010000}"/>
    <cellStyle name="Normal 5" xfId="471" xr:uid="{00000000-0005-0000-0000-0000E9010000}"/>
    <cellStyle name="Normal 5 10" xfId="472" xr:uid="{00000000-0005-0000-0000-0000EA010000}"/>
    <cellStyle name="Normal 5 11" xfId="473" xr:uid="{00000000-0005-0000-0000-0000EB010000}"/>
    <cellStyle name="Normal 5 12" xfId="474" xr:uid="{00000000-0005-0000-0000-0000EC010000}"/>
    <cellStyle name="Normal 5 2" xfId="475" xr:uid="{00000000-0005-0000-0000-0000ED010000}"/>
    <cellStyle name="Normal 5 3" xfId="476" xr:uid="{00000000-0005-0000-0000-0000EE010000}"/>
    <cellStyle name="Normal 5 4" xfId="477" xr:uid="{00000000-0005-0000-0000-0000EF010000}"/>
    <cellStyle name="Normal 5 5" xfId="478" xr:uid="{00000000-0005-0000-0000-0000F0010000}"/>
    <cellStyle name="Normal 5 6" xfId="479" xr:uid="{00000000-0005-0000-0000-0000F1010000}"/>
    <cellStyle name="Normal 5 7" xfId="480" xr:uid="{00000000-0005-0000-0000-0000F2010000}"/>
    <cellStyle name="Normal 5 8" xfId="481" xr:uid="{00000000-0005-0000-0000-0000F3010000}"/>
    <cellStyle name="Normal 5 9" xfId="482" xr:uid="{00000000-0005-0000-0000-0000F4010000}"/>
    <cellStyle name="Normal 5_Prueba de Sueldos 2" xfId="483" xr:uid="{00000000-0005-0000-0000-0000F5010000}"/>
    <cellStyle name="Normal 50" xfId="484" xr:uid="{00000000-0005-0000-0000-0000F6010000}"/>
    <cellStyle name="Normal 51" xfId="485" xr:uid="{00000000-0005-0000-0000-0000F7010000}"/>
    <cellStyle name="Normal 51 2" xfId="486" xr:uid="{00000000-0005-0000-0000-0000F8010000}"/>
    <cellStyle name="Normal 52" xfId="487" xr:uid="{00000000-0005-0000-0000-0000F9010000}"/>
    <cellStyle name="Normal 53" xfId="488" xr:uid="{00000000-0005-0000-0000-0000FA010000}"/>
    <cellStyle name="Normal 54" xfId="489" xr:uid="{00000000-0005-0000-0000-0000FB010000}"/>
    <cellStyle name="Normal 55" xfId="490" xr:uid="{00000000-0005-0000-0000-0000FC010000}"/>
    <cellStyle name="Normal 56" xfId="491" xr:uid="{00000000-0005-0000-0000-0000FD010000}"/>
    <cellStyle name="Normal 57" xfId="492" xr:uid="{00000000-0005-0000-0000-0000FE010000}"/>
    <cellStyle name="Normal 58" xfId="493" xr:uid="{00000000-0005-0000-0000-0000FF010000}"/>
    <cellStyle name="Normal 59" xfId="494" xr:uid="{00000000-0005-0000-0000-000000020000}"/>
    <cellStyle name="Normal 6" xfId="495" xr:uid="{00000000-0005-0000-0000-000001020000}"/>
    <cellStyle name="Normal 6 2" xfId="496" xr:uid="{00000000-0005-0000-0000-000002020000}"/>
    <cellStyle name="Normal 6 3" xfId="497" xr:uid="{00000000-0005-0000-0000-000003020000}"/>
    <cellStyle name="Normal 6 4" xfId="498" xr:uid="{00000000-0005-0000-0000-000004020000}"/>
    <cellStyle name="Normal 6 5" xfId="499" xr:uid="{00000000-0005-0000-0000-000005020000}"/>
    <cellStyle name="Normal 6 6" xfId="500" xr:uid="{00000000-0005-0000-0000-000006020000}"/>
    <cellStyle name="Normal 6 7" xfId="560" xr:uid="{00000000-0005-0000-0000-000007020000}"/>
    <cellStyle name="Normal 6 8" xfId="501" xr:uid="{00000000-0005-0000-0000-000008020000}"/>
    <cellStyle name="Normal 6_Prueba de Sueldos 2" xfId="502" xr:uid="{00000000-0005-0000-0000-000009020000}"/>
    <cellStyle name="Normal 60" xfId="503" xr:uid="{00000000-0005-0000-0000-00000A020000}"/>
    <cellStyle name="Normal 61" xfId="504" xr:uid="{00000000-0005-0000-0000-00000B020000}"/>
    <cellStyle name="Normal 62" xfId="505" xr:uid="{00000000-0005-0000-0000-00000C020000}"/>
    <cellStyle name="Normal 63" xfId="506" xr:uid="{00000000-0005-0000-0000-00000D020000}"/>
    <cellStyle name="Normal 63 2" xfId="507" xr:uid="{00000000-0005-0000-0000-00000E020000}"/>
    <cellStyle name="Normal 63_prestamos bancarios " xfId="508" xr:uid="{00000000-0005-0000-0000-00000F020000}"/>
    <cellStyle name="Normal 64" xfId="557" xr:uid="{00000000-0005-0000-0000-000010020000}"/>
    <cellStyle name="Normal 65" xfId="573" xr:uid="{00000000-0005-0000-0000-000011020000}"/>
    <cellStyle name="Normal 66" xfId="509" xr:uid="{00000000-0005-0000-0000-000012020000}"/>
    <cellStyle name="Normal 7" xfId="510" xr:uid="{00000000-0005-0000-0000-000013020000}"/>
    <cellStyle name="Normal 7 2" xfId="511" xr:uid="{00000000-0005-0000-0000-000014020000}"/>
    <cellStyle name="Normal 7 3" xfId="512" xr:uid="{00000000-0005-0000-0000-000015020000}"/>
    <cellStyle name="Normal 7 4" xfId="513" xr:uid="{00000000-0005-0000-0000-000016020000}"/>
    <cellStyle name="Normal 7 5" xfId="514" xr:uid="{00000000-0005-0000-0000-000017020000}"/>
    <cellStyle name="Normal 7 6" xfId="515" xr:uid="{00000000-0005-0000-0000-000018020000}"/>
    <cellStyle name="Normal 8" xfId="516" xr:uid="{00000000-0005-0000-0000-000019020000}"/>
    <cellStyle name="Normal 8 2" xfId="517" xr:uid="{00000000-0005-0000-0000-00001A020000}"/>
    <cellStyle name="Normal 8 3" xfId="518" xr:uid="{00000000-0005-0000-0000-00001B020000}"/>
    <cellStyle name="Normal 8 4" xfId="519" xr:uid="{00000000-0005-0000-0000-00001C020000}"/>
    <cellStyle name="Normal 8 5" xfId="520" xr:uid="{00000000-0005-0000-0000-00001D020000}"/>
    <cellStyle name="Normal 8 6" xfId="521" xr:uid="{00000000-0005-0000-0000-00001E020000}"/>
    <cellStyle name="Normal 8_R8-001 Papeles de Trabajo 2009 betsy" xfId="522" xr:uid="{00000000-0005-0000-0000-00001F020000}"/>
    <cellStyle name="Normal 80" xfId="579" xr:uid="{00000000-0005-0000-0000-000020020000}"/>
    <cellStyle name="Normal 9" xfId="523" xr:uid="{00000000-0005-0000-0000-000021020000}"/>
    <cellStyle name="Normal 9 2" xfId="524" xr:uid="{00000000-0005-0000-0000-000022020000}"/>
    <cellStyle name="Normal 9 3" xfId="525" xr:uid="{00000000-0005-0000-0000-000023020000}"/>
    <cellStyle name="Normal 9 4" xfId="526" xr:uid="{00000000-0005-0000-0000-000024020000}"/>
    <cellStyle name="Normal 9 5" xfId="527" xr:uid="{00000000-0005-0000-0000-000025020000}"/>
    <cellStyle name="Normal 9 6" xfId="528" xr:uid="{00000000-0005-0000-0000-000026020000}"/>
    <cellStyle name="Normal 9_Cédulas 12-31-2009" xfId="529" xr:uid="{00000000-0005-0000-0000-000027020000}"/>
    <cellStyle name="Percent" xfId="3" builtinId="5"/>
    <cellStyle name="PESO" xfId="530" xr:uid="{00000000-0005-0000-0000-000028020000}"/>
    <cellStyle name="PESO 2" xfId="531" xr:uid="{00000000-0005-0000-0000-000029020000}"/>
    <cellStyle name="PESO 3" xfId="532" xr:uid="{00000000-0005-0000-0000-00002A020000}"/>
    <cellStyle name="PESO 4" xfId="533" xr:uid="{00000000-0005-0000-0000-00002B020000}"/>
    <cellStyle name="PESO 5" xfId="534" xr:uid="{00000000-0005-0000-0000-00002C020000}"/>
    <cellStyle name="PESO 6" xfId="535" xr:uid="{00000000-0005-0000-0000-00002D020000}"/>
    <cellStyle name="PESO_Cédulas 12-31-2009" xfId="536" xr:uid="{00000000-0005-0000-0000-00002E020000}"/>
    <cellStyle name="Piloto de Datos Ángulo" xfId="568" xr:uid="{00000000-0005-0000-0000-00002F020000}"/>
    <cellStyle name="Piloto de Datos Campo" xfId="569" xr:uid="{00000000-0005-0000-0000-000030020000}"/>
    <cellStyle name="Piloto de Datos Resultado" xfId="570" xr:uid="{00000000-0005-0000-0000-000031020000}"/>
    <cellStyle name="Piloto de Datos Título" xfId="571" xr:uid="{00000000-0005-0000-0000-000032020000}"/>
    <cellStyle name="Piloto de Datos Valor" xfId="572" xr:uid="{00000000-0005-0000-0000-000033020000}"/>
    <cellStyle name="Porcentaje 2" xfId="559" xr:uid="{00000000-0005-0000-0000-000035020000}"/>
    <cellStyle name="Porcentual 10" xfId="537" xr:uid="{00000000-0005-0000-0000-000036020000}"/>
    <cellStyle name="Porcentual 2" xfId="538" xr:uid="{00000000-0005-0000-0000-000037020000}"/>
    <cellStyle name="Porcentual 2 2" xfId="539" xr:uid="{00000000-0005-0000-0000-000038020000}"/>
    <cellStyle name="Porcentual 2 2 2" xfId="540" xr:uid="{00000000-0005-0000-0000-000039020000}"/>
    <cellStyle name="Porcentual 2 3" xfId="541" xr:uid="{00000000-0005-0000-0000-00003A020000}"/>
    <cellStyle name="Porcentual 3" xfId="542" xr:uid="{00000000-0005-0000-0000-00003B020000}"/>
    <cellStyle name="Porcentual 3 2" xfId="543" xr:uid="{00000000-0005-0000-0000-00003C020000}"/>
    <cellStyle name="Porcentual 3 3" xfId="544" xr:uid="{00000000-0005-0000-0000-00003D020000}"/>
    <cellStyle name="Porcentual 3 4" xfId="545" xr:uid="{00000000-0005-0000-0000-00003E020000}"/>
    <cellStyle name="Porcentual 4" xfId="546" xr:uid="{00000000-0005-0000-0000-00003F020000}"/>
    <cellStyle name="Porcentual 5" xfId="547" xr:uid="{00000000-0005-0000-0000-000040020000}"/>
    <cellStyle name="Porcentual 6" xfId="548" xr:uid="{00000000-0005-0000-0000-000041020000}"/>
    <cellStyle name="Porcentual 7" xfId="549" xr:uid="{00000000-0005-0000-0000-000042020000}"/>
    <cellStyle name="Porcentual 8" xfId="550" xr:uid="{00000000-0005-0000-0000-000043020000}"/>
    <cellStyle name="Porcentual 8 2" xfId="551" xr:uid="{00000000-0005-0000-0000-000044020000}"/>
    <cellStyle name="Porcentual 9" xfId="552" xr:uid="{00000000-0005-0000-0000-000045020000}"/>
    <cellStyle name="STYLE1" xfId="553" xr:uid="{00000000-0005-0000-0000-000046020000}"/>
    <cellStyle name="STYLE2" xfId="554" xr:uid="{00000000-0005-0000-0000-000047020000}"/>
    <cellStyle name="STYLE3" xfId="555" xr:uid="{00000000-0005-0000-0000-000048020000}"/>
    <cellStyle name="STYLE4" xfId="556" xr:uid="{00000000-0005-0000-0000-000049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/Downloads/Consolidado%20Grupo%20Telconet%20y%20Subsidiarias%202018-2017%20Flu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>
        <row r="101">
          <cell r="C101">
            <v>9357519.0706554651</v>
          </cell>
        </row>
      </sheetData>
      <sheetData sheetId="1"/>
      <sheetData sheetId="2"/>
      <sheetData sheetId="3">
        <row r="32">
          <cell r="D32">
            <v>828548.36364874605</v>
          </cell>
        </row>
      </sheetData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Variación Patrimonio"/>
      <sheetName val="Diario 2015 (a)"/>
      <sheetName val="Diarios Var.Inversión -Patr (b)"/>
      <sheetName val="Diarios Cxc Cxp relac (c)"/>
      <sheetName val="Ventas-Compras (d)"/>
      <sheetName val="Asientos - para Consolidado"/>
      <sheetName val="PNC"/>
      <sheetName val="Hoja2"/>
      <sheetName val="Participaciones"/>
      <sheetName val="Planilla Final 2017"/>
      <sheetName val="Transacciones 2018"/>
      <sheetName val="Saldos interco."/>
      <sheetName val="Planilla Final 2018"/>
      <sheetName val="ESF 2018-2017"/>
      <sheetName val="ERI 2018-2017"/>
      <sheetName val="ECP 2018-2017"/>
      <sheetName val="EFE 2018-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C5">
            <v>1742562</v>
          </cell>
          <cell r="E5">
            <v>10796157</v>
          </cell>
        </row>
        <row r="6">
          <cell r="B6">
            <v>0</v>
          </cell>
          <cell r="D6">
            <v>-102620</v>
          </cell>
          <cell r="K6">
            <v>10855901.849999998</v>
          </cell>
          <cell r="M6">
            <v>-4986126</v>
          </cell>
        </row>
        <row r="7">
          <cell r="B7">
            <v>2393444.3199999998</v>
          </cell>
          <cell r="D7">
            <v>-251010.68000000017</v>
          </cell>
          <cell r="K7">
            <v>-11459310</v>
          </cell>
          <cell r="M7">
            <v>-1466341</v>
          </cell>
        </row>
        <row r="8">
          <cell r="D8">
            <v>-6275838.8000000026</v>
          </cell>
          <cell r="F8">
            <v>1100909</v>
          </cell>
          <cell r="K8">
            <v>-1320226.379999999</v>
          </cell>
          <cell r="M8">
            <v>1910661</v>
          </cell>
        </row>
        <row r="9">
          <cell r="D9">
            <v>638449.0700000003</v>
          </cell>
          <cell r="F9">
            <v>11254398</v>
          </cell>
          <cell r="K9">
            <v>2464118.3899999997</v>
          </cell>
          <cell r="M9">
            <v>1651239</v>
          </cell>
        </row>
        <row r="10">
          <cell r="D10">
            <v>-365080.16999999993</v>
          </cell>
          <cell r="F10">
            <v>-685042</v>
          </cell>
          <cell r="K10">
            <v>2522549.16</v>
          </cell>
          <cell r="M10">
            <v>130512</v>
          </cell>
        </row>
        <row r="11">
          <cell r="D11">
            <v>10804350.770000001</v>
          </cell>
          <cell r="F11">
            <v>2963608</v>
          </cell>
          <cell r="K11">
            <v>8778972.339999998</v>
          </cell>
          <cell r="M11">
            <v>-31613</v>
          </cell>
        </row>
        <row r="12">
          <cell r="D12">
            <v>-84058.080000000075</v>
          </cell>
          <cell r="F12">
            <v>-1728719</v>
          </cell>
          <cell r="K12">
            <v>25845514.140000001</v>
          </cell>
          <cell r="M12">
            <v>-2404770</v>
          </cell>
        </row>
        <row r="13">
          <cell r="D13">
            <v>9528589.1000000015</v>
          </cell>
          <cell r="F13">
            <v>-4055589</v>
          </cell>
          <cell r="K13">
            <v>1777900.6600000001</v>
          </cell>
          <cell r="M13">
            <v>184123</v>
          </cell>
        </row>
        <row r="14">
          <cell r="K14">
            <v>-4183053</v>
          </cell>
          <cell r="M14">
            <v>-42107</v>
          </cell>
        </row>
        <row r="17">
          <cell r="D17">
            <v>8143944.5500000007</v>
          </cell>
          <cell r="F17">
            <v>206140</v>
          </cell>
        </row>
        <row r="18">
          <cell r="K18">
            <v>-3849444.7800000003</v>
          </cell>
          <cell r="M18">
            <v>251068</v>
          </cell>
        </row>
        <row r="19">
          <cell r="K19">
            <v>-6710516</v>
          </cell>
          <cell r="M19">
            <v>-6904650</v>
          </cell>
        </row>
        <row r="20">
          <cell r="K20">
            <v>-2203673</v>
          </cell>
          <cell r="M20">
            <v>-3509537</v>
          </cell>
        </row>
        <row r="21">
          <cell r="K21">
            <v>10252655.149999999</v>
          </cell>
          <cell r="M21">
            <v>2</v>
          </cell>
        </row>
        <row r="22">
          <cell r="K22">
            <v>4695892.0500000007</v>
          </cell>
          <cell r="M22">
            <v>-477887</v>
          </cell>
        </row>
        <row r="23">
          <cell r="D23">
            <v>9177544.8599999994</v>
          </cell>
          <cell r="F23">
            <v>1190535</v>
          </cell>
        </row>
        <row r="24">
          <cell r="K24">
            <v>-20813206</v>
          </cell>
          <cell r="M24">
            <v>3116879</v>
          </cell>
        </row>
        <row r="25">
          <cell r="K25">
            <v>-3572443</v>
          </cell>
          <cell r="M25">
            <v>0</v>
          </cell>
        </row>
      </sheetData>
      <sheetData sheetId="18">
        <row r="16">
          <cell r="B16">
            <v>14473985.569999961</v>
          </cell>
          <cell r="D16">
            <v>9104804.0499999858</v>
          </cell>
          <cell r="F16">
            <v>13091687</v>
          </cell>
        </row>
        <row r="18">
          <cell r="B18">
            <v>-2444549</v>
          </cell>
          <cell r="D18">
            <v>-1591304</v>
          </cell>
          <cell r="F18">
            <v>-1759101</v>
          </cell>
        </row>
        <row r="20">
          <cell r="B20">
            <v>-4274637</v>
          </cell>
          <cell r="D20">
            <v>-3475906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view="pageBreakPreview" topLeftCell="V41" zoomScale="60" zoomScaleNormal="80" workbookViewId="0">
      <selection activeCell="AH41" sqref="AH41"/>
    </sheetView>
  </sheetViews>
  <sheetFormatPr defaultColWidth="11.42578125" defaultRowHeight="15"/>
  <cols>
    <col min="1" max="1" width="47.7109375" style="96" bestFit="1" customWidth="1"/>
    <col min="2" max="2" width="17.7109375" style="96" hidden="1" customWidth="1"/>
    <col min="3" max="3" width="23.140625" style="96" hidden="1" customWidth="1"/>
    <col min="4" max="14" width="17.7109375" style="96" hidden="1" customWidth="1"/>
    <col min="15" max="15" width="9.5703125" style="96" hidden="1" customWidth="1"/>
    <col min="16" max="17" width="14.140625" style="96" hidden="1" customWidth="1"/>
    <col min="18" max="18" width="28" style="96" hidden="1" customWidth="1"/>
    <col min="19" max="19" width="23.42578125" style="96" customWidth="1"/>
    <col min="20" max="20" width="20.42578125" style="96" bestFit="1" customWidth="1"/>
    <col min="21" max="21" width="21.140625" style="96" bestFit="1" customWidth="1"/>
    <col min="22" max="22" width="18" style="96" bestFit="1" customWidth="1"/>
    <col min="23" max="24" width="16.85546875" style="96" bestFit="1" customWidth="1"/>
    <col min="25" max="25" width="12.5703125" style="96" customWidth="1"/>
    <col min="26" max="26" width="15.85546875" style="96" customWidth="1"/>
    <col min="27" max="27" width="16.28515625" style="96" customWidth="1"/>
    <col min="28" max="30" width="14.28515625" style="96" customWidth="1"/>
    <col min="31" max="31" width="18" style="96" bestFit="1" customWidth="1"/>
    <col min="32" max="32" width="8.28515625" style="96" customWidth="1"/>
    <col min="33" max="33" width="15.85546875" style="96" bestFit="1" customWidth="1"/>
    <col min="34" max="34" width="15.28515625" style="96" customWidth="1"/>
    <col min="35" max="35" width="17.42578125" style="96" customWidth="1"/>
    <col min="36" max="36" width="17.42578125" style="96" hidden="1" customWidth="1"/>
    <col min="37" max="37" width="19" style="96" hidden="1" customWidth="1"/>
    <col min="38" max="38" width="14.28515625" style="96" bestFit="1" customWidth="1"/>
    <col min="39" max="39" width="14.42578125" style="96" customWidth="1"/>
    <col min="40" max="40" width="11.42578125" style="96"/>
    <col min="41" max="41" width="14" style="96" customWidth="1"/>
    <col min="42" max="42" width="13.28515625" style="96" customWidth="1"/>
    <col min="43" max="16384" width="11.42578125" style="96"/>
  </cols>
  <sheetData>
    <row r="1" spans="1:41">
      <c r="A1" s="318" t="s">
        <v>49</v>
      </c>
      <c r="C1" s="318"/>
      <c r="E1" s="318"/>
      <c r="F1" s="318"/>
      <c r="G1" s="319"/>
      <c r="H1" s="319"/>
      <c r="I1" s="319"/>
      <c r="J1" s="319"/>
      <c r="K1" s="319"/>
      <c r="L1" s="319"/>
      <c r="M1" s="319"/>
      <c r="N1" s="319"/>
      <c r="P1" s="320"/>
      <c r="Q1" s="319"/>
      <c r="R1" s="319"/>
      <c r="T1" s="296"/>
      <c r="AJ1" s="319"/>
      <c r="AK1" s="319"/>
    </row>
    <row r="2" spans="1:41">
      <c r="A2" s="321" t="s">
        <v>36</v>
      </c>
      <c r="B2" s="319"/>
      <c r="C2" s="321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P2" s="319"/>
      <c r="Q2" s="319"/>
      <c r="R2" s="319"/>
      <c r="T2" s="298"/>
      <c r="AJ2" s="319"/>
      <c r="AK2" s="319"/>
    </row>
    <row r="3" spans="1:41" ht="24.75" customHeight="1">
      <c r="A3" s="322"/>
      <c r="C3" s="322"/>
      <c r="F3" s="323"/>
      <c r="G3" s="296"/>
      <c r="P3" s="974" t="s">
        <v>11</v>
      </c>
      <c r="Q3" s="975"/>
      <c r="V3" s="296"/>
      <c r="AG3" s="974" t="s">
        <v>11</v>
      </c>
      <c r="AH3" s="975"/>
    </row>
    <row r="4" spans="1:41" ht="78" customHeight="1">
      <c r="A4" s="324" t="s">
        <v>4</v>
      </c>
      <c r="B4" s="325" t="s">
        <v>97</v>
      </c>
      <c r="C4" s="324" t="s">
        <v>239</v>
      </c>
      <c r="D4" s="325" t="s">
        <v>294</v>
      </c>
      <c r="E4" s="325" t="s">
        <v>180</v>
      </c>
      <c r="F4" s="325" t="s">
        <v>103</v>
      </c>
      <c r="G4" s="325" t="s">
        <v>98</v>
      </c>
      <c r="H4" s="325" t="s">
        <v>99</v>
      </c>
      <c r="I4" s="325" t="s">
        <v>100</v>
      </c>
      <c r="J4" s="325" t="s">
        <v>101</v>
      </c>
      <c r="K4" s="325" t="s">
        <v>106</v>
      </c>
      <c r="L4" s="325" t="s">
        <v>102</v>
      </c>
      <c r="M4" s="325" t="s">
        <v>104</v>
      </c>
      <c r="N4" s="325" t="s">
        <v>24</v>
      </c>
      <c r="O4" s="325" t="s">
        <v>10</v>
      </c>
      <c r="P4" s="325" t="s">
        <v>12</v>
      </c>
      <c r="Q4" s="325" t="s">
        <v>13</v>
      </c>
      <c r="R4" s="325" t="s">
        <v>295</v>
      </c>
      <c r="S4" s="325" t="s">
        <v>393</v>
      </c>
      <c r="T4" s="325" t="s">
        <v>383</v>
      </c>
      <c r="U4" s="325" t="s">
        <v>384</v>
      </c>
      <c r="V4" s="325" t="s">
        <v>403</v>
      </c>
      <c r="W4" s="325" t="s">
        <v>409</v>
      </c>
      <c r="X4" s="325" t="s">
        <v>410</v>
      </c>
      <c r="Y4" s="325" t="s">
        <v>394</v>
      </c>
      <c r="Z4" s="325" t="s">
        <v>396</v>
      </c>
      <c r="AA4" s="325" t="s">
        <v>395</v>
      </c>
      <c r="AB4" s="325" t="s">
        <v>386</v>
      </c>
      <c r="AC4" s="325" t="s">
        <v>385</v>
      </c>
      <c r="AD4" s="325" t="s">
        <v>288</v>
      </c>
      <c r="AE4" s="325" t="s">
        <v>24</v>
      </c>
      <c r="AF4" s="325" t="s">
        <v>10</v>
      </c>
      <c r="AG4" s="325" t="s">
        <v>12</v>
      </c>
      <c r="AH4" s="325" t="s">
        <v>13</v>
      </c>
      <c r="AI4" s="325" t="s">
        <v>423</v>
      </c>
      <c r="AJ4" s="325" t="s">
        <v>239</v>
      </c>
      <c r="AK4" s="325" t="s">
        <v>296</v>
      </c>
    </row>
    <row r="5" spans="1:41" s="346" customFormat="1" ht="15.75" customHeight="1">
      <c r="A5" s="342" t="s">
        <v>22</v>
      </c>
      <c r="B5" s="341">
        <v>2767055</v>
      </c>
      <c r="C5" s="343">
        <f>D5-B5</f>
        <v>0</v>
      </c>
      <c r="D5" s="341">
        <v>2767055</v>
      </c>
      <c r="E5" s="341">
        <v>11901</v>
      </c>
      <c r="F5" s="341">
        <v>2651.43</v>
      </c>
      <c r="G5" s="341">
        <v>67392.38</v>
      </c>
      <c r="H5" s="341">
        <v>914.33</v>
      </c>
      <c r="I5" s="341">
        <v>0</v>
      </c>
      <c r="J5" s="341">
        <v>0</v>
      </c>
      <c r="K5" s="341">
        <v>10000</v>
      </c>
      <c r="L5" s="341">
        <v>0</v>
      </c>
      <c r="M5" s="341">
        <v>800</v>
      </c>
      <c r="N5" s="344">
        <f t="shared" ref="N5:N25" si="0">SUM(D5:M5)</f>
        <v>2860714.14</v>
      </c>
      <c r="O5" s="345"/>
      <c r="P5" s="341"/>
      <c r="Q5" s="341"/>
      <c r="R5" s="341">
        <f>N5+P5-Q5</f>
        <v>2860714.14</v>
      </c>
      <c r="S5" s="341">
        <v>1607132</v>
      </c>
      <c r="T5" s="341">
        <v>42926</v>
      </c>
      <c r="U5" s="341">
        <v>6856</v>
      </c>
      <c r="V5" s="341">
        <v>2227</v>
      </c>
      <c r="W5" s="341">
        <v>3845</v>
      </c>
      <c r="X5" s="341">
        <v>0</v>
      </c>
      <c r="Y5" s="341">
        <v>0</v>
      </c>
      <c r="Z5" s="341">
        <v>10000</v>
      </c>
      <c r="AA5" s="341">
        <v>0</v>
      </c>
      <c r="AB5" s="341">
        <v>5631</v>
      </c>
      <c r="AC5" s="341">
        <v>10301</v>
      </c>
      <c r="AD5" s="341">
        <v>53644</v>
      </c>
      <c r="AE5" s="344">
        <f>SUM(S5:AD5)</f>
        <v>1742562</v>
      </c>
      <c r="AF5" s="345"/>
      <c r="AG5" s="341"/>
      <c r="AH5" s="341"/>
      <c r="AI5" s="341">
        <f>AE5+AG5-AH5</f>
        <v>1742562</v>
      </c>
      <c r="AJ5" s="341">
        <f>AI5-AK5</f>
        <v>-1118152</v>
      </c>
      <c r="AK5" s="341">
        <v>2860714</v>
      </c>
    </row>
    <row r="6" spans="1:41" s="346" customFormat="1" ht="27.75" customHeight="1">
      <c r="A6" s="342" t="s">
        <v>65</v>
      </c>
      <c r="B6" s="341">
        <v>1874777</v>
      </c>
      <c r="C6" s="343">
        <f t="shared" ref="C6:C25" si="1">D6-B6</f>
        <v>0</v>
      </c>
      <c r="D6" s="341">
        <v>1874777</v>
      </c>
      <c r="E6" s="341">
        <v>0</v>
      </c>
      <c r="F6" s="341">
        <v>0</v>
      </c>
      <c r="G6" s="341">
        <v>0</v>
      </c>
      <c r="H6" s="341">
        <v>0</v>
      </c>
      <c r="I6" s="341">
        <v>0</v>
      </c>
      <c r="J6" s="341">
        <v>0</v>
      </c>
      <c r="K6" s="341">
        <v>0</v>
      </c>
      <c r="L6" s="341">
        <v>0</v>
      </c>
      <c r="M6" s="341">
        <v>0</v>
      </c>
      <c r="N6" s="344">
        <f t="shared" si="0"/>
        <v>1874777</v>
      </c>
      <c r="O6" s="345"/>
      <c r="P6" s="341"/>
      <c r="Q6" s="341"/>
      <c r="R6" s="341">
        <f>N6+P6-Q6</f>
        <v>1874777</v>
      </c>
      <c r="S6" s="341">
        <v>2644455</v>
      </c>
      <c r="T6" s="341">
        <v>0</v>
      </c>
      <c r="U6" s="341">
        <v>0</v>
      </c>
      <c r="V6" s="341">
        <v>0</v>
      </c>
      <c r="W6" s="341">
        <v>0</v>
      </c>
      <c r="X6" s="341">
        <v>0</v>
      </c>
      <c r="Y6" s="341">
        <v>0</v>
      </c>
      <c r="Z6" s="341">
        <v>0</v>
      </c>
      <c r="AA6" s="341">
        <v>0</v>
      </c>
      <c r="AB6" s="341">
        <v>0</v>
      </c>
      <c r="AC6" s="341">
        <v>0</v>
      </c>
      <c r="AD6" s="341">
        <v>0</v>
      </c>
      <c r="AE6" s="344">
        <f t="shared" ref="AE6:AE24" si="2">SUM(S6:AD6)</f>
        <v>2644455</v>
      </c>
      <c r="AF6" s="345"/>
      <c r="AG6" s="341"/>
      <c r="AH6" s="341"/>
      <c r="AI6" s="341">
        <f>AE6+AG6-AH6</f>
        <v>2644455</v>
      </c>
      <c r="AJ6" s="341">
        <f t="shared" ref="AJ6:AJ58" si="3">AI6-AK6</f>
        <v>769678</v>
      </c>
      <c r="AK6" s="341">
        <v>1874777</v>
      </c>
    </row>
    <row r="7" spans="1:41" s="346" customFormat="1" ht="26.25" customHeight="1">
      <c r="A7" s="342" t="s">
        <v>66</v>
      </c>
      <c r="B7" s="341">
        <v>4274933</v>
      </c>
      <c r="C7" s="343">
        <f t="shared" si="1"/>
        <v>0</v>
      </c>
      <c r="D7" s="341">
        <v>4274933</v>
      </c>
      <c r="E7" s="341">
        <v>0</v>
      </c>
      <c r="F7" s="341">
        <v>0</v>
      </c>
      <c r="G7" s="341">
        <v>0</v>
      </c>
      <c r="H7" s="341">
        <v>0</v>
      </c>
      <c r="I7" s="341">
        <v>0</v>
      </c>
      <c r="J7" s="341">
        <v>0</v>
      </c>
      <c r="K7" s="341">
        <v>0</v>
      </c>
      <c r="L7" s="341">
        <v>0</v>
      </c>
      <c r="M7" s="341">
        <v>0</v>
      </c>
      <c r="N7" s="344">
        <f t="shared" si="0"/>
        <v>4274933</v>
      </c>
      <c r="O7" s="345"/>
      <c r="P7" s="341"/>
      <c r="Q7" s="341"/>
      <c r="R7" s="341">
        <f>N7+P7-Q7</f>
        <v>4274933</v>
      </c>
      <c r="S7" s="341">
        <v>102620</v>
      </c>
      <c r="T7" s="341">
        <v>0</v>
      </c>
      <c r="U7" s="341">
        <v>0</v>
      </c>
      <c r="V7" s="341">
        <v>0</v>
      </c>
      <c r="W7" s="341">
        <v>0</v>
      </c>
      <c r="X7" s="341">
        <v>0</v>
      </c>
      <c r="Y7" s="341">
        <v>0</v>
      </c>
      <c r="Z7" s="341">
        <v>0</v>
      </c>
      <c r="AA7" s="341">
        <v>0</v>
      </c>
      <c r="AB7" s="341">
        <v>0</v>
      </c>
      <c r="AC7" s="341">
        <v>0</v>
      </c>
      <c r="AD7" s="341">
        <v>0</v>
      </c>
      <c r="AE7" s="344">
        <f t="shared" si="2"/>
        <v>102620</v>
      </c>
      <c r="AF7" s="345"/>
      <c r="AG7" s="341"/>
      <c r="AH7" s="341"/>
      <c r="AI7" s="341">
        <f>AE7+AG7-AH7</f>
        <v>102620</v>
      </c>
      <c r="AJ7" s="341">
        <f t="shared" si="3"/>
        <v>-4172313</v>
      </c>
      <c r="AK7" s="341">
        <v>4274933</v>
      </c>
    </row>
    <row r="8" spans="1:41" s="346" customFormat="1" ht="15.75" customHeight="1">
      <c r="A8" s="342" t="s">
        <v>67</v>
      </c>
      <c r="B8" s="341">
        <v>18677464</v>
      </c>
      <c r="C8" s="343">
        <f t="shared" si="1"/>
        <v>0</v>
      </c>
      <c r="D8" s="341">
        <v>18677464</v>
      </c>
      <c r="E8" s="341">
        <v>0</v>
      </c>
      <c r="F8" s="341">
        <v>0</v>
      </c>
      <c r="G8" s="341">
        <v>0</v>
      </c>
      <c r="H8" s="341">
        <f>13716.03-435.11</f>
        <v>13280.92</v>
      </c>
      <c r="I8" s="341">
        <v>0</v>
      </c>
      <c r="J8" s="341">
        <v>0</v>
      </c>
      <c r="K8" s="341">
        <v>0</v>
      </c>
      <c r="L8" s="341">
        <v>0</v>
      </c>
      <c r="M8" s="341">
        <v>0</v>
      </c>
      <c r="N8" s="344">
        <f t="shared" si="0"/>
        <v>18690744.920000002</v>
      </c>
      <c r="O8" s="345"/>
      <c r="P8" s="341"/>
      <c r="Q8" s="341"/>
      <c r="R8" s="341">
        <f t="shared" ref="R8:R24" si="4">N8+P8-Q8</f>
        <v>18690744.920000002</v>
      </c>
      <c r="S8" s="349">
        <v>10565005</v>
      </c>
      <c r="T8" s="341">
        <v>4461516</v>
      </c>
      <c r="U8" s="341">
        <v>273861</v>
      </c>
      <c r="V8" s="341">
        <v>0</v>
      </c>
      <c r="W8" s="341">
        <v>18892</v>
      </c>
      <c r="X8" s="341">
        <v>0</v>
      </c>
      <c r="Y8" s="341">
        <v>0</v>
      </c>
      <c r="Z8" s="341">
        <v>0</v>
      </c>
      <c r="AA8" s="341">
        <v>0</v>
      </c>
      <c r="AB8" s="341">
        <v>41672</v>
      </c>
      <c r="AC8" s="341">
        <f>81977-46414</f>
        <v>35563</v>
      </c>
      <c r="AD8" s="341">
        <v>166895</v>
      </c>
      <c r="AE8" s="344">
        <f t="shared" si="2"/>
        <v>15563404</v>
      </c>
      <c r="AF8" s="345" t="s">
        <v>279</v>
      </c>
      <c r="AG8" s="341"/>
      <c r="AH8" s="341">
        <f>+'Diarios Cxc Cxp relac (c)'!E36</f>
        <v>0</v>
      </c>
      <c r="AI8" s="341">
        <f t="shared" ref="AI8:AI25" si="5">AE8+AG8-AH8</f>
        <v>15563404</v>
      </c>
      <c r="AJ8" s="341">
        <f t="shared" si="3"/>
        <v>-3127341</v>
      </c>
      <c r="AK8" s="341">
        <v>18690745</v>
      </c>
      <c r="AL8" s="346">
        <v>2620913.81</v>
      </c>
      <c r="AM8" s="347">
        <f>T8-AL8</f>
        <v>1840602.19</v>
      </c>
    </row>
    <row r="9" spans="1:41" s="357" customFormat="1">
      <c r="A9" s="353" t="s">
        <v>5</v>
      </c>
      <c r="B9" s="351">
        <v>7836813</v>
      </c>
      <c r="C9" s="354">
        <f t="shared" si="1"/>
        <v>505882</v>
      </c>
      <c r="D9" s="351">
        <v>8342695</v>
      </c>
      <c r="E9" s="351">
        <v>116867</v>
      </c>
      <c r="F9" s="351">
        <f>900.42+10742.79</f>
        <v>11643.210000000001</v>
      </c>
      <c r="G9" s="351">
        <v>1646872.1</v>
      </c>
      <c r="H9" s="351">
        <v>0</v>
      </c>
      <c r="I9" s="351">
        <v>0</v>
      </c>
      <c r="J9" s="351">
        <v>0</v>
      </c>
      <c r="K9" s="351">
        <v>0</v>
      </c>
      <c r="L9" s="351">
        <v>0</v>
      </c>
      <c r="M9" s="351">
        <v>0</v>
      </c>
      <c r="N9" s="355">
        <f t="shared" si="0"/>
        <v>10118077.310000001</v>
      </c>
      <c r="O9" s="356" t="s">
        <v>178</v>
      </c>
      <c r="P9" s="351"/>
      <c r="Q9" s="351">
        <f>+'Asientos - para Consolidado'!E69+'Asientos - para Consolidado'!E66+'Asientos - para Consolidado'!E67+'Asientos - para Consolidado'!E68+'Asientos - para Consolidado'!E70</f>
        <v>6488095.8899999997</v>
      </c>
      <c r="R9" s="351">
        <f t="shared" si="4"/>
        <v>3629981.4200000009</v>
      </c>
      <c r="S9" s="351">
        <v>32908556</v>
      </c>
      <c r="T9" s="351">
        <v>2044176</v>
      </c>
      <c r="U9" s="351">
        <v>717537</v>
      </c>
      <c r="V9" s="351">
        <v>990080</v>
      </c>
      <c r="W9" s="351">
        <v>0</v>
      </c>
      <c r="X9" s="351">
        <v>0</v>
      </c>
      <c r="Y9" s="351">
        <v>0</v>
      </c>
      <c r="Z9" s="351">
        <v>0</v>
      </c>
      <c r="AA9" s="351">
        <v>0</v>
      </c>
      <c r="AB9" s="351">
        <v>0</v>
      </c>
      <c r="AC9" s="351">
        <v>0</v>
      </c>
      <c r="AD9" s="351">
        <v>10000</v>
      </c>
      <c r="AE9" s="355">
        <f t="shared" si="2"/>
        <v>36670349</v>
      </c>
      <c r="AF9" s="356" t="s">
        <v>279</v>
      </c>
      <c r="AG9" s="351"/>
      <c r="AH9" s="351">
        <f>+'Diarios Cxc Cxp relac (c)'!E33</f>
        <v>8986223</v>
      </c>
      <c r="AI9" s="351">
        <f t="shared" si="5"/>
        <v>27684126</v>
      </c>
      <c r="AJ9" s="351">
        <f t="shared" si="3"/>
        <v>24054145</v>
      </c>
      <c r="AK9" s="351">
        <v>3629981</v>
      </c>
    </row>
    <row r="10" spans="1:41" s="346" customFormat="1" ht="15.75" customHeight="1">
      <c r="A10" s="342" t="s">
        <v>68</v>
      </c>
      <c r="B10" s="341">
        <v>7558486</v>
      </c>
      <c r="C10" s="343">
        <f t="shared" si="1"/>
        <v>-505882</v>
      </c>
      <c r="D10" s="341">
        <v>7052604</v>
      </c>
      <c r="E10" s="341">
        <v>0</v>
      </c>
      <c r="F10" s="341">
        <v>0</v>
      </c>
      <c r="G10" s="341">
        <v>0</v>
      </c>
      <c r="H10" s="341">
        <v>13467.8</v>
      </c>
      <c r="I10" s="341">
        <v>0</v>
      </c>
      <c r="J10" s="341">
        <v>0</v>
      </c>
      <c r="K10" s="341">
        <v>0</v>
      </c>
      <c r="L10" s="341">
        <v>0</v>
      </c>
      <c r="M10" s="341">
        <v>0</v>
      </c>
      <c r="N10" s="344">
        <f t="shared" si="0"/>
        <v>7066071.7999999998</v>
      </c>
      <c r="O10" s="345" t="s">
        <v>178</v>
      </c>
      <c r="P10" s="341"/>
      <c r="Q10" s="341"/>
      <c r="R10" s="341">
        <f t="shared" si="4"/>
        <v>7066071.7999999998</v>
      </c>
      <c r="S10" s="341">
        <v>5481731</v>
      </c>
      <c r="T10" s="341">
        <v>4477</v>
      </c>
      <c r="U10" s="341">
        <v>0</v>
      </c>
      <c r="V10" s="341">
        <v>0</v>
      </c>
      <c r="W10" s="341"/>
      <c r="X10" s="341">
        <v>0</v>
      </c>
      <c r="Y10" s="341">
        <v>0</v>
      </c>
      <c r="Z10" s="341">
        <v>0</v>
      </c>
      <c r="AA10" s="341">
        <v>0</v>
      </c>
      <c r="AB10" s="341">
        <v>448</v>
      </c>
      <c r="AC10" s="341">
        <f>35886+1569+4835</f>
        <v>42290</v>
      </c>
      <c r="AD10" s="341">
        <v>9502</v>
      </c>
      <c r="AE10" s="344">
        <f t="shared" si="2"/>
        <v>5538448</v>
      </c>
      <c r="AF10" s="345" t="s">
        <v>279</v>
      </c>
      <c r="AG10" s="341"/>
      <c r="AH10" s="341">
        <f>'Diarios Cxc Cxp relac (c)'!E35</f>
        <v>0</v>
      </c>
      <c r="AI10" s="341">
        <f t="shared" si="5"/>
        <v>5538448</v>
      </c>
      <c r="AJ10" s="341">
        <f t="shared" si="3"/>
        <v>-1527624</v>
      </c>
      <c r="AK10" s="341">
        <v>7066072</v>
      </c>
    </row>
    <row r="11" spans="1:41" s="346" customFormat="1" ht="15.75" customHeight="1">
      <c r="A11" s="342" t="s">
        <v>69</v>
      </c>
      <c r="B11" s="341">
        <v>1085701</v>
      </c>
      <c r="C11" s="343">
        <f t="shared" si="1"/>
        <v>0</v>
      </c>
      <c r="D11" s="341">
        <v>1085701</v>
      </c>
      <c r="E11" s="341">
        <v>0</v>
      </c>
      <c r="F11" s="341">
        <f>557539.9+7.5</f>
        <v>557547.4</v>
      </c>
      <c r="G11" s="341">
        <v>130431.64</v>
      </c>
      <c r="H11" s="341">
        <f>13300.66+68836.97</f>
        <v>82137.63</v>
      </c>
      <c r="I11" s="341">
        <v>0</v>
      </c>
      <c r="J11" s="341">
        <f>6821.11+1167.48</f>
        <v>7988.59</v>
      </c>
      <c r="K11" s="341">
        <v>0</v>
      </c>
      <c r="L11" s="341">
        <v>0</v>
      </c>
      <c r="M11" s="341">
        <v>0</v>
      </c>
      <c r="N11" s="344">
        <f t="shared" si="0"/>
        <v>1863806.26</v>
      </c>
      <c r="O11" s="345"/>
      <c r="P11" s="341"/>
      <c r="Q11" s="341"/>
      <c r="R11" s="341">
        <f t="shared" si="4"/>
        <v>1863806.26</v>
      </c>
      <c r="S11" s="349">
        <v>480186</v>
      </c>
      <c r="T11" s="341">
        <v>0</v>
      </c>
      <c r="U11" s="341">
        <v>60656</v>
      </c>
      <c r="V11" s="341">
        <v>134914</v>
      </c>
      <c r="W11" s="341">
        <v>123577</v>
      </c>
      <c r="X11" s="341">
        <v>0</v>
      </c>
      <c r="Y11" s="341">
        <v>7989</v>
      </c>
      <c r="Z11" s="341">
        <v>0</v>
      </c>
      <c r="AA11" s="341">
        <v>0</v>
      </c>
      <c r="AB11" s="341">
        <v>242520</v>
      </c>
      <c r="AC11" s="341">
        <v>74937</v>
      </c>
      <c r="AD11" s="341" t="s">
        <v>340</v>
      </c>
      <c r="AE11" s="344">
        <f t="shared" si="2"/>
        <v>1124779</v>
      </c>
      <c r="AF11" s="345"/>
      <c r="AG11" s="341"/>
      <c r="AH11" s="341"/>
      <c r="AI11" s="341">
        <f t="shared" si="5"/>
        <v>1124779</v>
      </c>
      <c r="AJ11" s="341">
        <f t="shared" si="3"/>
        <v>-739027</v>
      </c>
      <c r="AK11" s="341">
        <v>1863806</v>
      </c>
    </row>
    <row r="12" spans="1:41" ht="15.75" customHeight="1">
      <c r="A12" s="3" t="s">
        <v>70</v>
      </c>
      <c r="B12" s="4">
        <v>2140316</v>
      </c>
      <c r="C12" s="181">
        <f t="shared" si="1"/>
        <v>0</v>
      </c>
      <c r="D12" s="4">
        <v>2140316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2140316</v>
      </c>
      <c r="O12" s="12"/>
      <c r="P12" s="4"/>
      <c r="Q12" s="4"/>
      <c r="R12" s="4">
        <f t="shared" si="4"/>
        <v>2140316</v>
      </c>
      <c r="S12" s="4">
        <v>625964</v>
      </c>
      <c r="T12" s="4">
        <v>0</v>
      </c>
      <c r="U12" s="4">
        <v>152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16068</v>
      </c>
      <c r="AC12" s="4">
        <v>0</v>
      </c>
      <c r="AD12" s="4">
        <v>0</v>
      </c>
      <c r="AE12" s="13">
        <f t="shared" si="2"/>
        <v>642184</v>
      </c>
      <c r="AF12" s="12"/>
      <c r="AG12" s="4"/>
      <c r="AH12" s="4"/>
      <c r="AI12" s="4">
        <f t="shared" si="5"/>
        <v>642184</v>
      </c>
      <c r="AJ12" s="4">
        <f t="shared" si="3"/>
        <v>-1498133</v>
      </c>
      <c r="AK12" s="4">
        <v>2140317</v>
      </c>
    </row>
    <row r="13" spans="1:41" s="346" customFormat="1" ht="15.75" customHeight="1">
      <c r="A13" s="342" t="s">
        <v>6</v>
      </c>
      <c r="B13" s="341">
        <v>19594268</v>
      </c>
      <c r="C13" s="343">
        <f t="shared" si="1"/>
        <v>0</v>
      </c>
      <c r="D13" s="341">
        <v>19594268</v>
      </c>
      <c r="E13" s="341">
        <v>0</v>
      </c>
      <c r="F13" s="341">
        <v>0</v>
      </c>
      <c r="G13" s="341">
        <v>0</v>
      </c>
      <c r="H13" s="341">
        <v>0</v>
      </c>
      <c r="I13" s="341">
        <v>0</v>
      </c>
      <c r="J13" s="341">
        <v>0</v>
      </c>
      <c r="K13" s="341">
        <v>0</v>
      </c>
      <c r="L13" s="341">
        <v>0</v>
      </c>
      <c r="M13" s="341">
        <v>0</v>
      </c>
      <c r="N13" s="344">
        <f t="shared" si="0"/>
        <v>19594268</v>
      </c>
      <c r="O13" s="345"/>
      <c r="P13" s="341"/>
      <c r="Q13" s="341"/>
      <c r="R13" s="341">
        <f t="shared" si="4"/>
        <v>19594268</v>
      </c>
      <c r="S13" s="341">
        <v>14883321</v>
      </c>
      <c r="T13" s="341">
        <v>0</v>
      </c>
      <c r="U13" s="341">
        <v>1706</v>
      </c>
      <c r="V13" s="341">
        <v>0</v>
      </c>
      <c r="W13" s="341">
        <v>0</v>
      </c>
      <c r="X13" s="341">
        <v>0</v>
      </c>
      <c r="Y13" s="341">
        <v>0</v>
      </c>
      <c r="Z13" s="341">
        <v>0</v>
      </c>
      <c r="AA13" s="341">
        <v>0</v>
      </c>
      <c r="AB13" s="341">
        <v>11306</v>
      </c>
      <c r="AC13" s="341">
        <v>0</v>
      </c>
      <c r="AD13" s="341">
        <v>0</v>
      </c>
      <c r="AE13" s="344">
        <f t="shared" si="2"/>
        <v>14896333</v>
      </c>
      <c r="AF13" s="345"/>
      <c r="AG13" s="341"/>
      <c r="AH13" s="341">
        <f>'Ventas-Compras (d)'!E30</f>
        <v>11306</v>
      </c>
      <c r="AI13" s="341">
        <f t="shared" si="5"/>
        <v>14885027</v>
      </c>
      <c r="AJ13" s="341">
        <f t="shared" si="3"/>
        <v>-4709241</v>
      </c>
      <c r="AK13" s="341">
        <v>19594268</v>
      </c>
    </row>
    <row r="14" spans="1:41" ht="15.75" customHeight="1">
      <c r="A14" s="3" t="s">
        <v>71</v>
      </c>
      <c r="B14" s="4">
        <v>11189237</v>
      </c>
      <c r="C14" s="181">
        <f t="shared" si="1"/>
        <v>0</v>
      </c>
      <c r="D14" s="4">
        <v>11189237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3">
        <f t="shared" si="0"/>
        <v>11189237</v>
      </c>
      <c r="O14" s="12"/>
      <c r="P14" s="4"/>
      <c r="Q14" s="4"/>
      <c r="R14" s="4">
        <f t="shared" si="4"/>
        <v>11189237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>
        <f t="shared" si="2"/>
        <v>0</v>
      </c>
      <c r="AF14" s="12"/>
      <c r="AG14" s="4"/>
      <c r="AH14" s="4"/>
      <c r="AI14" s="4">
        <f t="shared" si="5"/>
        <v>0</v>
      </c>
      <c r="AJ14" s="4">
        <f t="shared" si="3"/>
        <v>-11189237</v>
      </c>
      <c r="AK14" s="4">
        <v>11189237</v>
      </c>
    </row>
    <row r="15" spans="1:41" ht="15.75" customHeight="1">
      <c r="A15" s="3" t="s">
        <v>283</v>
      </c>
      <c r="B15" s="4">
        <v>0</v>
      </c>
      <c r="C15" s="181">
        <f t="shared" si="1"/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13">
        <f t="shared" si="0"/>
        <v>0</v>
      </c>
      <c r="O15" s="12"/>
      <c r="P15" s="4"/>
      <c r="Q15" s="4"/>
      <c r="R15" s="4">
        <f t="shared" si="4"/>
        <v>0</v>
      </c>
      <c r="S15" s="4">
        <v>40694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>
        <f t="shared" si="2"/>
        <v>40694</v>
      </c>
      <c r="AF15" s="12" t="s">
        <v>279</v>
      </c>
      <c r="AG15" s="4"/>
      <c r="AH15" s="4">
        <f>'Diarios Cxc Cxp relac (c)'!E34</f>
        <v>40694</v>
      </c>
      <c r="AI15" s="4">
        <f t="shared" si="5"/>
        <v>0</v>
      </c>
      <c r="AJ15" s="4">
        <f t="shared" si="3"/>
        <v>0</v>
      </c>
      <c r="AK15" s="4">
        <v>0</v>
      </c>
    </row>
    <row r="16" spans="1:41" s="346" customFormat="1" ht="15.75" customHeight="1">
      <c r="A16" s="342" t="s">
        <v>72</v>
      </c>
      <c r="B16" s="341">
        <v>2899664</v>
      </c>
      <c r="C16" s="343">
        <f t="shared" si="1"/>
        <v>0</v>
      </c>
      <c r="D16" s="341">
        <v>2899664</v>
      </c>
      <c r="E16" s="341">
        <v>0</v>
      </c>
      <c r="F16" s="341">
        <v>0</v>
      </c>
      <c r="G16" s="341">
        <v>0</v>
      </c>
      <c r="H16" s="341">
        <v>0</v>
      </c>
      <c r="I16" s="341">
        <v>0</v>
      </c>
      <c r="J16" s="341">
        <v>0</v>
      </c>
      <c r="K16" s="341">
        <v>0</v>
      </c>
      <c r="L16" s="341">
        <v>0</v>
      </c>
      <c r="M16" s="341">
        <v>0</v>
      </c>
      <c r="N16" s="344">
        <f t="shared" si="0"/>
        <v>2899664</v>
      </c>
      <c r="O16" s="345"/>
      <c r="P16" s="341"/>
      <c r="Q16" s="341"/>
      <c r="R16" s="341">
        <f t="shared" si="4"/>
        <v>2899664</v>
      </c>
      <c r="S16" s="341">
        <v>3212434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341">
        <v>0</v>
      </c>
      <c r="AD16" s="341">
        <v>0</v>
      </c>
      <c r="AE16" s="344">
        <f t="shared" si="2"/>
        <v>3212434</v>
      </c>
      <c r="AF16" s="345"/>
      <c r="AG16" s="341"/>
      <c r="AH16" s="341"/>
      <c r="AI16" s="341">
        <f t="shared" si="5"/>
        <v>3212434</v>
      </c>
      <c r="AJ16" s="341">
        <f t="shared" si="3"/>
        <v>312770</v>
      </c>
      <c r="AK16" s="341">
        <v>2899664</v>
      </c>
      <c r="AO16" s="347">
        <f>S16-AI16</f>
        <v>0</v>
      </c>
    </row>
    <row r="17" spans="1:39" ht="15.75" customHeight="1">
      <c r="A17" s="3" t="s">
        <v>73</v>
      </c>
      <c r="B17" s="4">
        <v>57179789</v>
      </c>
      <c r="C17" s="181">
        <f t="shared" si="1"/>
        <v>-1084012</v>
      </c>
      <c r="D17" s="4">
        <v>56095777</v>
      </c>
      <c r="E17" s="4">
        <v>0</v>
      </c>
      <c r="F17" s="4">
        <f>152350+3565270.86</f>
        <v>3717620.86</v>
      </c>
      <c r="G17" s="4">
        <v>471133.12</v>
      </c>
      <c r="H17" s="4">
        <f>110964+150978.89+358100.26-353189.6</f>
        <v>266853.55000000005</v>
      </c>
      <c r="I17" s="4">
        <v>400660.97</v>
      </c>
      <c r="J17" s="4">
        <v>0</v>
      </c>
      <c r="K17" s="4">
        <v>0</v>
      </c>
      <c r="L17" s="4">
        <f>1140.17</f>
        <v>1140.17</v>
      </c>
      <c r="M17" s="4">
        <v>0</v>
      </c>
      <c r="N17" s="13">
        <f t="shared" si="0"/>
        <v>60953185.669999994</v>
      </c>
      <c r="O17" s="12" t="s">
        <v>42</v>
      </c>
      <c r="P17" s="4">
        <f>+'Asientos - para Consolidado'!D33</f>
        <v>881973.00000000559</v>
      </c>
      <c r="Q17" s="4"/>
      <c r="R17" s="4">
        <f t="shared" si="4"/>
        <v>61835158.670000002</v>
      </c>
      <c r="S17" s="4">
        <v>66573020</v>
      </c>
      <c r="T17" s="4">
        <v>44671913</v>
      </c>
      <c r="U17" s="4">
        <v>3233810</v>
      </c>
      <c r="V17" s="4">
        <v>33545</v>
      </c>
      <c r="W17" s="4">
        <v>218631</v>
      </c>
      <c r="X17" s="4">
        <v>373713</v>
      </c>
      <c r="Y17" s="4">
        <v>0</v>
      </c>
      <c r="Z17" s="4">
        <v>0</v>
      </c>
      <c r="AA17" s="4">
        <v>1140</v>
      </c>
      <c r="AB17" s="4">
        <v>1718909</v>
      </c>
      <c r="AC17" s="4">
        <v>367967</v>
      </c>
      <c r="AD17" s="4">
        <v>209213</v>
      </c>
      <c r="AE17" s="13">
        <f t="shared" si="2"/>
        <v>117401861</v>
      </c>
      <c r="AF17" s="12" t="s">
        <v>278</v>
      </c>
      <c r="AG17" s="4">
        <f>'Diario 2015 (a)'!C10</f>
        <v>881973.00000000559</v>
      </c>
      <c r="AH17" s="4"/>
      <c r="AI17" s="4">
        <f t="shared" si="5"/>
        <v>118283834</v>
      </c>
      <c r="AJ17" s="4">
        <f t="shared" si="3"/>
        <v>56448675</v>
      </c>
      <c r="AK17" s="4">
        <v>61835159</v>
      </c>
    </row>
    <row r="18" spans="1:39" s="346" customFormat="1" ht="15.75" customHeight="1">
      <c r="A18" s="342" t="s">
        <v>16</v>
      </c>
      <c r="B18" s="341">
        <v>1073683</v>
      </c>
      <c r="C18" s="343">
        <f t="shared" si="1"/>
        <v>-213217</v>
      </c>
      <c r="D18" s="341">
        <v>860466</v>
      </c>
      <c r="E18" s="341">
        <v>0</v>
      </c>
      <c r="F18" s="341">
        <v>0</v>
      </c>
      <c r="G18" s="341">
        <v>0</v>
      </c>
      <c r="H18" s="341">
        <v>0</v>
      </c>
      <c r="I18" s="341">
        <v>0</v>
      </c>
      <c r="J18" s="341">
        <v>0</v>
      </c>
      <c r="K18" s="341">
        <v>0</v>
      </c>
      <c r="L18" s="341">
        <v>0</v>
      </c>
      <c r="M18" s="341">
        <v>0</v>
      </c>
      <c r="N18" s="344">
        <f t="shared" si="0"/>
        <v>860466</v>
      </c>
      <c r="O18" s="345"/>
      <c r="P18" s="341"/>
      <c r="Q18" s="341"/>
      <c r="R18" s="341">
        <f t="shared" si="4"/>
        <v>860466</v>
      </c>
      <c r="S18" s="341">
        <v>661755</v>
      </c>
      <c r="T18" s="341">
        <v>0</v>
      </c>
      <c r="U18" s="341">
        <v>0</v>
      </c>
      <c r="V18" s="341">
        <v>0</v>
      </c>
      <c r="W18" s="341">
        <v>0</v>
      </c>
      <c r="X18" s="341">
        <v>0</v>
      </c>
      <c r="Y18" s="341">
        <v>0</v>
      </c>
      <c r="Z18" s="341">
        <v>0</v>
      </c>
      <c r="AA18" s="341">
        <v>0</v>
      </c>
      <c r="AB18" s="341">
        <v>0</v>
      </c>
      <c r="AC18" s="341"/>
      <c r="AD18" s="341">
        <v>0</v>
      </c>
      <c r="AE18" s="344">
        <f t="shared" si="2"/>
        <v>661755</v>
      </c>
      <c r="AF18" s="345"/>
      <c r="AG18" s="341"/>
      <c r="AH18" s="341"/>
      <c r="AI18" s="341">
        <f t="shared" si="5"/>
        <v>661755</v>
      </c>
      <c r="AJ18" s="341">
        <f t="shared" si="3"/>
        <v>-198711</v>
      </c>
      <c r="AK18" s="341">
        <v>860466</v>
      </c>
    </row>
    <row r="19" spans="1:39" ht="15.75" customHeight="1">
      <c r="A19" s="3" t="s">
        <v>74</v>
      </c>
      <c r="B19" s="4">
        <v>12927724</v>
      </c>
      <c r="C19" s="181">
        <f t="shared" si="1"/>
        <v>0</v>
      </c>
      <c r="D19" s="4">
        <v>12927724</v>
      </c>
      <c r="E19" s="4">
        <f>6749770-6747316</f>
        <v>2454</v>
      </c>
      <c r="F19" s="4">
        <v>0</v>
      </c>
      <c r="G19" s="4">
        <v>552.25</v>
      </c>
      <c r="H19" s="4">
        <f>5778.16-5778.16</f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3">
        <f t="shared" si="0"/>
        <v>12930730.25</v>
      </c>
      <c r="O19" s="12" t="s">
        <v>178</v>
      </c>
      <c r="P19" s="4"/>
      <c r="Q19" s="4">
        <f>+'Asientos - para Consolidado'!E71</f>
        <v>940330</v>
      </c>
      <c r="R19" s="4">
        <f t="shared" si="4"/>
        <v>11990400.25</v>
      </c>
      <c r="S19" s="4">
        <v>11586243</v>
      </c>
      <c r="T19" s="326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117971</v>
      </c>
      <c r="AD19" s="4">
        <v>0</v>
      </c>
      <c r="AE19" s="13">
        <f t="shared" si="2"/>
        <v>11704214</v>
      </c>
      <c r="AF19" s="12" t="s">
        <v>42</v>
      </c>
      <c r="AG19" s="4"/>
      <c r="AH19" s="4">
        <f>'Inversiones 2018'!X164</f>
        <v>6262957</v>
      </c>
      <c r="AI19" s="4">
        <f t="shared" si="5"/>
        <v>5441257</v>
      </c>
      <c r="AJ19" s="4">
        <f t="shared" si="3"/>
        <v>-6549143</v>
      </c>
      <c r="AK19" s="4">
        <v>11990400</v>
      </c>
      <c r="AM19" s="296">
        <f>AK19+AK25</f>
        <v>12384735</v>
      </c>
    </row>
    <row r="20" spans="1:39">
      <c r="A20" s="3" t="s">
        <v>75</v>
      </c>
      <c r="B20" s="4">
        <v>29438688</v>
      </c>
      <c r="C20" s="181">
        <f t="shared" si="1"/>
        <v>-2307659</v>
      </c>
      <c r="D20" s="4">
        <v>27131029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3">
        <f t="shared" si="0"/>
        <v>27131029</v>
      </c>
      <c r="O20" s="12" t="s">
        <v>178</v>
      </c>
      <c r="P20" s="4"/>
      <c r="Q20" s="4">
        <f>+'Asientos - para Consolidado'!E72</f>
        <v>27269564.260000002</v>
      </c>
      <c r="R20" s="4">
        <f t="shared" si="4"/>
        <v>-138535.26000000164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13">
        <f t="shared" si="2"/>
        <v>0</v>
      </c>
      <c r="AF20" s="12"/>
      <c r="AG20" s="4"/>
      <c r="AH20" s="4"/>
      <c r="AI20" s="4">
        <f t="shared" si="5"/>
        <v>0</v>
      </c>
      <c r="AJ20" s="4">
        <f t="shared" si="3"/>
        <v>138535</v>
      </c>
      <c r="AK20" s="4">
        <v>-138535</v>
      </c>
      <c r="AM20" s="296">
        <f>AK20+AK23</f>
        <v>40281700</v>
      </c>
    </row>
    <row r="21" spans="1:39">
      <c r="A21" s="3" t="s">
        <v>212</v>
      </c>
      <c r="B21" s="4">
        <v>0</v>
      </c>
      <c r="C21" s="181">
        <f t="shared" si="1"/>
        <v>1297229</v>
      </c>
      <c r="D21" s="4">
        <v>1297229</v>
      </c>
      <c r="E21" s="4"/>
      <c r="F21" s="4"/>
      <c r="G21" s="4"/>
      <c r="H21" s="4"/>
      <c r="I21" s="4"/>
      <c r="J21" s="4"/>
      <c r="K21" s="4"/>
      <c r="L21" s="4"/>
      <c r="M21" s="4"/>
      <c r="N21" s="13">
        <f t="shared" si="0"/>
        <v>1297229</v>
      </c>
      <c r="O21" s="12"/>
      <c r="P21" s="4"/>
      <c r="Q21" s="4"/>
      <c r="R21" s="4">
        <f t="shared" si="4"/>
        <v>1297229</v>
      </c>
      <c r="S21" s="4">
        <v>1422229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3">
        <f t="shared" si="2"/>
        <v>1422229</v>
      </c>
      <c r="AF21" s="12"/>
      <c r="AG21" s="4"/>
      <c r="AH21" s="4"/>
      <c r="AI21" s="4">
        <f t="shared" si="5"/>
        <v>1422229</v>
      </c>
      <c r="AJ21" s="4">
        <f t="shared" si="3"/>
        <v>125000</v>
      </c>
      <c r="AK21" s="4">
        <v>1297229</v>
      </c>
    </row>
    <row r="22" spans="1:39">
      <c r="A22" s="3" t="s">
        <v>76</v>
      </c>
      <c r="B22" s="4">
        <v>10163519</v>
      </c>
      <c r="C22" s="181">
        <f t="shared" si="1"/>
        <v>0</v>
      </c>
      <c r="D22" s="4">
        <v>10163519</v>
      </c>
      <c r="E22" s="4">
        <v>100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3">
        <f t="shared" si="0"/>
        <v>10163619</v>
      </c>
      <c r="O22" s="12" t="s">
        <v>200</v>
      </c>
      <c r="P22" s="4"/>
      <c r="Q22" s="4">
        <f>+'Asientos - para Consolidado'!E17+'Asientos - para Consolidado'!E35+'Asientos - para Consolidado'!E80</f>
        <v>4846189.339999998</v>
      </c>
      <c r="R22" s="4">
        <f t="shared" ref="R22" si="6">N22+P22-Q22</f>
        <v>5317429.660000002</v>
      </c>
      <c r="S22" s="4">
        <v>44513438</v>
      </c>
      <c r="T22" s="4">
        <v>100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13">
        <f t="shared" si="2"/>
        <v>44513538</v>
      </c>
      <c r="AF22" s="12" t="s">
        <v>280</v>
      </c>
      <c r="AG22" s="4">
        <f>'Inversiones 2018'!W163</f>
        <v>1231351</v>
      </c>
      <c r="AH22" s="4">
        <f>'Diario 2015 (a)'!D12+'Inversiones 2018'!X163</f>
        <v>36916138.600000001</v>
      </c>
      <c r="AI22" s="4">
        <f t="shared" si="5"/>
        <v>8828750.3999999985</v>
      </c>
      <c r="AJ22" s="4">
        <f t="shared" si="3"/>
        <v>3511320.3999999985</v>
      </c>
      <c r="AK22" s="4">
        <v>5317430</v>
      </c>
    </row>
    <row r="23" spans="1:39">
      <c r="A23" s="3" t="s">
        <v>181</v>
      </c>
      <c r="B23" s="61">
        <v>0</v>
      </c>
      <c r="C23" s="181">
        <f t="shared" si="1"/>
        <v>0</v>
      </c>
      <c r="D23" s="61">
        <v>0</v>
      </c>
      <c r="E23" s="61">
        <v>40420235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13">
        <f t="shared" si="0"/>
        <v>40420235</v>
      </c>
      <c r="O23" s="12"/>
      <c r="P23" s="4"/>
      <c r="Q23" s="4"/>
      <c r="R23" s="4">
        <f t="shared" si="4"/>
        <v>40420235</v>
      </c>
      <c r="S23" s="61">
        <v>0</v>
      </c>
      <c r="T23" s="61">
        <v>883849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4">
        <v>0</v>
      </c>
      <c r="AD23" s="4">
        <v>0</v>
      </c>
      <c r="AE23" s="13">
        <f t="shared" si="2"/>
        <v>883849</v>
      </c>
      <c r="AF23" s="12"/>
      <c r="AG23" s="4"/>
      <c r="AH23" s="4"/>
      <c r="AI23" s="4">
        <f t="shared" si="5"/>
        <v>883849</v>
      </c>
      <c r="AJ23" s="4">
        <f t="shared" si="3"/>
        <v>-39536386</v>
      </c>
      <c r="AK23" s="4">
        <v>40420235</v>
      </c>
    </row>
    <row r="24" spans="1:39">
      <c r="A24" s="3" t="s">
        <v>77</v>
      </c>
      <c r="B24" s="61">
        <v>105895</v>
      </c>
      <c r="C24" s="181">
        <f t="shared" si="1"/>
        <v>0</v>
      </c>
      <c r="D24" s="61">
        <v>105895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13">
        <f t="shared" si="0"/>
        <v>105895</v>
      </c>
      <c r="O24" s="12"/>
      <c r="P24" s="4"/>
      <c r="Q24" s="4"/>
      <c r="R24" s="4">
        <f t="shared" si="4"/>
        <v>105895</v>
      </c>
      <c r="S24" s="61">
        <v>105894</v>
      </c>
      <c r="T24" s="4">
        <v>0</v>
      </c>
      <c r="U24" s="4">
        <v>373443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2963501</v>
      </c>
      <c r="AC24" s="4">
        <v>0</v>
      </c>
      <c r="AD24" s="4">
        <v>0</v>
      </c>
      <c r="AE24" s="13">
        <f t="shared" si="2"/>
        <v>3442838</v>
      </c>
      <c r="AF24" s="12"/>
      <c r="AG24" s="4"/>
      <c r="AH24" s="4"/>
      <c r="AI24" s="4">
        <f t="shared" si="5"/>
        <v>3442838</v>
      </c>
      <c r="AJ24" s="4">
        <f t="shared" si="3"/>
        <v>3336943</v>
      </c>
      <c r="AK24" s="4">
        <v>105895</v>
      </c>
    </row>
    <row r="25" spans="1:39" ht="15.75" thickBot="1">
      <c r="A25" s="3" t="s">
        <v>166</v>
      </c>
      <c r="B25" s="44">
        <v>0</v>
      </c>
      <c r="C25" s="181">
        <f t="shared" si="1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6">
        <f t="shared" si="0"/>
        <v>0</v>
      </c>
      <c r="O25" s="12" t="s">
        <v>42</v>
      </c>
      <c r="P25" s="4">
        <f>+'Asientos - para Consolidado'!D31</f>
        <v>394335.36694421433</v>
      </c>
      <c r="Q25" s="4"/>
      <c r="R25" s="44">
        <f t="shared" ref="R25" si="7">N25+P25-Q25</f>
        <v>394335.36694421433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6">
        <f>SUM(S25:AD25)</f>
        <v>0</v>
      </c>
      <c r="AF25" s="12" t="s">
        <v>278</v>
      </c>
      <c r="AG25" s="4">
        <f>'Diario 2015 (a)'!C8</f>
        <v>394335.36694421433</v>
      </c>
      <c r="AH25" s="4"/>
      <c r="AI25" s="44">
        <f t="shared" si="5"/>
        <v>394335.36694421433</v>
      </c>
      <c r="AJ25" s="44">
        <f t="shared" si="3"/>
        <v>0.3669442143291235</v>
      </c>
      <c r="AK25" s="44">
        <v>394335</v>
      </c>
    </row>
    <row r="26" spans="1:39">
      <c r="A26" s="5" t="s">
        <v>39</v>
      </c>
      <c r="B26" s="43">
        <f t="shared" ref="B26" si="8">SUM(B5:B25)</f>
        <v>190788012</v>
      </c>
      <c r="C26" s="5"/>
      <c r="D26" s="43">
        <f t="shared" ref="D26:J26" si="9">SUM(D5:D25)</f>
        <v>188480353</v>
      </c>
      <c r="E26" s="43">
        <f t="shared" si="9"/>
        <v>40551557</v>
      </c>
      <c r="F26" s="43">
        <f t="shared" si="9"/>
        <v>4289462.9000000004</v>
      </c>
      <c r="G26" s="43">
        <f t="shared" si="9"/>
        <v>2316381.4899999998</v>
      </c>
      <c r="H26" s="43">
        <f t="shared" si="9"/>
        <v>376654.23000000004</v>
      </c>
      <c r="I26" s="43">
        <f t="shared" si="9"/>
        <v>400660.97</v>
      </c>
      <c r="J26" s="43">
        <f t="shared" si="9"/>
        <v>7988.59</v>
      </c>
      <c r="K26" s="43">
        <f t="shared" ref="K26:M26" si="10">SUM(K5:K25)</f>
        <v>10000</v>
      </c>
      <c r="L26" s="43">
        <f t="shared" si="10"/>
        <v>1140.17</v>
      </c>
      <c r="M26" s="43">
        <f t="shared" si="10"/>
        <v>800</v>
      </c>
      <c r="N26" s="43">
        <f>SUM(N5:N25)</f>
        <v>236434998.34999999</v>
      </c>
      <c r="O26" s="12"/>
      <c r="P26" s="43"/>
      <c r="Q26" s="43"/>
      <c r="R26" s="43">
        <f>SUM(R5:R25)</f>
        <v>198167127.22694421</v>
      </c>
      <c r="S26" s="4">
        <f t="shared" ref="S26:AD26" si="11">SUM(S5:S25)</f>
        <v>197414677</v>
      </c>
      <c r="T26" s="43">
        <f t="shared" ref="T26" si="12">SUM(T5:T25)</f>
        <v>52108957</v>
      </c>
      <c r="U26" s="43">
        <f t="shared" si="11"/>
        <v>4668021</v>
      </c>
      <c r="V26" s="43">
        <f t="shared" si="11"/>
        <v>1160766</v>
      </c>
      <c r="W26" s="43">
        <f t="shared" si="11"/>
        <v>364945</v>
      </c>
      <c r="X26" s="43">
        <f t="shared" si="11"/>
        <v>373713</v>
      </c>
      <c r="Y26" s="43">
        <f t="shared" si="11"/>
        <v>7989</v>
      </c>
      <c r="Z26" s="43">
        <f t="shared" si="11"/>
        <v>10000</v>
      </c>
      <c r="AA26" s="43">
        <f t="shared" si="11"/>
        <v>1140</v>
      </c>
      <c r="AB26" s="43">
        <f t="shared" si="11"/>
        <v>5000055</v>
      </c>
      <c r="AC26" s="43">
        <f t="shared" si="11"/>
        <v>649029</v>
      </c>
      <c r="AD26" s="43">
        <f t="shared" si="11"/>
        <v>449254</v>
      </c>
      <c r="AE26" s="43">
        <f>SUM(AE5:AE25)</f>
        <v>262208546</v>
      </c>
      <c r="AF26" s="12"/>
      <c r="AG26" s="43" t="s">
        <v>340</v>
      </c>
      <c r="AH26" s="43" t="s">
        <v>340</v>
      </c>
      <c r="AI26" s="43">
        <f>SUM(AI5:AI25)</f>
        <v>212498886.76694423</v>
      </c>
      <c r="AJ26" s="43">
        <f t="shared" si="3"/>
        <v>14331758.76694423</v>
      </c>
      <c r="AK26" s="43">
        <f>SUM(AK5:AK25)</f>
        <v>198167128</v>
      </c>
    </row>
    <row r="27" spans="1:39">
      <c r="A27" s="3" t="s">
        <v>387</v>
      </c>
      <c r="B27" s="43"/>
      <c r="C27" s="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2"/>
      <c r="P27" s="43"/>
      <c r="Q27" s="43"/>
      <c r="R27" s="43"/>
      <c r="S27" s="4">
        <v>260402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3">
        <f>SUM(S27:AD27)</f>
        <v>260402</v>
      </c>
      <c r="AF27" s="12"/>
      <c r="AG27" s="43">
        <v>0</v>
      </c>
      <c r="AH27" s="43">
        <v>0</v>
      </c>
      <c r="AI27" s="4">
        <f>AE27-AG27+AH27</f>
        <v>260402</v>
      </c>
      <c r="AJ27" s="43"/>
      <c r="AK27" s="43"/>
    </row>
    <row r="28" spans="1:39" s="346" customFormat="1">
      <c r="A28" s="342" t="s">
        <v>388</v>
      </c>
      <c r="B28" s="341">
        <v>25932582</v>
      </c>
      <c r="C28" s="343">
        <f t="shared" ref="C28:C46" si="13">D28-B28</f>
        <v>0</v>
      </c>
      <c r="D28" s="341">
        <v>25932582</v>
      </c>
      <c r="E28" s="341">
        <v>0</v>
      </c>
      <c r="F28" s="341">
        <v>0</v>
      </c>
      <c r="G28" s="341">
        <v>1776</v>
      </c>
      <c r="H28" s="341">
        <v>0</v>
      </c>
      <c r="I28" s="341">
        <v>0</v>
      </c>
      <c r="J28" s="341">
        <v>0</v>
      </c>
      <c r="K28" s="341">
        <v>0</v>
      </c>
      <c r="L28" s="341">
        <v>0</v>
      </c>
      <c r="M28" s="341">
        <v>0</v>
      </c>
      <c r="N28" s="344">
        <f t="shared" ref="N28:N45" si="14">SUM(D28:M28)</f>
        <v>25934358</v>
      </c>
      <c r="O28" s="345"/>
      <c r="P28" s="341"/>
      <c r="Q28" s="341"/>
      <c r="R28" s="341">
        <f>N28-P28+Q28</f>
        <v>25934358</v>
      </c>
      <c r="S28" s="341">
        <v>13413675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4">
        <f>SUM(S28:AD28)</f>
        <v>13413675</v>
      </c>
      <c r="AF28" s="345"/>
      <c r="AG28" s="341"/>
      <c r="AH28" s="341"/>
      <c r="AI28" s="352">
        <f>AE28-AG28+AH28</f>
        <v>13413675</v>
      </c>
      <c r="AJ28" s="341">
        <f t="shared" si="3"/>
        <v>-12520683</v>
      </c>
      <c r="AK28" s="341">
        <v>25934358</v>
      </c>
    </row>
    <row r="29" spans="1:39" s="346" customFormat="1">
      <c r="A29" s="342" t="s">
        <v>389</v>
      </c>
      <c r="B29" s="341"/>
      <c r="C29" s="343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4"/>
      <c r="O29" s="345"/>
      <c r="P29" s="341"/>
      <c r="Q29" s="341"/>
      <c r="R29" s="341"/>
      <c r="S29" s="341">
        <v>11459310</v>
      </c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4">
        <f>SUM(S29:AD29)</f>
        <v>11459310</v>
      </c>
      <c r="AF29" s="345"/>
      <c r="AG29" s="341"/>
      <c r="AH29" s="341"/>
      <c r="AI29" s="352">
        <f>AE29-AG29+AH29</f>
        <v>11459310</v>
      </c>
      <c r="AJ29" s="341"/>
      <c r="AK29" s="341"/>
    </row>
    <row r="30" spans="1:39" s="346" customFormat="1" ht="15.75" customHeight="1">
      <c r="A30" s="342" t="s">
        <v>79</v>
      </c>
      <c r="B30" s="341">
        <v>22920758</v>
      </c>
      <c r="C30" s="343">
        <f t="shared" si="13"/>
        <v>0</v>
      </c>
      <c r="D30" s="341">
        <v>22920758</v>
      </c>
      <c r="E30" s="341">
        <v>1677372</v>
      </c>
      <c r="F30" s="341">
        <f>76243.49+333</f>
        <v>76576.490000000005</v>
      </c>
      <c r="G30" s="341">
        <v>0</v>
      </c>
      <c r="H30" s="341">
        <v>0</v>
      </c>
      <c r="I30" s="341">
        <v>0</v>
      </c>
      <c r="J30" s="341">
        <v>0</v>
      </c>
      <c r="K30" s="341">
        <v>0</v>
      </c>
      <c r="L30" s="341">
        <v>0</v>
      </c>
      <c r="M30" s="341">
        <v>0</v>
      </c>
      <c r="N30" s="344">
        <f t="shared" si="14"/>
        <v>24674706.489999998</v>
      </c>
      <c r="O30" s="345"/>
      <c r="P30" s="341"/>
      <c r="Q30" s="341"/>
      <c r="R30" s="341">
        <f t="shared" ref="R30:R45" si="15">N30-P30+Q30</f>
        <v>24674706.489999998</v>
      </c>
      <c r="S30" s="349">
        <v>18438625</v>
      </c>
      <c r="T30" s="341">
        <v>2041083</v>
      </c>
      <c r="U30" s="341">
        <v>42437</v>
      </c>
      <c r="V30" s="341">
        <v>0</v>
      </c>
      <c r="W30" s="341"/>
      <c r="X30" s="341">
        <v>0</v>
      </c>
      <c r="Y30" s="341">
        <v>0</v>
      </c>
      <c r="Z30" s="341">
        <v>0</v>
      </c>
      <c r="AA30" s="341">
        <v>0</v>
      </c>
      <c r="AB30" s="341">
        <v>24357</v>
      </c>
      <c r="AC30" s="341">
        <v>10173</v>
      </c>
      <c r="AD30" s="341">
        <v>55288</v>
      </c>
      <c r="AE30" s="344">
        <f t="shared" ref="AE30:AE44" si="16">SUM(S30:AD30)</f>
        <v>20611963</v>
      </c>
      <c r="AF30" s="345" t="s">
        <v>279</v>
      </c>
      <c r="AG30" s="341">
        <f>+'Diarios Cxc Cxp relac (c)'!D32</f>
        <v>175918</v>
      </c>
      <c r="AH30" s="341"/>
      <c r="AI30" s="352">
        <f t="shared" ref="AI30:AI45" si="17">AE30-AG30+AH30</f>
        <v>20436045</v>
      </c>
      <c r="AJ30" s="341">
        <f t="shared" si="3"/>
        <v>-4238661</v>
      </c>
      <c r="AK30" s="341">
        <v>24674706</v>
      </c>
    </row>
    <row r="31" spans="1:39" s="357" customFormat="1" ht="15.75" customHeight="1">
      <c r="A31" s="353" t="s">
        <v>7</v>
      </c>
      <c r="B31" s="351">
        <v>1315987</v>
      </c>
      <c r="C31" s="354">
        <f t="shared" si="13"/>
        <v>0</v>
      </c>
      <c r="D31" s="351">
        <v>1315987</v>
      </c>
      <c r="E31" s="351">
        <v>2113253</v>
      </c>
      <c r="F31" s="351">
        <f>256939.18</f>
        <v>256939.18</v>
      </c>
      <c r="G31" s="351">
        <v>1374067</v>
      </c>
      <c r="H31" s="351">
        <v>505881.68</v>
      </c>
      <c r="I31" s="351">
        <v>0</v>
      </c>
      <c r="J31" s="351">
        <v>793.6</v>
      </c>
      <c r="K31" s="351">
        <v>0</v>
      </c>
      <c r="L31" s="351">
        <v>0</v>
      </c>
      <c r="M31" s="351">
        <v>0</v>
      </c>
      <c r="N31" s="355">
        <f t="shared" ref="N31:N32" si="18">SUM(D31:M31)</f>
        <v>5566921.459999999</v>
      </c>
      <c r="O31" s="356" t="s">
        <v>178</v>
      </c>
      <c r="P31" s="35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51"/>
      <c r="R31" s="351">
        <f t="shared" si="15"/>
        <v>805430.56999999937</v>
      </c>
      <c r="S31" s="351">
        <v>1314903</v>
      </c>
      <c r="T31" s="351">
        <v>4733</v>
      </c>
      <c r="U31" s="351">
        <v>0</v>
      </c>
      <c r="V31" s="351">
        <v>180603</v>
      </c>
      <c r="W31" s="351">
        <v>1296079</v>
      </c>
      <c r="X31" s="351">
        <v>0</v>
      </c>
      <c r="Y31" s="351">
        <v>0</v>
      </c>
      <c r="Z31" s="351">
        <v>0</v>
      </c>
      <c r="AA31" s="351">
        <v>0</v>
      </c>
      <c r="AB31" s="351">
        <v>0</v>
      </c>
      <c r="AC31" s="351">
        <v>125748</v>
      </c>
      <c r="AD31" s="351">
        <v>901366</v>
      </c>
      <c r="AE31" s="355">
        <f t="shared" si="16"/>
        <v>3823432</v>
      </c>
      <c r="AF31" s="356" t="s">
        <v>179</v>
      </c>
      <c r="AG31" s="351">
        <f>'Inversiones 2018'!W162+'Diarios Cxc Cxp relac (c)'!D29</f>
        <v>11128501</v>
      </c>
      <c r="AH31" s="351"/>
      <c r="AI31" s="351">
        <f t="shared" si="17"/>
        <v>-7305069</v>
      </c>
      <c r="AJ31" s="351">
        <f t="shared" si="3"/>
        <v>-8110500</v>
      </c>
      <c r="AK31" s="351">
        <v>805431</v>
      </c>
    </row>
    <row r="32" spans="1:39" s="346" customFormat="1" ht="15.75" customHeight="1">
      <c r="A32" s="342" t="s">
        <v>213</v>
      </c>
      <c r="B32" s="341"/>
      <c r="C32" s="343">
        <f t="shared" si="13"/>
        <v>0</v>
      </c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4">
        <f t="shared" si="18"/>
        <v>0</v>
      </c>
      <c r="O32" s="345"/>
      <c r="P32" s="341"/>
      <c r="Q32" s="341"/>
      <c r="R32" s="341">
        <f t="shared" si="15"/>
        <v>0</v>
      </c>
      <c r="S32" s="341">
        <v>0</v>
      </c>
      <c r="T32" s="341">
        <v>0</v>
      </c>
      <c r="U32" s="341">
        <v>0</v>
      </c>
      <c r="V32" s="341">
        <v>0</v>
      </c>
      <c r="W32" s="341">
        <v>0</v>
      </c>
      <c r="X32" s="341">
        <v>0</v>
      </c>
      <c r="Y32" s="341">
        <v>0</v>
      </c>
      <c r="Z32" s="341">
        <v>0</v>
      </c>
      <c r="AA32" s="341">
        <v>0</v>
      </c>
      <c r="AB32" s="341">
        <v>0</v>
      </c>
      <c r="AC32" s="341">
        <v>0</v>
      </c>
      <c r="AD32" s="341">
        <v>0</v>
      </c>
      <c r="AE32" s="344">
        <f t="shared" si="16"/>
        <v>0</v>
      </c>
      <c r="AF32" s="345"/>
      <c r="AG32" s="341"/>
      <c r="AH32" s="341"/>
      <c r="AI32" s="341">
        <f t="shared" si="17"/>
        <v>0</v>
      </c>
      <c r="AJ32" s="341">
        <f t="shared" si="3"/>
        <v>0</v>
      </c>
      <c r="AK32" s="341">
        <v>0</v>
      </c>
    </row>
    <row r="33" spans="1:38" s="346" customFormat="1" ht="15.75" customHeight="1">
      <c r="A33" s="342" t="s">
        <v>350</v>
      </c>
      <c r="B33" s="341">
        <v>2513028</v>
      </c>
      <c r="C33" s="343">
        <f t="shared" si="13"/>
        <v>0</v>
      </c>
      <c r="D33" s="341">
        <v>2513028</v>
      </c>
      <c r="E33" s="341">
        <v>0</v>
      </c>
      <c r="F33" s="341">
        <v>3416.78</v>
      </c>
      <c r="G33" s="341">
        <v>0</v>
      </c>
      <c r="H33" s="341">
        <v>0</v>
      </c>
      <c r="I33" s="341">
        <v>0</v>
      </c>
      <c r="J33" s="341">
        <v>0</v>
      </c>
      <c r="K33" s="341">
        <v>0</v>
      </c>
      <c r="L33" s="341">
        <v>0</v>
      </c>
      <c r="M33" s="341">
        <v>0</v>
      </c>
      <c r="N33" s="344">
        <f t="shared" ref="N33" si="19">SUM(D33:M33)</f>
        <v>2516444.7799999998</v>
      </c>
      <c r="O33" s="345"/>
      <c r="P33" s="341"/>
      <c r="Q33" s="341"/>
      <c r="R33" s="341">
        <f t="shared" si="15"/>
        <v>2516444.7799999998</v>
      </c>
      <c r="S33" s="341">
        <v>4228478</v>
      </c>
      <c r="T33" s="341">
        <v>0</v>
      </c>
      <c r="U33" s="341">
        <v>39874</v>
      </c>
      <c r="V33" s="341">
        <v>0</v>
      </c>
      <c r="W33" s="341">
        <v>0</v>
      </c>
      <c r="X33" s="341">
        <v>0</v>
      </c>
      <c r="Y33" s="341">
        <v>0</v>
      </c>
      <c r="Z33" s="341">
        <v>0</v>
      </c>
      <c r="AA33" s="341">
        <v>0</v>
      </c>
      <c r="AB33" s="341">
        <v>0</v>
      </c>
      <c r="AC33" s="341">
        <v>6555</v>
      </c>
      <c r="AD33" s="341">
        <v>0</v>
      </c>
      <c r="AE33" s="344">
        <f t="shared" si="16"/>
        <v>4274907</v>
      </c>
      <c r="AF33" s="345"/>
      <c r="AG33" s="341"/>
      <c r="AH33" s="341"/>
      <c r="AI33" s="341">
        <f t="shared" si="17"/>
        <v>4274907</v>
      </c>
      <c r="AJ33" s="341">
        <f t="shared" si="3"/>
        <v>1758462</v>
      </c>
      <c r="AK33" s="341">
        <v>2516445</v>
      </c>
    </row>
    <row r="34" spans="1:38" ht="15.75" customHeight="1">
      <c r="A34" s="3" t="s">
        <v>80</v>
      </c>
      <c r="B34" s="4">
        <v>887149</v>
      </c>
      <c r="C34" s="181">
        <f t="shared" si="13"/>
        <v>0</v>
      </c>
      <c r="D34" s="4">
        <v>887149</v>
      </c>
      <c r="E34" s="4">
        <v>0</v>
      </c>
      <c r="F34" s="4">
        <v>0</v>
      </c>
      <c r="G34" s="4">
        <v>0</v>
      </c>
      <c r="H34" s="4">
        <v>39069.9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3">
        <f t="shared" ref="N34" si="20">SUM(D34:M34)</f>
        <v>926218.9</v>
      </c>
      <c r="O34" s="12"/>
      <c r="P34" s="4"/>
      <c r="Q34" s="4"/>
      <c r="R34" s="4">
        <f t="shared" si="15"/>
        <v>926218.9</v>
      </c>
      <c r="S34" s="4">
        <v>4870701</v>
      </c>
      <c r="T34" s="4">
        <v>0</v>
      </c>
      <c r="U34" s="4">
        <v>19615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551</v>
      </c>
      <c r="AC34" s="4">
        <f>26629+15462+477</f>
        <v>42568</v>
      </c>
      <c r="AD34" s="4">
        <v>22494</v>
      </c>
      <c r="AE34" s="13">
        <f t="shared" si="16"/>
        <v>4955929</v>
      </c>
      <c r="AF34" s="12" t="s">
        <v>380</v>
      </c>
      <c r="AG34" s="4"/>
      <c r="AH34" s="4">
        <f>+'Inversiones 2018'!X165</f>
        <v>112799</v>
      </c>
      <c r="AI34" s="4">
        <f>AE34-AG34+AH34</f>
        <v>5068728</v>
      </c>
      <c r="AJ34" s="4">
        <f t="shared" si="3"/>
        <v>4142509</v>
      </c>
      <c r="AK34" s="4">
        <v>926219</v>
      </c>
    </row>
    <row r="35" spans="1:38" ht="15.75" customHeight="1">
      <c r="A35" s="3" t="s">
        <v>81</v>
      </c>
      <c r="B35" s="4">
        <v>10350691</v>
      </c>
      <c r="C35" s="181">
        <f t="shared" si="13"/>
        <v>0</v>
      </c>
      <c r="D35" s="4">
        <v>10350691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3">
        <f t="shared" si="14"/>
        <v>10350691</v>
      </c>
      <c r="O35" s="12"/>
      <c r="P35" s="4"/>
      <c r="Q35" s="4"/>
      <c r="R35" s="4">
        <f t="shared" si="15"/>
        <v>10350691</v>
      </c>
      <c r="S35" s="4">
        <v>1953502</v>
      </c>
      <c r="T35" s="4">
        <v>6540980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13">
        <f t="shared" si="16"/>
        <v>8494482</v>
      </c>
      <c r="AF35" s="12"/>
      <c r="AG35" s="4"/>
      <c r="AH35" s="4"/>
      <c r="AI35" s="4">
        <f t="shared" si="17"/>
        <v>8494482</v>
      </c>
      <c r="AJ35" s="4">
        <f t="shared" si="3"/>
        <v>-1856209</v>
      </c>
      <c r="AK35" s="4">
        <v>10350691</v>
      </c>
    </row>
    <row r="36" spans="1:38" ht="15.75" customHeight="1">
      <c r="A36" s="3" t="s">
        <v>82</v>
      </c>
      <c r="B36" s="4">
        <v>4600587</v>
      </c>
      <c r="C36" s="181">
        <f t="shared" si="13"/>
        <v>0</v>
      </c>
      <c r="D36" s="4">
        <v>4600587</v>
      </c>
      <c r="E36" s="4">
        <v>0</v>
      </c>
      <c r="F36" s="4">
        <v>4059.05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3">
        <f t="shared" si="14"/>
        <v>4604646.05</v>
      </c>
      <c r="O36" s="12"/>
      <c r="P36" s="4"/>
      <c r="Q36" s="4"/>
      <c r="R36" s="4">
        <f t="shared" si="15"/>
        <v>4604646.05</v>
      </c>
      <c r="S36" s="4">
        <v>4524107</v>
      </c>
      <c r="T36" s="4">
        <v>0</v>
      </c>
      <c r="U36" s="4">
        <v>14447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6596</v>
      </c>
      <c r="AC36" s="4">
        <f>11535+2782</f>
        <v>14317</v>
      </c>
      <c r="AD36" s="4">
        <v>0</v>
      </c>
      <c r="AE36" s="13">
        <f t="shared" si="16"/>
        <v>4559467</v>
      </c>
      <c r="AF36" s="12"/>
      <c r="AG36" s="4"/>
      <c r="AH36" s="4"/>
      <c r="AI36" s="4">
        <f t="shared" si="17"/>
        <v>4559467</v>
      </c>
      <c r="AJ36" s="4">
        <f t="shared" si="3"/>
        <v>-45179</v>
      </c>
      <c r="AK36" s="4">
        <v>4604646</v>
      </c>
    </row>
    <row r="37" spans="1:38" s="346" customFormat="1" ht="15.75" customHeight="1">
      <c r="A37" s="342" t="s">
        <v>83</v>
      </c>
      <c r="B37" s="348">
        <v>3530956</v>
      </c>
      <c r="C37" s="343">
        <f t="shared" si="13"/>
        <v>0</v>
      </c>
      <c r="D37" s="348">
        <v>3530956</v>
      </c>
      <c r="E37" s="348">
        <v>0</v>
      </c>
      <c r="F37" s="348">
        <v>0</v>
      </c>
      <c r="G37" s="348">
        <v>0</v>
      </c>
      <c r="H37" s="348">
        <v>0</v>
      </c>
      <c r="I37" s="348">
        <v>0</v>
      </c>
      <c r="J37" s="348">
        <v>0</v>
      </c>
      <c r="K37" s="348">
        <v>0</v>
      </c>
      <c r="L37" s="348">
        <v>0</v>
      </c>
      <c r="M37" s="348">
        <v>0</v>
      </c>
      <c r="N37" s="344">
        <f t="shared" si="14"/>
        <v>3530956</v>
      </c>
      <c r="O37" s="345"/>
      <c r="P37" s="341"/>
      <c r="Q37" s="341"/>
      <c r="R37" s="341">
        <f t="shared" si="15"/>
        <v>3530956</v>
      </c>
      <c r="S37" s="348">
        <v>4183053</v>
      </c>
      <c r="T37" s="341">
        <v>0</v>
      </c>
      <c r="U37" s="341">
        <v>0</v>
      </c>
      <c r="V37" s="341">
        <v>0</v>
      </c>
      <c r="W37" s="341">
        <v>0</v>
      </c>
      <c r="X37" s="341">
        <v>0</v>
      </c>
      <c r="Y37" s="341">
        <v>0</v>
      </c>
      <c r="Z37" s="341">
        <v>0</v>
      </c>
      <c r="AA37" s="341">
        <v>0</v>
      </c>
      <c r="AB37" s="341">
        <v>0</v>
      </c>
      <c r="AC37" s="341">
        <v>0</v>
      </c>
      <c r="AD37" s="341">
        <v>0</v>
      </c>
      <c r="AE37" s="344">
        <f t="shared" si="16"/>
        <v>4183053</v>
      </c>
      <c r="AF37" s="345"/>
      <c r="AG37" s="341"/>
      <c r="AH37" s="341"/>
      <c r="AI37" s="341">
        <f t="shared" si="17"/>
        <v>4183053</v>
      </c>
      <c r="AJ37" s="341">
        <f t="shared" si="3"/>
        <v>652097</v>
      </c>
      <c r="AK37" s="341">
        <v>3530956</v>
      </c>
    </row>
    <row r="38" spans="1:38" s="346" customFormat="1" ht="15.75" customHeight="1">
      <c r="A38" s="342" t="s">
        <v>390</v>
      </c>
      <c r="B38" s="348">
        <v>18309239</v>
      </c>
      <c r="C38" s="343">
        <f t="shared" si="13"/>
        <v>0</v>
      </c>
      <c r="D38" s="348">
        <v>18309239</v>
      </c>
      <c r="E38" s="348">
        <v>0</v>
      </c>
      <c r="F38" s="348">
        <v>0</v>
      </c>
      <c r="G38" s="348">
        <v>0</v>
      </c>
      <c r="H38" s="348">
        <v>25674.22</v>
      </c>
      <c r="I38" s="348">
        <v>0</v>
      </c>
      <c r="J38" s="348">
        <v>0</v>
      </c>
      <c r="K38" s="348">
        <v>0</v>
      </c>
      <c r="L38" s="348">
        <v>0</v>
      </c>
      <c r="M38" s="348">
        <v>0</v>
      </c>
      <c r="N38" s="344">
        <f t="shared" si="14"/>
        <v>18334913.219999999</v>
      </c>
      <c r="O38" s="345"/>
      <c r="P38" s="341"/>
      <c r="Q38" s="341"/>
      <c r="R38" s="341">
        <f t="shared" si="15"/>
        <v>18334913.219999999</v>
      </c>
      <c r="S38" s="348">
        <v>9674932</v>
      </c>
      <c r="T38" s="341">
        <v>0</v>
      </c>
      <c r="U38" s="341">
        <v>0</v>
      </c>
      <c r="V38" s="341">
        <v>0</v>
      </c>
      <c r="W38" s="341">
        <v>0</v>
      </c>
      <c r="X38" s="341">
        <v>0</v>
      </c>
      <c r="Y38" s="341">
        <v>0</v>
      </c>
      <c r="Z38" s="341">
        <v>0</v>
      </c>
      <c r="AA38" s="341">
        <v>0</v>
      </c>
      <c r="AB38" s="341">
        <v>0</v>
      </c>
      <c r="AC38" s="341">
        <v>0</v>
      </c>
      <c r="AD38" s="341">
        <v>0</v>
      </c>
      <c r="AE38" s="344">
        <f t="shared" si="16"/>
        <v>9674932</v>
      </c>
      <c r="AF38" s="345"/>
      <c r="AG38" s="341"/>
      <c r="AH38" s="341"/>
      <c r="AI38" s="352">
        <f t="shared" si="17"/>
        <v>9674932</v>
      </c>
      <c r="AJ38" s="341">
        <f t="shared" si="3"/>
        <v>-8659981</v>
      </c>
      <c r="AK38" s="341">
        <v>18334913</v>
      </c>
    </row>
    <row r="39" spans="1:38" s="346" customFormat="1" ht="15.75" customHeight="1">
      <c r="A39" s="342" t="s">
        <v>391</v>
      </c>
      <c r="B39" s="348"/>
      <c r="C39" s="343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4"/>
      <c r="O39" s="345"/>
      <c r="P39" s="341"/>
      <c r="Q39" s="341"/>
      <c r="R39" s="341"/>
      <c r="S39" s="348">
        <v>6710516</v>
      </c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4">
        <f t="shared" si="16"/>
        <v>6710516</v>
      </c>
      <c r="AF39" s="345"/>
      <c r="AG39" s="341"/>
      <c r="AH39" s="341"/>
      <c r="AI39" s="352">
        <f t="shared" si="17"/>
        <v>6710516</v>
      </c>
      <c r="AJ39" s="341"/>
      <c r="AK39" s="341"/>
    </row>
    <row r="40" spans="1:38" s="346" customFormat="1" ht="15.75" customHeight="1">
      <c r="A40" s="342" t="s">
        <v>214</v>
      </c>
      <c r="B40" s="348"/>
      <c r="C40" s="343">
        <f t="shared" si="13"/>
        <v>0</v>
      </c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4">
        <f t="shared" si="14"/>
        <v>0</v>
      </c>
      <c r="O40" s="345"/>
      <c r="P40" s="341"/>
      <c r="Q40" s="341"/>
      <c r="R40" s="341">
        <f t="shared" si="15"/>
        <v>0</v>
      </c>
      <c r="S40" s="348">
        <v>2203673</v>
      </c>
      <c r="T40" s="341">
        <v>0</v>
      </c>
      <c r="U40" s="341">
        <v>0</v>
      </c>
      <c r="V40" s="341">
        <v>0</v>
      </c>
      <c r="W40" s="341">
        <v>0</v>
      </c>
      <c r="X40" s="341">
        <v>0</v>
      </c>
      <c r="Y40" s="341">
        <v>0</v>
      </c>
      <c r="Z40" s="341">
        <v>0</v>
      </c>
      <c r="AA40" s="341">
        <v>0</v>
      </c>
      <c r="AB40" s="341">
        <v>0</v>
      </c>
      <c r="AC40" s="341">
        <v>0</v>
      </c>
      <c r="AD40" s="341">
        <v>0</v>
      </c>
      <c r="AE40" s="344">
        <f t="shared" si="16"/>
        <v>2203673</v>
      </c>
      <c r="AF40" s="345"/>
      <c r="AG40" s="341"/>
      <c r="AH40" s="341"/>
      <c r="AI40" s="352">
        <f t="shared" si="17"/>
        <v>2203673</v>
      </c>
      <c r="AJ40" s="341">
        <f t="shared" si="3"/>
        <v>2203673</v>
      </c>
      <c r="AK40" s="341">
        <v>0</v>
      </c>
    </row>
    <row r="41" spans="1:38" ht="15.75" customHeight="1">
      <c r="A41" s="3" t="s">
        <v>84</v>
      </c>
      <c r="B41" s="61">
        <v>14282894</v>
      </c>
      <c r="C41" s="181">
        <f t="shared" si="13"/>
        <v>0</v>
      </c>
      <c r="D41" s="61">
        <v>14282894</v>
      </c>
      <c r="E41" s="61">
        <v>0</v>
      </c>
      <c r="F41" s="61">
        <v>2666934.9300000002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13">
        <f t="shared" si="14"/>
        <v>16949828.93</v>
      </c>
      <c r="O41" s="12" t="s">
        <v>178</v>
      </c>
      <c r="P41" s="4">
        <f>+'Asientos - para Consolidado'!D57</f>
        <v>2666934.9300000002</v>
      </c>
      <c r="Q41" s="4"/>
      <c r="R41" s="4">
        <f t="shared" si="15"/>
        <v>14282894</v>
      </c>
      <c r="S41" s="61">
        <v>10628880</v>
      </c>
      <c r="T41" s="4">
        <v>0</v>
      </c>
      <c r="U41" s="61">
        <v>2566935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1">
        <v>3477854</v>
      </c>
      <c r="AC41" s="4">
        <v>507600</v>
      </c>
      <c r="AD41" s="4">
        <v>0</v>
      </c>
      <c r="AE41" s="13">
        <f t="shared" si="16"/>
        <v>17181269</v>
      </c>
      <c r="AF41" s="12" t="s">
        <v>279</v>
      </c>
      <c r="AG41" s="4">
        <f>+'Diarios Cxc Cxp relac (c)'!D30</f>
        <v>3985455</v>
      </c>
      <c r="AH41" s="4"/>
      <c r="AI41" s="4">
        <f t="shared" si="17"/>
        <v>13195814</v>
      </c>
      <c r="AJ41" s="4">
        <f t="shared" si="3"/>
        <v>-1087080</v>
      </c>
      <c r="AK41" s="4">
        <v>14282894</v>
      </c>
    </row>
    <row r="42" spans="1:38" ht="15.75" customHeight="1">
      <c r="A42" s="3" t="s">
        <v>284</v>
      </c>
      <c r="B42" s="61"/>
      <c r="C42" s="181">
        <f t="shared" si="13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13">
        <f t="shared" si="14"/>
        <v>0</v>
      </c>
      <c r="O42" s="12"/>
      <c r="P42" s="4"/>
      <c r="Q42" s="4"/>
      <c r="R42" s="4">
        <f t="shared" si="15"/>
        <v>0</v>
      </c>
      <c r="S42" s="61">
        <v>3182459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16045</v>
      </c>
      <c r="AC42" s="4">
        <v>0</v>
      </c>
      <c r="AD42" s="4">
        <v>0</v>
      </c>
      <c r="AE42" s="13">
        <f t="shared" si="16"/>
        <v>3198504</v>
      </c>
      <c r="AF42" s="12" t="s">
        <v>279</v>
      </c>
      <c r="AG42" s="4">
        <f>+'Diarios Cxc Cxp relac (c)'!D31</f>
        <v>0</v>
      </c>
      <c r="AH42" s="4"/>
      <c r="AI42" s="4">
        <f>AE42-AG42+AH42</f>
        <v>3198504</v>
      </c>
      <c r="AJ42" s="4">
        <f t="shared" si="3"/>
        <v>3198504</v>
      </c>
      <c r="AK42" s="4">
        <v>0</v>
      </c>
    </row>
    <row r="43" spans="1:38" ht="15.75" customHeight="1">
      <c r="A43" s="3" t="s">
        <v>215</v>
      </c>
      <c r="B43" s="61"/>
      <c r="C43" s="181">
        <f t="shared" si="13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13">
        <f t="shared" si="14"/>
        <v>0</v>
      </c>
      <c r="O43" s="12"/>
      <c r="P43" s="4"/>
      <c r="Q43" s="4"/>
      <c r="R43" s="4">
        <f t="shared" si="15"/>
        <v>0</v>
      </c>
      <c r="S43" s="61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1">
        <v>0</v>
      </c>
      <c r="AC43" s="4">
        <v>0</v>
      </c>
      <c r="AD43" s="4">
        <v>0</v>
      </c>
      <c r="AE43" s="13">
        <f t="shared" si="16"/>
        <v>0</v>
      </c>
      <c r="AF43" s="12"/>
      <c r="AG43" s="4"/>
      <c r="AH43" s="4"/>
      <c r="AI43" s="4">
        <f t="shared" si="17"/>
        <v>0</v>
      </c>
      <c r="AJ43" s="4">
        <f t="shared" si="3"/>
        <v>0</v>
      </c>
      <c r="AK43" s="4">
        <v>0</v>
      </c>
    </row>
    <row r="44" spans="1:38" ht="15.75" customHeight="1">
      <c r="A44" s="3" t="s">
        <v>86</v>
      </c>
      <c r="B44" s="61">
        <v>3513316</v>
      </c>
      <c r="C44" s="181">
        <f t="shared" si="13"/>
        <v>924346</v>
      </c>
      <c r="D44" s="61">
        <v>4437662</v>
      </c>
      <c r="E44" s="61">
        <v>0</v>
      </c>
      <c r="F44" s="61">
        <v>0</v>
      </c>
      <c r="G44" s="61">
        <v>0</v>
      </c>
      <c r="H44" s="61">
        <f>21025.63+12925.72</f>
        <v>33951.35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13">
        <f t="shared" ref="N44" si="21">SUM(D44:M44)</f>
        <v>4471613.3499999996</v>
      </c>
      <c r="O44" s="12"/>
      <c r="P44" s="4"/>
      <c r="Q44" s="4"/>
      <c r="R44" s="4">
        <f t="shared" si="15"/>
        <v>4471613.3499999996</v>
      </c>
      <c r="S44" s="61">
        <v>5140510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61">
        <v>0</v>
      </c>
      <c r="AC44" s="61">
        <v>45037</v>
      </c>
      <c r="AD44" s="4">
        <v>0</v>
      </c>
      <c r="AE44" s="13">
        <f t="shared" si="16"/>
        <v>5185547</v>
      </c>
      <c r="AF44" s="12"/>
      <c r="AG44" s="4"/>
      <c r="AH44" s="4"/>
      <c r="AI44" s="4">
        <f t="shared" si="17"/>
        <v>5185547</v>
      </c>
      <c r="AJ44" s="4">
        <f t="shared" si="3"/>
        <v>713933</v>
      </c>
      <c r="AK44" s="4">
        <v>4471614</v>
      </c>
    </row>
    <row r="45" spans="1:38" s="346" customFormat="1" ht="15.75" customHeight="1">
      <c r="A45" s="342" t="s">
        <v>85</v>
      </c>
      <c r="B45" s="348">
        <v>13213506</v>
      </c>
      <c r="C45" s="343">
        <f t="shared" si="13"/>
        <v>0</v>
      </c>
      <c r="D45" s="348">
        <v>13213506</v>
      </c>
      <c r="E45" s="348">
        <v>0</v>
      </c>
      <c r="F45" s="348">
        <v>0</v>
      </c>
      <c r="G45" s="348">
        <v>0</v>
      </c>
      <c r="H45" s="348">
        <v>0</v>
      </c>
      <c r="I45" s="348">
        <v>0</v>
      </c>
      <c r="J45" s="348">
        <v>0</v>
      </c>
      <c r="K45" s="348">
        <v>0</v>
      </c>
      <c r="L45" s="348">
        <v>0</v>
      </c>
      <c r="M45" s="348">
        <v>0</v>
      </c>
      <c r="N45" s="344">
        <f t="shared" si="14"/>
        <v>13213506</v>
      </c>
      <c r="O45" s="345"/>
      <c r="P45" s="341"/>
      <c r="Q45" s="341"/>
      <c r="R45" s="341">
        <f t="shared" si="15"/>
        <v>13213506</v>
      </c>
      <c r="S45" s="348">
        <v>20813206</v>
      </c>
      <c r="T45" s="341">
        <v>0</v>
      </c>
      <c r="U45" s="341">
        <v>0</v>
      </c>
      <c r="V45" s="341">
        <v>0</v>
      </c>
      <c r="W45" s="341">
        <v>0</v>
      </c>
      <c r="X45" s="341">
        <v>0</v>
      </c>
      <c r="Y45" s="341">
        <v>0</v>
      </c>
      <c r="Z45" s="341">
        <v>0</v>
      </c>
      <c r="AA45" s="341">
        <v>0</v>
      </c>
      <c r="AB45" s="348">
        <v>0</v>
      </c>
      <c r="AC45" s="341">
        <v>0</v>
      </c>
      <c r="AD45" s="341">
        <v>0</v>
      </c>
      <c r="AE45" s="344">
        <f>SUM(S45:AD45)</f>
        <v>20813206</v>
      </c>
      <c r="AF45" s="345"/>
      <c r="AG45" s="341"/>
      <c r="AH45" s="341"/>
      <c r="AI45" s="341">
        <f t="shared" si="17"/>
        <v>20813206</v>
      </c>
      <c r="AJ45" s="341">
        <f t="shared" si="3"/>
        <v>7599700</v>
      </c>
      <c r="AK45" s="341">
        <v>13213506</v>
      </c>
    </row>
    <row r="46" spans="1:38" ht="15.75" customHeight="1" thickBot="1">
      <c r="A46" s="3" t="s">
        <v>87</v>
      </c>
      <c r="B46" s="44">
        <v>3572443</v>
      </c>
      <c r="C46" s="181">
        <f t="shared" si="13"/>
        <v>2334259</v>
      </c>
      <c r="D46" s="44">
        <v>5906702</v>
      </c>
      <c r="E46" s="44">
        <v>0</v>
      </c>
      <c r="F46" s="44">
        <v>0</v>
      </c>
      <c r="G46" s="44">
        <v>31406.06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6">
        <f>SUM(D46:M46)</f>
        <v>5938108.0599999996</v>
      </c>
      <c r="O46" s="12"/>
      <c r="P46" s="4"/>
      <c r="Q46" s="4"/>
      <c r="R46" s="44">
        <f>N46-P46+Q46</f>
        <v>5938108.0599999996</v>
      </c>
      <c r="S46" s="44">
        <v>3572443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6">
        <f>SUM(S46:AD46)</f>
        <v>3572443</v>
      </c>
      <c r="AF46" s="12"/>
      <c r="AG46" s="4"/>
      <c r="AH46" s="4"/>
      <c r="AI46" s="44">
        <f>AE46-AG46+AH46</f>
        <v>3572443</v>
      </c>
      <c r="AJ46" s="44">
        <f t="shared" si="3"/>
        <v>-2365666</v>
      </c>
      <c r="AK46" s="44">
        <v>5938109</v>
      </c>
    </row>
    <row r="47" spans="1:38" ht="15.75" customHeight="1">
      <c r="A47" s="5" t="s">
        <v>40</v>
      </c>
      <c r="B47" s="45">
        <f>SUM(B28:B46)</f>
        <v>124943136</v>
      </c>
      <c r="C47" s="178"/>
      <c r="D47" s="45">
        <f t="shared" ref="D47:N47" si="22">SUM(D28:D46)</f>
        <v>128201741</v>
      </c>
      <c r="E47" s="45">
        <f t="shared" si="22"/>
        <v>3790625</v>
      </c>
      <c r="F47" s="45">
        <f t="shared" si="22"/>
        <v>3007926.43</v>
      </c>
      <c r="G47" s="45">
        <f t="shared" si="22"/>
        <v>1407249.06</v>
      </c>
      <c r="H47" s="45">
        <f t="shared" si="22"/>
        <v>604577.14999999991</v>
      </c>
      <c r="I47" s="45">
        <f t="shared" si="22"/>
        <v>0</v>
      </c>
      <c r="J47" s="45">
        <f t="shared" si="22"/>
        <v>793.6</v>
      </c>
      <c r="K47" s="45">
        <f t="shared" si="22"/>
        <v>0</v>
      </c>
      <c r="L47" s="45">
        <f t="shared" si="22"/>
        <v>0</v>
      </c>
      <c r="M47" s="45">
        <f t="shared" si="22"/>
        <v>0</v>
      </c>
      <c r="N47" s="45">
        <f t="shared" si="22"/>
        <v>137012912.23999998</v>
      </c>
      <c r="O47" s="12"/>
      <c r="P47" s="43"/>
      <c r="Q47" s="43"/>
      <c r="R47" s="45">
        <f>SUM(R28:R46)</f>
        <v>129584486.41999999</v>
      </c>
      <c r="S47" s="45">
        <f>SUM(S27:S46)</f>
        <v>126573375</v>
      </c>
      <c r="T47" s="45">
        <f t="shared" ref="T47:AD47" si="23">SUM(T28:T46)</f>
        <v>8586796</v>
      </c>
      <c r="U47" s="45">
        <f t="shared" si="23"/>
        <v>2683308</v>
      </c>
      <c r="V47" s="45">
        <f t="shared" si="23"/>
        <v>180603</v>
      </c>
      <c r="W47" s="45">
        <f t="shared" si="23"/>
        <v>1296079</v>
      </c>
      <c r="X47" s="45">
        <f t="shared" si="23"/>
        <v>0</v>
      </c>
      <c r="Y47" s="45">
        <f t="shared" si="23"/>
        <v>0</v>
      </c>
      <c r="Z47" s="45">
        <f t="shared" si="23"/>
        <v>0</v>
      </c>
      <c r="AA47" s="45">
        <f t="shared" si="23"/>
        <v>0</v>
      </c>
      <c r="AB47" s="45">
        <f t="shared" si="23"/>
        <v>3525403</v>
      </c>
      <c r="AC47" s="45">
        <f t="shared" si="23"/>
        <v>751998</v>
      </c>
      <c r="AD47" s="45">
        <f t="shared" si="23"/>
        <v>979148</v>
      </c>
      <c r="AE47" s="45">
        <f>SUM(AE27:AE46)</f>
        <v>144576710</v>
      </c>
      <c r="AF47" s="12"/>
      <c r="AG47" s="43"/>
      <c r="AH47" s="43"/>
      <c r="AI47" s="45">
        <f>SUM(AI27:AI46)</f>
        <v>129399635</v>
      </c>
      <c r="AJ47" s="45">
        <f t="shared" si="3"/>
        <v>-184853</v>
      </c>
      <c r="AK47" s="45">
        <f>SUM(AK28:AK46)</f>
        <v>129584488</v>
      </c>
    </row>
    <row r="48" spans="1:38" ht="15.75" customHeight="1">
      <c r="A48" s="3" t="s">
        <v>8</v>
      </c>
      <c r="B48" s="4">
        <v>23879352</v>
      </c>
      <c r="C48" s="181">
        <f t="shared" ref="C48:C57" si="24">D48-B48</f>
        <v>0</v>
      </c>
      <c r="D48" s="4">
        <v>23879352</v>
      </c>
      <c r="E48" s="19">
        <v>5000</v>
      </c>
      <c r="F48" s="19">
        <v>105000</v>
      </c>
      <c r="G48" s="19">
        <v>10000</v>
      </c>
      <c r="H48" s="4">
        <v>1000</v>
      </c>
      <c r="I48" s="4">
        <v>1000</v>
      </c>
      <c r="J48" s="4">
        <v>5000</v>
      </c>
      <c r="K48" s="4">
        <v>10000</v>
      </c>
      <c r="L48" s="4">
        <v>800</v>
      </c>
      <c r="M48" s="4">
        <v>800</v>
      </c>
      <c r="N48" s="13">
        <f t="shared" ref="N48:N56" si="25">SUM(D48:M48)</f>
        <v>24017952</v>
      </c>
      <c r="O48" s="12" t="s">
        <v>42</v>
      </c>
      <c r="P48" s="4">
        <f>+'Asientos - para Consolidado'!D24</f>
        <v>138600</v>
      </c>
      <c r="Q48" s="4"/>
      <c r="R48" s="4">
        <f t="shared" ref="R48:R56" si="26">N48-P48+Q48</f>
        <v>23879352</v>
      </c>
      <c r="S48" s="4">
        <v>30006697</v>
      </c>
      <c r="T48" s="19">
        <v>5000</v>
      </c>
      <c r="U48" s="19">
        <v>1105000</v>
      </c>
      <c r="V48" s="19">
        <v>10000</v>
      </c>
      <c r="W48" s="4">
        <v>1000</v>
      </c>
      <c r="X48" s="4">
        <v>1000</v>
      </c>
      <c r="Y48" s="4">
        <v>5000</v>
      </c>
      <c r="Z48" s="4">
        <v>10000</v>
      </c>
      <c r="AA48" s="4">
        <v>800</v>
      </c>
      <c r="AB48" s="4">
        <v>800</v>
      </c>
      <c r="AC48" s="4">
        <v>3661400</v>
      </c>
      <c r="AD48" s="4">
        <v>10000</v>
      </c>
      <c r="AE48" s="13">
        <f>SUM(S48:AD48)</f>
        <v>34816697</v>
      </c>
      <c r="AF48" s="12" t="s">
        <v>280</v>
      </c>
      <c r="AG48" s="4">
        <f>'Diario 2015 (a)'!C2+'Inversiones 2018'!W160</f>
        <v>4810000.0199999996</v>
      </c>
      <c r="AH48" s="4"/>
      <c r="AI48" s="4">
        <f>AE48-AG48+AH48</f>
        <v>30006696.98</v>
      </c>
      <c r="AJ48" s="4">
        <f t="shared" si="3"/>
        <v>6127344.9800000004</v>
      </c>
      <c r="AK48" s="4">
        <v>23879352</v>
      </c>
      <c r="AL48" s="296">
        <f t="shared" ref="AL48:AL53" si="27">+S48-AI48</f>
        <v>1.9999999552965164E-2</v>
      </c>
    </row>
    <row r="49" spans="1:43" ht="15.75" customHeight="1">
      <c r="A49" s="3" t="s">
        <v>88</v>
      </c>
      <c r="B49" s="4">
        <v>705936</v>
      </c>
      <c r="C49" s="181">
        <f t="shared" si="24"/>
        <v>0</v>
      </c>
      <c r="D49" s="4">
        <v>705936</v>
      </c>
      <c r="E49" s="19">
        <v>37184314</v>
      </c>
      <c r="F49" s="19">
        <f>1000000+260413.02</f>
        <v>1260413.02</v>
      </c>
      <c r="G49" s="19">
        <v>0</v>
      </c>
      <c r="H49" s="4">
        <v>49015</v>
      </c>
      <c r="I49" s="4">
        <v>330450</v>
      </c>
      <c r="J49" s="4">
        <v>0</v>
      </c>
      <c r="K49" s="4">
        <v>0</v>
      </c>
      <c r="L49" s="4">
        <v>0</v>
      </c>
      <c r="M49" s="4">
        <v>0</v>
      </c>
      <c r="N49" s="13">
        <f t="shared" si="25"/>
        <v>39530128.020000003</v>
      </c>
      <c r="O49" s="12" t="s">
        <v>189</v>
      </c>
      <c r="P49" s="4">
        <f>+'Asientos - para Consolidado'!D16+'Asientos - para Consolidado'!D25+'Asientos - para Consolidado'!D62</f>
        <v>38824192</v>
      </c>
      <c r="Q49" s="4"/>
      <c r="R49" s="4">
        <f t="shared" si="26"/>
        <v>705936.02000000328</v>
      </c>
      <c r="S49" s="4">
        <v>920</v>
      </c>
      <c r="T49" s="19">
        <v>42340052</v>
      </c>
      <c r="U49" s="19">
        <v>877313</v>
      </c>
      <c r="V49" s="4">
        <v>0</v>
      </c>
      <c r="W49" s="4">
        <v>49015</v>
      </c>
      <c r="X49" s="4">
        <v>330450</v>
      </c>
      <c r="Y49" s="4">
        <v>0</v>
      </c>
      <c r="Z49" s="4">
        <v>0</v>
      </c>
      <c r="AA49" s="4">
        <v>0</v>
      </c>
      <c r="AB49" s="4">
        <v>1833417</v>
      </c>
      <c r="AC49" s="4">
        <v>406800</v>
      </c>
      <c r="AD49" s="4">
        <v>0</v>
      </c>
      <c r="AE49" s="13">
        <f t="shared" ref="AE49:AE56" si="28">SUM(S49:AD49)</f>
        <v>45837967</v>
      </c>
      <c r="AF49" s="12" t="s">
        <v>280</v>
      </c>
      <c r="AG49" s="4">
        <f>'Diario 2015 (a)'!C3+'Inversiones 2018'!W161</f>
        <v>41755120.629999995</v>
      </c>
      <c r="AH49" s="4"/>
      <c r="AI49" s="4">
        <f t="shared" ref="AI49:AI56" si="29">AE49-AG49+AH49</f>
        <v>4082846.3700000048</v>
      </c>
      <c r="AJ49" s="4">
        <f t="shared" si="3"/>
        <v>3376910.3700000048</v>
      </c>
      <c r="AK49" s="4">
        <v>705936</v>
      </c>
      <c r="AL49" s="296">
        <f t="shared" si="27"/>
        <v>-4081926.3700000048</v>
      </c>
      <c r="AO49" s="297">
        <f>AK26-AK47-AK58</f>
        <v>0</v>
      </c>
    </row>
    <row r="50" spans="1:43" ht="15.75" customHeight="1">
      <c r="A50" s="3" t="s">
        <v>17</v>
      </c>
      <c r="B50" s="4">
        <v>2640253</v>
      </c>
      <c r="C50" s="181">
        <f t="shared" si="24"/>
        <v>0</v>
      </c>
      <c r="D50" s="4">
        <v>2640253</v>
      </c>
      <c r="E50" s="19">
        <v>0</v>
      </c>
      <c r="F50" s="19">
        <v>0</v>
      </c>
      <c r="G50" s="19">
        <v>74426.570000000007</v>
      </c>
      <c r="H50" s="4">
        <v>500</v>
      </c>
      <c r="I50" s="4">
        <v>109633.48</v>
      </c>
      <c r="J50" s="4">
        <v>0</v>
      </c>
      <c r="K50" s="4">
        <v>0</v>
      </c>
      <c r="L50" s="4">
        <v>0</v>
      </c>
      <c r="M50" s="4">
        <v>0</v>
      </c>
      <c r="N50" s="13">
        <f t="shared" si="25"/>
        <v>2824813.05</v>
      </c>
      <c r="O50" s="12" t="s">
        <v>42</v>
      </c>
      <c r="P50" s="4">
        <f>+'Asientos - para Consolidado'!D26</f>
        <v>184560.05</v>
      </c>
      <c r="Q50" s="4"/>
      <c r="R50" s="4">
        <f t="shared" si="26"/>
        <v>2640253</v>
      </c>
      <c r="S50" s="4">
        <v>4662954</v>
      </c>
      <c r="T50" s="4">
        <v>0</v>
      </c>
      <c r="U50" s="4">
        <v>0</v>
      </c>
      <c r="V50" s="19">
        <v>74426</v>
      </c>
      <c r="W50" s="4">
        <v>500</v>
      </c>
      <c r="X50" s="4">
        <v>109633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13">
        <f t="shared" si="28"/>
        <v>4847513</v>
      </c>
      <c r="AF50" s="12" t="s">
        <v>278</v>
      </c>
      <c r="AG50" s="4">
        <f>'Diario 2015 (a)'!C4</f>
        <v>184560.05</v>
      </c>
      <c r="AH50" s="4"/>
      <c r="AI50" s="4">
        <f t="shared" si="29"/>
        <v>4662952.95</v>
      </c>
      <c r="AJ50" s="4">
        <f t="shared" si="3"/>
        <v>2022699.9500000002</v>
      </c>
      <c r="AK50" s="4">
        <v>2640253</v>
      </c>
      <c r="AL50" s="296">
        <f t="shared" si="27"/>
        <v>1.0499999998137355</v>
      </c>
    </row>
    <row r="51" spans="1:43" ht="15.75" customHeight="1">
      <c r="A51" s="3" t="s">
        <v>19</v>
      </c>
      <c r="B51" s="4">
        <v>34797</v>
      </c>
      <c r="C51" s="181">
        <f t="shared" si="24"/>
        <v>0</v>
      </c>
      <c r="D51" s="4">
        <v>34797</v>
      </c>
      <c r="E51" s="19">
        <v>0</v>
      </c>
      <c r="F51" s="19">
        <v>0</v>
      </c>
      <c r="G51" s="19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3">
        <f t="shared" si="25"/>
        <v>34797</v>
      </c>
      <c r="O51" s="12"/>
      <c r="P51" s="4"/>
      <c r="Q51" s="4"/>
      <c r="R51" s="4">
        <f t="shared" si="26"/>
        <v>34797</v>
      </c>
      <c r="S51" s="4">
        <v>34797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13">
        <f t="shared" si="28"/>
        <v>34797</v>
      </c>
      <c r="AF51" s="12"/>
      <c r="AG51" s="4"/>
      <c r="AH51" s="4"/>
      <c r="AI51" s="4">
        <f t="shared" si="29"/>
        <v>34797</v>
      </c>
      <c r="AJ51" s="4">
        <f t="shared" si="3"/>
        <v>0</v>
      </c>
      <c r="AK51" s="4">
        <v>34797</v>
      </c>
      <c r="AL51" s="296">
        <f t="shared" si="27"/>
        <v>0</v>
      </c>
    </row>
    <row r="52" spans="1:43" ht="15.75" customHeight="1">
      <c r="A52" s="3" t="s">
        <v>18</v>
      </c>
      <c r="B52" s="4">
        <v>227072</v>
      </c>
      <c r="C52" s="181">
        <f t="shared" si="24"/>
        <v>0</v>
      </c>
      <c r="D52" s="4">
        <v>227072</v>
      </c>
      <c r="E52" s="19">
        <v>0</v>
      </c>
      <c r="F52" s="19">
        <v>0</v>
      </c>
      <c r="G52" s="19">
        <v>0</v>
      </c>
      <c r="H52" s="4">
        <v>0</v>
      </c>
      <c r="I52" s="4">
        <v>0</v>
      </c>
      <c r="J52" s="4">
        <v>1226.1199999999999</v>
      </c>
      <c r="K52" s="4">
        <v>0</v>
      </c>
      <c r="L52" s="4">
        <v>340.17</v>
      </c>
      <c r="M52" s="4">
        <v>0</v>
      </c>
      <c r="N52" s="13">
        <f t="shared" si="25"/>
        <v>228638.29</v>
      </c>
      <c r="O52" s="12" t="s">
        <v>42</v>
      </c>
      <c r="P52" s="4">
        <f>+'Asientos - para Consolidado'!D27</f>
        <v>1566.29</v>
      </c>
      <c r="Q52" s="4"/>
      <c r="R52" s="4">
        <f t="shared" si="26"/>
        <v>227072</v>
      </c>
      <c r="S52" s="4">
        <v>227072</v>
      </c>
      <c r="T52" s="4">
        <v>0</v>
      </c>
      <c r="U52" s="4">
        <v>0</v>
      </c>
      <c r="V52" s="19">
        <v>0</v>
      </c>
      <c r="W52" s="4">
        <v>0</v>
      </c>
      <c r="X52" s="4">
        <v>0</v>
      </c>
      <c r="Y52" s="4">
        <v>1226</v>
      </c>
      <c r="Z52" s="4">
        <v>0</v>
      </c>
      <c r="AA52" s="4">
        <v>340</v>
      </c>
      <c r="AB52" s="4">
        <v>0</v>
      </c>
      <c r="AC52" s="4">
        <v>274690</v>
      </c>
      <c r="AD52" s="4">
        <v>0</v>
      </c>
      <c r="AE52" s="13">
        <f t="shared" si="28"/>
        <v>503328</v>
      </c>
      <c r="AF52" s="12" t="s">
        <v>278</v>
      </c>
      <c r="AG52" s="4">
        <f>'Diario 2015 (a)'!C5+'Inversiones 2018'!W170</f>
        <v>276256.28999999998</v>
      </c>
      <c r="AH52" s="4"/>
      <c r="AI52" s="4">
        <f t="shared" si="29"/>
        <v>227071.71000000002</v>
      </c>
      <c r="AJ52" s="4">
        <f t="shared" si="3"/>
        <v>-0.28999999997904524</v>
      </c>
      <c r="AK52" s="4">
        <v>227072</v>
      </c>
      <c r="AL52" s="296">
        <f t="shared" si="27"/>
        <v>0.28999999997904524</v>
      </c>
      <c r="AO52" s="296">
        <f>SUM(AK52:AK56)</f>
        <v>31964783</v>
      </c>
    </row>
    <row r="53" spans="1:43" ht="15.75" customHeight="1">
      <c r="A53" s="3" t="s">
        <v>20</v>
      </c>
      <c r="B53" s="4">
        <v>-3202431</v>
      </c>
      <c r="C53" s="181">
        <f t="shared" si="24"/>
        <v>0</v>
      </c>
      <c r="D53" s="4">
        <v>-3202431</v>
      </c>
      <c r="E53" s="19">
        <v>0</v>
      </c>
      <c r="F53" s="19">
        <v>0</v>
      </c>
      <c r="G53" s="19">
        <v>0</v>
      </c>
      <c r="H53" s="4">
        <v>82150.45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3">
        <f t="shared" si="25"/>
        <v>-3120280.55</v>
      </c>
      <c r="O53" s="12" t="s">
        <v>42</v>
      </c>
      <c r="P53" s="4">
        <f>+'Asientos - para Consolidado'!D28</f>
        <v>82150.45</v>
      </c>
      <c r="Q53" s="4"/>
      <c r="R53" s="4">
        <f t="shared" si="26"/>
        <v>-3202431</v>
      </c>
      <c r="S53" s="4">
        <v>-3202431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-56932</v>
      </c>
      <c r="AD53" s="4">
        <v>0</v>
      </c>
      <c r="AE53" s="13">
        <f t="shared" si="28"/>
        <v>-3259363</v>
      </c>
      <c r="AF53" s="12" t="s">
        <v>280</v>
      </c>
      <c r="AG53" s="4">
        <f>'Diario 2015 (a)'!C6</f>
        <v>82150.45</v>
      </c>
      <c r="AH53" s="4">
        <f>'Inversiones 2018'!X171</f>
        <v>98007.225000000006</v>
      </c>
      <c r="AI53" s="4">
        <f t="shared" si="29"/>
        <v>-3243506.2250000001</v>
      </c>
      <c r="AJ53" s="4">
        <f t="shared" si="3"/>
        <v>-41075.225000000093</v>
      </c>
      <c r="AK53" s="4">
        <v>-3202431</v>
      </c>
      <c r="AL53" s="296">
        <f t="shared" si="27"/>
        <v>41075.225000000093</v>
      </c>
      <c r="AP53" s="298"/>
    </row>
    <row r="54" spans="1:43" ht="15.75" customHeight="1">
      <c r="A54" s="3" t="s">
        <v>392</v>
      </c>
      <c r="B54" s="4"/>
      <c r="C54" s="181"/>
      <c r="D54" s="4"/>
      <c r="E54" s="19"/>
      <c r="F54" s="19"/>
      <c r="G54" s="19"/>
      <c r="H54" s="4"/>
      <c r="I54" s="4"/>
      <c r="J54" s="4"/>
      <c r="K54" s="4"/>
      <c r="L54" s="4"/>
      <c r="M54" s="4"/>
      <c r="N54" s="13"/>
      <c r="O54" s="12"/>
      <c r="P54" s="4"/>
      <c r="Q54" s="4"/>
      <c r="R54" s="4"/>
      <c r="S54" s="4">
        <f>1849659-495802</f>
        <v>1353857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>
        <f t="shared" si="28"/>
        <v>1353857</v>
      </c>
      <c r="AF54" s="12"/>
      <c r="AG54" s="4"/>
      <c r="AH54" s="4"/>
      <c r="AI54" s="4">
        <f t="shared" si="29"/>
        <v>1353857</v>
      </c>
      <c r="AJ54" s="4"/>
      <c r="AK54" s="4"/>
      <c r="AL54" s="296"/>
      <c r="AP54" s="298"/>
    </row>
    <row r="55" spans="1:43" ht="15.75" customHeight="1">
      <c r="A55" s="3" t="s">
        <v>21</v>
      </c>
      <c r="B55" s="4">
        <f>41559897-13418852</f>
        <v>28141045</v>
      </c>
      <c r="C55" s="181">
        <f t="shared" si="24"/>
        <v>-5585599</v>
      </c>
      <c r="D55" s="4">
        <v>22555446</v>
      </c>
      <c r="E55" s="19">
        <v>0</v>
      </c>
      <c r="F55" s="19">
        <v>-41629.31</v>
      </c>
      <c r="G55" s="19">
        <v>895753.95</v>
      </c>
      <c r="H55" s="4">
        <f>387853.68-258715.33</f>
        <v>129138.35</v>
      </c>
      <c r="I55" s="4">
        <v>-26948.34</v>
      </c>
      <c r="J55" s="4">
        <v>968.87</v>
      </c>
      <c r="K55" s="4">
        <v>0</v>
      </c>
      <c r="L55" s="4">
        <v>0</v>
      </c>
      <c r="M55" s="4">
        <v>0</v>
      </c>
      <c r="N55" s="13">
        <f t="shared" si="25"/>
        <v>23512729.520000003</v>
      </c>
      <c r="O55" s="12" t="s">
        <v>184</v>
      </c>
      <c r="P55" s="4">
        <f>+'Asientos - para Consolidado'!D29+'Asientos - para Consolidado'!D32</f>
        <v>1785831.8836487459</v>
      </c>
      <c r="Q55" s="4">
        <f>+'Asientos - para Consolidado'!E34</f>
        <v>1044878.7099375</v>
      </c>
      <c r="R55" s="4">
        <f t="shared" si="26"/>
        <v>22771776.346288759</v>
      </c>
      <c r="S55" s="349">
        <f>31666289+495802-200</f>
        <v>32161891</v>
      </c>
      <c r="T55" s="19">
        <v>2254833</v>
      </c>
      <c r="U55" s="19">
        <v>-16937</v>
      </c>
      <c r="V55" s="19">
        <v>911628</v>
      </c>
      <c r="W55" s="4">
        <v>-488265</v>
      </c>
      <c r="X55" s="4">
        <v>-53896</v>
      </c>
      <c r="Y55" s="4">
        <v>1763</v>
      </c>
      <c r="Z55" s="4">
        <v>0</v>
      </c>
      <c r="AA55" s="4">
        <v>0</v>
      </c>
      <c r="AB55" s="4">
        <v>-15422</v>
      </c>
      <c r="AC55" s="4">
        <v>-3886526</v>
      </c>
      <c r="AD55" s="4">
        <v>-144335</v>
      </c>
      <c r="AE55" s="13">
        <f t="shared" si="28"/>
        <v>30724734</v>
      </c>
      <c r="AF55" s="12" t="s">
        <v>281</v>
      </c>
      <c r="AG55" s="4">
        <f>'Diario 2015 (a)'!C7+'Diario 2015 (a)'!C9+'Inversiones 2018'!W167</f>
        <v>3731451.5121573415</v>
      </c>
      <c r="AH55" s="4">
        <f>'Diario 2015 (a)'!D11+'Inversiones 2018'!X167+'Diarios Cxc Cxp relac (c)'!E37</f>
        <v>5653571.6474687504</v>
      </c>
      <c r="AI55" s="4">
        <f t="shared" si="29"/>
        <v>32646854.135311406</v>
      </c>
      <c r="AJ55" s="4">
        <f t="shared" si="3"/>
        <v>9875078.1353114061</v>
      </c>
      <c r="AK55" s="4">
        <v>22771776</v>
      </c>
      <c r="AL55" s="296">
        <f>S55-AI55</f>
        <v>-484963.13531140611</v>
      </c>
      <c r="AM55" s="296"/>
      <c r="AO55" s="296"/>
      <c r="AP55" s="298"/>
    </row>
    <row r="56" spans="1:43" ht="15.75" customHeight="1">
      <c r="A56" s="3" t="s">
        <v>286</v>
      </c>
      <c r="B56" s="61">
        <v>13418852</v>
      </c>
      <c r="C56" s="181">
        <f t="shared" si="24"/>
        <v>19335</v>
      </c>
      <c r="D56" s="61">
        <f>D76</f>
        <v>13438187</v>
      </c>
      <c r="E56" s="62">
        <v>-428382</v>
      </c>
      <c r="F56" s="62">
        <v>-42247.24</v>
      </c>
      <c r="G56" s="62">
        <v>-71048.58</v>
      </c>
      <c r="H56" s="61">
        <v>-489726.71993750002</v>
      </c>
      <c r="I56" s="61">
        <v>-13474.17</v>
      </c>
      <c r="J56" s="61">
        <v>0</v>
      </c>
      <c r="K56" s="61">
        <v>0</v>
      </c>
      <c r="L56" s="61">
        <v>0</v>
      </c>
      <c r="M56" s="61">
        <v>0</v>
      </c>
      <c r="N56" s="13">
        <f t="shared" si="25"/>
        <v>12393308.2900625</v>
      </c>
      <c r="O56" s="12" t="s">
        <v>179</v>
      </c>
      <c r="P56" s="4">
        <f>+'Asientos - para Consolidado'!D43+'Asientos - para Consolidado'!D79</f>
        <v>669524.34</v>
      </c>
      <c r="Q56" s="4">
        <f>+'Asientos - para Consolidado'!E44</f>
        <v>444582</v>
      </c>
      <c r="R56" s="4">
        <f t="shared" si="26"/>
        <v>12168365.9500625</v>
      </c>
      <c r="S56" s="350">
        <v>5595545</v>
      </c>
      <c r="T56" s="62">
        <v>-1077724</v>
      </c>
      <c r="U56" s="62">
        <v>19337</v>
      </c>
      <c r="V56" s="62">
        <v>-15891</v>
      </c>
      <c r="W56" s="61">
        <v>-493384</v>
      </c>
      <c r="X56" s="61">
        <v>-13474</v>
      </c>
      <c r="Y56" s="4">
        <v>0</v>
      </c>
      <c r="Z56" s="4">
        <v>0</v>
      </c>
      <c r="AA56" s="4">
        <v>0</v>
      </c>
      <c r="AB56" s="61">
        <v>-344143</v>
      </c>
      <c r="AC56" s="4">
        <v>-502401</v>
      </c>
      <c r="AD56" s="4">
        <f>AD76</f>
        <v>-395559</v>
      </c>
      <c r="AE56" s="13">
        <f t="shared" si="28"/>
        <v>2772306</v>
      </c>
      <c r="AF56" s="12" t="s">
        <v>42</v>
      </c>
      <c r="AG56" s="340">
        <f>'Inversiones 2018'!W168+'Inversiones 2018'!W169+(AG60-AH61-AH64-AH65)</f>
        <v>-1252324.2888687784</v>
      </c>
      <c r="AH56" s="4">
        <f>'Inversiones 2018'!X168</f>
        <v>1178171.1535999998</v>
      </c>
      <c r="AI56" s="4">
        <f t="shared" si="29"/>
        <v>5202801.4424687782</v>
      </c>
      <c r="AJ56" s="4">
        <f t="shared" si="3"/>
        <v>-6965564.5575312218</v>
      </c>
      <c r="AK56" s="4">
        <v>12168366</v>
      </c>
      <c r="AL56" s="296">
        <f>AI56-S56</f>
        <v>-392743.55753122177</v>
      </c>
      <c r="AM56" s="299">
        <f>+AI56-AI81</f>
        <v>-1115754.5527538452</v>
      </c>
      <c r="AP56" s="298"/>
      <c r="AQ56" s="296"/>
    </row>
    <row r="57" spans="1:43" ht="15.75" customHeight="1" thickBot="1">
      <c r="A57" s="3" t="s">
        <v>14</v>
      </c>
      <c r="B57" s="44">
        <v>0</v>
      </c>
      <c r="C57" s="181">
        <f t="shared" si="24"/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6">
        <f>SUM(D57:M57)</f>
        <v>0</v>
      </c>
      <c r="O57" s="12" t="s">
        <v>42</v>
      </c>
      <c r="P57" s="4"/>
      <c r="Q57" s="4">
        <f>+'Asientos - para Consolidado'!E36</f>
        <v>9357519.0706554651</v>
      </c>
      <c r="R57" s="44">
        <f>N57-P57+Q57</f>
        <v>9357519.0706554651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6">
        <f>SUM(S57:AD57)</f>
        <v>0</v>
      </c>
      <c r="AF57" s="12" t="s">
        <v>280</v>
      </c>
      <c r="AG57" s="4">
        <f>'Inversiones 2018'!W166</f>
        <v>1295038.14753125</v>
      </c>
      <c r="AH57" s="4">
        <f>'Diario 2015 (a)'!D13+'Inversiones 2018'!X166</f>
        <v>9419918.5516952835</v>
      </c>
      <c r="AI57" s="44">
        <f>AE57-AG57+AH57</f>
        <v>8124880.404164033</v>
      </c>
      <c r="AJ57" s="44">
        <f t="shared" si="3"/>
        <v>-1232638.595835967</v>
      </c>
      <c r="AK57" s="44">
        <v>9357519</v>
      </c>
      <c r="AL57" s="296">
        <f>AL55-AL56</f>
        <v>-92219.577780184336</v>
      </c>
    </row>
    <row r="58" spans="1:43" ht="15.75" customHeight="1">
      <c r="A58" s="5" t="s">
        <v>41</v>
      </c>
      <c r="B58" s="47">
        <f t="shared" ref="B58" si="30">SUM(B48:B57)</f>
        <v>65844876</v>
      </c>
      <c r="C58" s="178"/>
      <c r="D58" s="47">
        <f t="shared" ref="D58:N58" si="31">SUM(D48:D57)</f>
        <v>60278612</v>
      </c>
      <c r="E58" s="47">
        <f t="shared" ref="E58" si="32">SUM(E48:E57)</f>
        <v>36760932</v>
      </c>
      <c r="F58" s="47">
        <f t="shared" si="31"/>
        <v>1281536.47</v>
      </c>
      <c r="G58" s="47">
        <f t="shared" si="31"/>
        <v>909131.94000000006</v>
      </c>
      <c r="H58" s="47">
        <f>SUM(H48:H57)</f>
        <v>-227922.9199375</v>
      </c>
      <c r="I58" s="47">
        <f t="shared" si="31"/>
        <v>400660.97</v>
      </c>
      <c r="J58" s="47">
        <f t="shared" si="31"/>
        <v>7194.99</v>
      </c>
      <c r="K58" s="47">
        <f t="shared" si="31"/>
        <v>10000</v>
      </c>
      <c r="L58" s="47">
        <f t="shared" si="31"/>
        <v>1140.17</v>
      </c>
      <c r="M58" s="47">
        <f t="shared" si="31"/>
        <v>800</v>
      </c>
      <c r="N58" s="47">
        <f t="shared" si="31"/>
        <v>99422085.620062515</v>
      </c>
      <c r="O58" s="11"/>
      <c r="P58" s="47"/>
      <c r="Q58" s="47"/>
      <c r="R58" s="47">
        <f>SUM(R48:R57)</f>
        <v>68582640.38700673</v>
      </c>
      <c r="S58" s="47">
        <f t="shared" ref="S58" si="33">SUM(S48:S57)</f>
        <v>70841302</v>
      </c>
      <c r="T58" s="47">
        <f>SUM(T48:T57)</f>
        <v>43522161</v>
      </c>
      <c r="U58" s="47">
        <f t="shared" ref="U58" si="34">SUM(U48:U57)</f>
        <v>1984713</v>
      </c>
      <c r="V58" s="47">
        <f t="shared" ref="V58" si="35">SUM(V48:V57)</f>
        <v>980163</v>
      </c>
      <c r="W58" s="47">
        <f>SUM(W48:W57)</f>
        <v>-931134</v>
      </c>
      <c r="X58" s="47">
        <f t="shared" ref="X58:AD58" si="36">SUM(X48:X57)</f>
        <v>373713</v>
      </c>
      <c r="Y58" s="47">
        <f t="shared" si="36"/>
        <v>7989</v>
      </c>
      <c r="Z58" s="47">
        <f t="shared" si="36"/>
        <v>10000</v>
      </c>
      <c r="AA58" s="47">
        <f t="shared" si="36"/>
        <v>1140</v>
      </c>
      <c r="AB58" s="47">
        <f t="shared" si="36"/>
        <v>1474652</v>
      </c>
      <c r="AC58" s="47">
        <f t="shared" si="36"/>
        <v>-102969</v>
      </c>
      <c r="AD58" s="47">
        <f t="shared" si="36"/>
        <v>-529894</v>
      </c>
      <c r="AE58" s="47">
        <f>SUM(AE48:AE57)</f>
        <v>117631836</v>
      </c>
      <c r="AF58" s="11"/>
      <c r="AG58" s="47"/>
      <c r="AH58" s="47"/>
      <c r="AI58" s="47">
        <f>SUM(AI48:AI57)</f>
        <v>83099251.76694423</v>
      </c>
      <c r="AJ58" s="47">
        <f t="shared" si="3"/>
        <v>14516611.76694423</v>
      </c>
      <c r="AK58" s="47">
        <f>SUM(AK48:AK57)</f>
        <v>68582640</v>
      </c>
    </row>
    <row r="59" spans="1:43" ht="15.75" customHeight="1">
      <c r="A59" s="5"/>
      <c r="B59" s="47"/>
      <c r="C59" s="17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11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11"/>
      <c r="AG59" s="47"/>
      <c r="AI59" s="47"/>
      <c r="AJ59" s="47"/>
      <c r="AK59" s="47"/>
      <c r="AL59" s="296">
        <f>+AI58+AI47</f>
        <v>212498886.76694423</v>
      </c>
      <c r="AM59" s="296">
        <f>+AL59-AI26</f>
        <v>0</v>
      </c>
    </row>
    <row r="60" spans="1:43" ht="15.75" customHeight="1">
      <c r="A60" s="3" t="s">
        <v>89</v>
      </c>
      <c r="B60" s="6">
        <v>124607414</v>
      </c>
      <c r="C60" s="181">
        <f t="shared" ref="C60:C61" si="37">D60-B60</f>
        <v>0</v>
      </c>
      <c r="D60" s="6">
        <v>124607414</v>
      </c>
      <c r="E60" s="6">
        <v>0</v>
      </c>
      <c r="F60" s="6">
        <v>0</v>
      </c>
      <c r="G60" s="6">
        <v>0</v>
      </c>
      <c r="H60" s="6">
        <v>60885.43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3">
        <f t="shared" ref="N60" si="38">SUM(D60:M60)</f>
        <v>124668299.43000001</v>
      </c>
      <c r="O60" s="10" t="s">
        <v>179</v>
      </c>
      <c r="P60" s="6">
        <f>+'Asientos - para Consolidado'!D43+'Asientos - para Consolidado'!D46</f>
        <v>455612</v>
      </c>
      <c r="Q60" s="6"/>
      <c r="R60" s="4">
        <f t="shared" ref="R60" si="39">N60-P60+Q60</f>
        <v>124212687.43000001</v>
      </c>
      <c r="S60" s="6">
        <v>152924768</v>
      </c>
      <c r="T60" s="6">
        <v>1907995</v>
      </c>
      <c r="U60" s="6">
        <v>636407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120923</v>
      </c>
      <c r="AC60" s="6">
        <v>280002</v>
      </c>
      <c r="AD60" s="6">
        <v>162445</v>
      </c>
      <c r="AE60" s="13">
        <f>SUM(S60:AD60)</f>
        <v>156032540</v>
      </c>
      <c r="AF60" s="10" t="s">
        <v>178</v>
      </c>
      <c r="AG60" s="6">
        <f>'Ventas-Compras (d)'!D26</f>
        <v>376468.58</v>
      </c>
      <c r="AH60" s="6"/>
      <c r="AI60" s="4">
        <f t="shared" ref="AI60" si="40">AE60-AG60+AH60</f>
        <v>155656071.41999999</v>
      </c>
      <c r="AJ60" s="4">
        <f t="shared" ref="AJ60:AJ62" si="41">AI60-AK60</f>
        <v>31443384.419999987</v>
      </c>
      <c r="AK60" s="4">
        <v>124212687</v>
      </c>
    </row>
    <row r="61" spans="1:43" ht="15.75" customHeight="1" thickBot="1">
      <c r="A61" s="3" t="s">
        <v>90</v>
      </c>
      <c r="B61" s="49">
        <v>-89506183</v>
      </c>
      <c r="C61" s="181">
        <f t="shared" si="37"/>
        <v>0</v>
      </c>
      <c r="D61" s="49">
        <v>-89506183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6">
        <f>SUM(D61:M61)</f>
        <v>-89506183</v>
      </c>
      <c r="O61" s="10" t="s">
        <v>179</v>
      </c>
      <c r="P61" s="6"/>
      <c r="Q61" s="6">
        <f>+'Asientos - para Consolidado'!E44</f>
        <v>444582</v>
      </c>
      <c r="R61" s="44">
        <f>N61-P61+Q61</f>
        <v>-89061601</v>
      </c>
      <c r="S61" s="49">
        <v>-71809934</v>
      </c>
      <c r="T61" s="49">
        <v>-2677882</v>
      </c>
      <c r="U61" s="49">
        <v>-187557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-299751</v>
      </c>
      <c r="AC61" s="49">
        <v>-199020</v>
      </c>
      <c r="AD61" s="49">
        <v>-118573</v>
      </c>
      <c r="AE61" s="46">
        <f>SUM(S61:AD61)</f>
        <v>-75292717</v>
      </c>
      <c r="AF61" s="10" t="s">
        <v>178</v>
      </c>
      <c r="AG61" s="6"/>
      <c r="AH61" s="6">
        <f>'Ventas-Compras (d)'!E27</f>
        <v>357344</v>
      </c>
      <c r="AI61" s="44">
        <f>AE61-AG61+AH61</f>
        <v>-74935373</v>
      </c>
      <c r="AJ61" s="44">
        <f t="shared" si="41"/>
        <v>14126228</v>
      </c>
      <c r="AK61" s="44">
        <v>-89061601</v>
      </c>
    </row>
    <row r="62" spans="1:43" ht="15.75" customHeight="1">
      <c r="A62" s="3" t="s">
        <v>94</v>
      </c>
      <c r="B62" s="48">
        <f t="shared" ref="B62" si="42">SUM(B60:B61)</f>
        <v>35101231</v>
      </c>
      <c r="C62" s="179"/>
      <c r="D62" s="48">
        <f t="shared" ref="D62:N62" si="43">SUM(D60:D61)</f>
        <v>35101231</v>
      </c>
      <c r="E62" s="48">
        <f t="shared" si="43"/>
        <v>0</v>
      </c>
      <c r="F62" s="48">
        <f t="shared" si="43"/>
        <v>0</v>
      </c>
      <c r="G62" s="48">
        <f t="shared" si="43"/>
        <v>0</v>
      </c>
      <c r="H62" s="48">
        <f t="shared" si="43"/>
        <v>60885.43</v>
      </c>
      <c r="I62" s="48">
        <f t="shared" si="43"/>
        <v>0</v>
      </c>
      <c r="J62" s="48">
        <f t="shared" si="43"/>
        <v>0</v>
      </c>
      <c r="K62" s="48">
        <f t="shared" ref="K62" si="44">SUM(K60:K61)</f>
        <v>0</v>
      </c>
      <c r="L62" s="48">
        <f t="shared" ref="L62" si="45">SUM(L60:L61)</f>
        <v>0</v>
      </c>
      <c r="M62" s="48">
        <f t="shared" ref="M62" si="46">SUM(M60:M61)</f>
        <v>0</v>
      </c>
      <c r="N62" s="48">
        <f t="shared" si="43"/>
        <v>35162116.430000007</v>
      </c>
      <c r="O62" s="10"/>
      <c r="P62" s="48"/>
      <c r="Q62" s="48"/>
      <c r="R62" s="48">
        <f>SUM(R60:R61)</f>
        <v>35151086.430000007</v>
      </c>
      <c r="S62" s="48">
        <f t="shared" ref="S62:Y62" si="47">SUM(S60:S61)</f>
        <v>81114834</v>
      </c>
      <c r="T62" s="48">
        <f t="shared" ref="T62" si="48">SUM(T60:T61)</f>
        <v>-769887</v>
      </c>
      <c r="U62" s="48">
        <f t="shared" si="47"/>
        <v>448850</v>
      </c>
      <c r="V62" s="48">
        <f t="shared" si="47"/>
        <v>0</v>
      </c>
      <c r="W62" s="48">
        <f t="shared" si="47"/>
        <v>0</v>
      </c>
      <c r="X62" s="48">
        <f t="shared" si="47"/>
        <v>0</v>
      </c>
      <c r="Y62" s="48">
        <f t="shared" si="47"/>
        <v>0</v>
      </c>
      <c r="Z62" s="48">
        <f t="shared" ref="Z62:AD62" si="49">SUM(Z60:Z61)</f>
        <v>0</v>
      </c>
      <c r="AA62" s="48">
        <f t="shared" si="49"/>
        <v>0</v>
      </c>
      <c r="AB62" s="48">
        <f t="shared" si="49"/>
        <v>-178828</v>
      </c>
      <c r="AC62" s="48">
        <f t="shared" si="49"/>
        <v>80982</v>
      </c>
      <c r="AD62" s="48">
        <f t="shared" si="49"/>
        <v>43872</v>
      </c>
      <c r="AE62" s="48">
        <f>SUM(AE60:AE61)</f>
        <v>80739823</v>
      </c>
      <c r="AF62" s="10"/>
      <c r="AG62" s="48" t="s">
        <v>340</v>
      </c>
      <c r="AH62" s="48"/>
      <c r="AI62" s="48">
        <f>SUM(AI60:AI61)</f>
        <v>80720698.419999987</v>
      </c>
      <c r="AJ62" s="48">
        <f t="shared" si="41"/>
        <v>45569612.419999987</v>
      </c>
      <c r="AK62" s="48">
        <f>SUM(AK60:AK61)</f>
        <v>35151086</v>
      </c>
    </row>
    <row r="63" spans="1:43" ht="15.75" customHeight="1">
      <c r="A63" s="50"/>
      <c r="B63" s="6"/>
      <c r="C63" s="50"/>
      <c r="D63" s="6"/>
      <c r="E63" s="6"/>
      <c r="F63" s="6"/>
      <c r="G63" s="6"/>
      <c r="H63" s="6"/>
      <c r="I63" s="6"/>
      <c r="J63" s="6"/>
      <c r="K63" s="6"/>
      <c r="L63" s="6"/>
      <c r="M63" s="6"/>
      <c r="N63" s="13"/>
      <c r="O63" s="10"/>
      <c r="P63" s="6"/>
      <c r="Q63" s="6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3"/>
      <c r="AF63" s="10"/>
      <c r="AG63" s="6"/>
      <c r="AH63" s="6"/>
      <c r="AI63" s="4"/>
      <c r="AJ63" s="4"/>
      <c r="AK63" s="4"/>
    </row>
    <row r="64" spans="1:43" ht="15.75" customHeight="1">
      <c r="A64" s="3" t="s">
        <v>91</v>
      </c>
      <c r="B64" s="6">
        <v>-30987428</v>
      </c>
      <c r="C64" s="181">
        <f t="shared" ref="C64:C65" si="50">D64-B64</f>
        <v>4945</v>
      </c>
      <c r="D64" s="6">
        <v>-30982483</v>
      </c>
      <c r="E64" s="6">
        <f>-95542-332969</f>
        <v>-428511</v>
      </c>
      <c r="F64" s="6">
        <f>-27248.97-F68-24590.05</f>
        <v>-51169.020000000004</v>
      </c>
      <c r="G64" s="6">
        <v>-40032</v>
      </c>
      <c r="H64" s="6">
        <f>-550678.35-H68</f>
        <v>-535525.16999999993</v>
      </c>
      <c r="I64" s="6">
        <v>-13474.17</v>
      </c>
      <c r="J64" s="6">
        <v>0</v>
      </c>
      <c r="K64" s="6">
        <v>0</v>
      </c>
      <c r="L64" s="6">
        <v>0</v>
      </c>
      <c r="M64" s="6">
        <v>0</v>
      </c>
      <c r="N64" s="13">
        <f t="shared" ref="N64" si="51">SUM(D64:M64)</f>
        <v>-32051194.359999999</v>
      </c>
      <c r="O64" s="10" t="s">
        <v>179</v>
      </c>
      <c r="P64" s="6"/>
      <c r="Q64" s="6">
        <f>+'Asientos - para Consolidado'!E47</f>
        <v>11030</v>
      </c>
      <c r="R64" s="4">
        <f t="shared" ref="R64" si="52">N64-P64+Q64</f>
        <v>-32040164.359999999</v>
      </c>
      <c r="S64" s="6">
        <v>-61700666</v>
      </c>
      <c r="T64" s="6">
        <v>-306890</v>
      </c>
      <c r="U64" s="6">
        <v>-429513</v>
      </c>
      <c r="V64" s="6">
        <v>-15891</v>
      </c>
      <c r="W64" s="6">
        <v>-493384</v>
      </c>
      <c r="X64" s="6">
        <v>-13474</v>
      </c>
      <c r="Y64" s="6">
        <v>0</v>
      </c>
      <c r="Z64" s="6">
        <v>0</v>
      </c>
      <c r="AA64" s="6">
        <v>0</v>
      </c>
      <c r="AB64" s="6">
        <f>-165338+23</f>
        <v>-165315</v>
      </c>
      <c r="AC64" s="6">
        <v>-586188</v>
      </c>
      <c r="AD64" s="6">
        <v>-444288</v>
      </c>
      <c r="AE64" s="13">
        <f>SUM(S64:AD64)</f>
        <v>-64155609</v>
      </c>
      <c r="AF64" s="10"/>
      <c r="AG64" s="6"/>
      <c r="AH64" s="6">
        <f>'Ventas-Compras (d)'!E28</f>
        <v>7818.58</v>
      </c>
      <c r="AI64" s="4">
        <f t="shared" ref="AI64" si="53">AE64-AG64+AH64</f>
        <v>-64147790.420000002</v>
      </c>
      <c r="AJ64" s="4">
        <f t="shared" ref="AJ64:AJ66" si="54">AI64-AK64</f>
        <v>-32107626.420000002</v>
      </c>
      <c r="AK64" s="4">
        <v>-32040164</v>
      </c>
    </row>
    <row r="65" spans="1:39" ht="15.75" customHeight="1" thickBot="1">
      <c r="A65" s="7" t="s">
        <v>92</v>
      </c>
      <c r="B65" s="49">
        <v>14857424</v>
      </c>
      <c r="C65" s="181">
        <f t="shared" si="50"/>
        <v>0</v>
      </c>
      <c r="D65" s="49">
        <v>14857424</v>
      </c>
      <c r="E65" s="49">
        <v>129</v>
      </c>
      <c r="F65" s="49">
        <v>9591.7800000000007</v>
      </c>
      <c r="G65" s="49">
        <v>-31016.58</v>
      </c>
      <c r="H65" s="49">
        <v>4334.3500000000004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6">
        <f>SUM(D65:M65)</f>
        <v>14840462.549999999</v>
      </c>
      <c r="O65" s="10" t="s">
        <v>201</v>
      </c>
      <c r="P65" s="6">
        <f>+'Asientos - para Consolidado'!D79</f>
        <v>224942.34</v>
      </c>
      <c r="Q65" s="6"/>
      <c r="R65" s="44">
        <f>N65-P65+Q65</f>
        <v>14615520.209999999</v>
      </c>
      <c r="S65" s="49">
        <v>-3618624</v>
      </c>
      <c r="T65" s="49">
        <v>-947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17690</v>
      </c>
      <c r="AD65" s="49">
        <v>4857</v>
      </c>
      <c r="AE65" s="46">
        <f>SUM(S65:AD65)</f>
        <v>-3597024</v>
      </c>
      <c r="AF65" s="10" t="s">
        <v>42</v>
      </c>
      <c r="AG65" s="6">
        <f>'Inversiones 2018'!W169</f>
        <v>0</v>
      </c>
      <c r="AH65" s="6">
        <f>'Inversiones 2018'!X169</f>
        <v>1276594.05</v>
      </c>
      <c r="AI65" s="44">
        <f>AE65-AG65+AH65</f>
        <v>-2320429.9500000002</v>
      </c>
      <c r="AJ65" s="44">
        <f t="shared" si="54"/>
        <v>-16935949.949999999</v>
      </c>
      <c r="AK65" s="44">
        <v>14615520</v>
      </c>
    </row>
    <row r="66" spans="1:39" ht="15.75" customHeight="1">
      <c r="A66" s="7" t="s">
        <v>93</v>
      </c>
      <c r="B66" s="48">
        <f>SUM(B62:B65)</f>
        <v>18971227</v>
      </c>
      <c r="C66" s="180"/>
      <c r="D66" s="48">
        <f>SUM(D62:D65)</f>
        <v>18976172</v>
      </c>
      <c r="E66" s="48">
        <f>SUM(E62:E65)</f>
        <v>-428382</v>
      </c>
      <c r="F66" s="48">
        <f>SUM(F62:F65)</f>
        <v>-41577.240000000005</v>
      </c>
      <c r="G66" s="48">
        <f t="shared" ref="G66:J66" si="55">SUM(G62:G65)</f>
        <v>-71048.58</v>
      </c>
      <c r="H66" s="48">
        <f t="shared" si="55"/>
        <v>-470305.38999999996</v>
      </c>
      <c r="I66" s="48">
        <f t="shared" si="55"/>
        <v>-13474.17</v>
      </c>
      <c r="J66" s="48">
        <f t="shared" si="55"/>
        <v>0</v>
      </c>
      <c r="K66" s="48">
        <f t="shared" ref="K66" si="56">SUM(K62:K65)</f>
        <v>0</v>
      </c>
      <c r="L66" s="48">
        <f t="shared" ref="L66" si="57">SUM(L62:L65)</f>
        <v>0</v>
      </c>
      <c r="M66" s="48">
        <f t="shared" ref="M66" si="58">SUM(M62:M65)</f>
        <v>0</v>
      </c>
      <c r="N66" s="48">
        <f t="shared" ref="N66" si="59">SUM(N62:N65)</f>
        <v>17951384.620000005</v>
      </c>
      <c r="O66" s="10"/>
      <c r="P66" s="48"/>
      <c r="Q66" s="48"/>
      <c r="R66" s="48">
        <f t="shared" ref="R66" si="60">SUM(R62:R65)</f>
        <v>17726442.280000009</v>
      </c>
      <c r="S66" s="48">
        <f>SUM(S62:S65)</f>
        <v>15795544</v>
      </c>
      <c r="T66" s="48">
        <f>SUM(T62:T65)</f>
        <v>-1077724</v>
      </c>
      <c r="U66" s="48">
        <f>SUM(U62:U65)</f>
        <v>19337</v>
      </c>
      <c r="V66" s="48">
        <f t="shared" ref="V66:AD66" si="61">SUM(V62:V65)</f>
        <v>-15891</v>
      </c>
      <c r="W66" s="48">
        <f t="shared" si="61"/>
        <v>-493384</v>
      </c>
      <c r="X66" s="48">
        <f t="shared" si="61"/>
        <v>-13474</v>
      </c>
      <c r="Y66" s="48">
        <f t="shared" si="61"/>
        <v>0</v>
      </c>
      <c r="Z66" s="48">
        <f t="shared" si="61"/>
        <v>0</v>
      </c>
      <c r="AA66" s="48">
        <f t="shared" si="61"/>
        <v>0</v>
      </c>
      <c r="AB66" s="48">
        <f t="shared" si="61"/>
        <v>-344143</v>
      </c>
      <c r="AC66" s="48">
        <f t="shared" si="61"/>
        <v>-487516</v>
      </c>
      <c r="AD66" s="48">
        <f t="shared" si="61"/>
        <v>-395559</v>
      </c>
      <c r="AE66" s="48">
        <f>SUM(AE62:AE65)</f>
        <v>12987190</v>
      </c>
      <c r="AF66" s="10"/>
      <c r="AG66" s="48"/>
      <c r="AH66" s="48"/>
      <c r="AI66" s="48">
        <f t="shared" ref="AI66" si="62">SUM(AI62:AI65)</f>
        <v>14252478.049999986</v>
      </c>
      <c r="AJ66" s="48">
        <f t="shared" si="54"/>
        <v>-3473963.9500000142</v>
      </c>
      <c r="AK66" s="48">
        <f>SUM(AK62:AK65)</f>
        <v>17726442</v>
      </c>
    </row>
    <row r="67" spans="1:39" ht="15.75" customHeight="1">
      <c r="A67" s="7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13"/>
      <c r="O67" s="10"/>
      <c r="P67" s="6"/>
      <c r="Q67" s="6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3"/>
      <c r="AF67" s="10"/>
      <c r="AG67" s="6"/>
      <c r="AH67" s="6"/>
      <c r="AI67" s="4"/>
      <c r="AJ67" s="4"/>
      <c r="AK67" s="4"/>
      <c r="AL67" s="296">
        <f>AH65+AH64+AH61</f>
        <v>1641756.6300000001</v>
      </c>
    </row>
    <row r="68" spans="1:39" ht="15.75" customHeight="1" thickBot="1">
      <c r="A68" s="7" t="s">
        <v>95</v>
      </c>
      <c r="B68" s="49">
        <v>-3983540</v>
      </c>
      <c r="C68" s="181">
        <f>D68-B68</f>
        <v>0</v>
      </c>
      <c r="D68" s="49">
        <v>-3983540</v>
      </c>
      <c r="E68" s="49">
        <v>0</v>
      </c>
      <c r="F68" s="49">
        <v>-670</v>
      </c>
      <c r="G68" s="49">
        <v>0</v>
      </c>
      <c r="H68" s="49">
        <v>-15153.18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6">
        <f t="shared" ref="N68:N72" si="63">SUM(D68:M68)</f>
        <v>-3999363.18</v>
      </c>
      <c r="O68" s="10"/>
      <c r="P68" s="6"/>
      <c r="Q68" s="6"/>
      <c r="R68" s="44">
        <f>N68-P68+Q68</f>
        <v>-3999363.18</v>
      </c>
      <c r="S68" s="49">
        <f>-5186848</f>
        <v>-5186848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-14885</v>
      </c>
      <c r="AD68" s="49">
        <v>0</v>
      </c>
      <c r="AE68" s="46">
        <f>SUM(S68:AD68)</f>
        <v>-5201733</v>
      </c>
      <c r="AF68" s="10"/>
      <c r="AG68" s="6"/>
      <c r="AH68" s="6"/>
      <c r="AI68" s="44">
        <f>AE68-AG68+AH68</f>
        <v>-5201733</v>
      </c>
      <c r="AJ68" s="44">
        <f t="shared" ref="AJ68:AJ69" si="64">AI68-AK68</f>
        <v>-1202370</v>
      </c>
      <c r="AK68" s="44">
        <v>-3999363</v>
      </c>
      <c r="AL68" s="296">
        <f>AG60</f>
        <v>376468.58</v>
      </c>
    </row>
    <row r="69" spans="1:39" ht="15.75" customHeight="1">
      <c r="A69" s="7" t="s">
        <v>96</v>
      </c>
      <c r="B69" s="48">
        <f>+B66+B68</f>
        <v>14987687</v>
      </c>
      <c r="C69" s="180"/>
      <c r="D69" s="48">
        <f>+D66+D68</f>
        <v>14992632</v>
      </c>
      <c r="E69" s="48">
        <f t="shared" ref="E69" si="65">+E66+E68</f>
        <v>-428382</v>
      </c>
      <c r="F69" s="48">
        <f t="shared" ref="F69:N69" si="66">+F66+F68</f>
        <v>-42247.240000000005</v>
      </c>
      <c r="G69" s="48">
        <f t="shared" si="66"/>
        <v>-71048.58</v>
      </c>
      <c r="H69" s="48">
        <f t="shared" si="66"/>
        <v>-485458.56999999995</v>
      </c>
      <c r="I69" s="48">
        <f t="shared" si="66"/>
        <v>-13474.17</v>
      </c>
      <c r="J69" s="48">
        <f t="shared" si="66"/>
        <v>0</v>
      </c>
      <c r="K69" s="48">
        <f t="shared" si="66"/>
        <v>0</v>
      </c>
      <c r="L69" s="48">
        <f t="shared" si="66"/>
        <v>0</v>
      </c>
      <c r="M69" s="48">
        <f t="shared" si="66"/>
        <v>0</v>
      </c>
      <c r="N69" s="48">
        <f t="shared" si="66"/>
        <v>13952021.440000005</v>
      </c>
      <c r="O69" s="10"/>
      <c r="P69" s="6"/>
      <c r="Q69" s="6"/>
      <c r="R69" s="48">
        <f t="shared" ref="R69" si="67">+R66+R68</f>
        <v>13727079.100000009</v>
      </c>
      <c r="S69" s="48">
        <f>+S66+S68</f>
        <v>10608696</v>
      </c>
      <c r="T69" s="48">
        <f t="shared" ref="T69" si="68">+T66+T68</f>
        <v>-1077724</v>
      </c>
      <c r="U69" s="48">
        <f t="shared" ref="U69:AD69" si="69">+U66+U68</f>
        <v>19337</v>
      </c>
      <c r="V69" s="48">
        <f t="shared" si="69"/>
        <v>-15891</v>
      </c>
      <c r="W69" s="48">
        <f t="shared" si="69"/>
        <v>-493384</v>
      </c>
      <c r="X69" s="48">
        <f t="shared" si="69"/>
        <v>-13474</v>
      </c>
      <c r="Y69" s="48">
        <f t="shared" si="69"/>
        <v>0</v>
      </c>
      <c r="Z69" s="48">
        <f t="shared" si="69"/>
        <v>0</v>
      </c>
      <c r="AA69" s="48">
        <f t="shared" si="69"/>
        <v>0</v>
      </c>
      <c r="AB69" s="48">
        <f t="shared" si="69"/>
        <v>-344143</v>
      </c>
      <c r="AC69" s="48">
        <f t="shared" si="69"/>
        <v>-502401</v>
      </c>
      <c r="AD69" s="48">
        <f t="shared" si="69"/>
        <v>-395559</v>
      </c>
      <c r="AE69" s="48">
        <f>+AE66+AE68</f>
        <v>7785457</v>
      </c>
      <c r="AF69" s="10"/>
      <c r="AG69" s="6"/>
      <c r="AH69" s="6"/>
      <c r="AI69" s="48">
        <f t="shared" ref="AI69" si="70">+AI66+AI68</f>
        <v>9050745.0499999858</v>
      </c>
      <c r="AJ69" s="48">
        <f t="shared" si="64"/>
        <v>-4676333.9500000142</v>
      </c>
      <c r="AK69" s="48">
        <f>SUM(AK66:AK68)</f>
        <v>13727079</v>
      </c>
      <c r="AL69" s="296">
        <f>AL68-AL67</f>
        <v>-1265288.05</v>
      </c>
    </row>
    <row r="70" spans="1:39" ht="15.75" customHeight="1">
      <c r="A70" s="7"/>
      <c r="B70" s="48"/>
      <c r="C70" s="18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0"/>
      <c r="P70" s="6"/>
      <c r="Q70" s="6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0"/>
      <c r="AG70" s="6"/>
      <c r="AH70" s="6"/>
      <c r="AI70" s="48"/>
      <c r="AJ70" s="48"/>
      <c r="AK70" s="48"/>
    </row>
    <row r="71" spans="1:39" ht="15.75" customHeight="1">
      <c r="A71" s="7" t="s">
        <v>112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13"/>
      <c r="O71" s="10"/>
      <c r="P71" s="6"/>
      <c r="Q71" s="6"/>
      <c r="R71" s="4"/>
      <c r="S71" s="6">
        <v>-1591304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3"/>
      <c r="AF71" s="10"/>
      <c r="AG71" s="6"/>
      <c r="AH71" s="6"/>
      <c r="AI71" s="4"/>
      <c r="AJ71" s="4"/>
      <c r="AK71" s="4"/>
    </row>
    <row r="72" spans="1:39" ht="15.75" customHeight="1">
      <c r="A72" s="3" t="s">
        <v>23</v>
      </c>
      <c r="B72" s="4">
        <v>-1568835</v>
      </c>
      <c r="C72" s="181">
        <f>D72-B72</f>
        <v>0</v>
      </c>
      <c r="D72" s="4">
        <v>-1568835</v>
      </c>
      <c r="E72" s="4">
        <v>0</v>
      </c>
      <c r="F72" s="4">
        <v>0</v>
      </c>
      <c r="G72" s="4">
        <v>0</v>
      </c>
      <c r="H72" s="4">
        <v>-4268.1499999999996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3">
        <f t="shared" si="63"/>
        <v>-1573103.15</v>
      </c>
      <c r="O72" s="12"/>
      <c r="P72" s="4"/>
      <c r="Q72" s="6"/>
      <c r="R72" s="4">
        <f>N72-P72+Q72</f>
        <v>-1573103.15</v>
      </c>
      <c r="S72" s="4">
        <v>-3550763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13">
        <f>SUM(S72:AD72)</f>
        <v>-3550763</v>
      </c>
      <c r="AF72" s="12"/>
      <c r="AG72" s="4"/>
      <c r="AH72" s="6"/>
      <c r="AI72" s="4">
        <f>AE72-AG72+AH72</f>
        <v>-3550763</v>
      </c>
      <c r="AJ72" s="4">
        <f t="shared" ref="AJ72:AJ75" si="71">AI72-AK72</f>
        <v>-1977660</v>
      </c>
      <c r="AK72" s="4">
        <v>-1573103</v>
      </c>
    </row>
    <row r="73" spans="1:39">
      <c r="A73" s="9" t="s">
        <v>9</v>
      </c>
      <c r="B73" s="8">
        <f>+B69+B72</f>
        <v>13418852</v>
      </c>
      <c r="C73" s="9"/>
      <c r="D73" s="8">
        <f>+D69+D72</f>
        <v>13423797</v>
      </c>
      <c r="E73" s="8">
        <f t="shared" ref="E73" si="72">+E69+E72</f>
        <v>-428382</v>
      </c>
      <c r="F73" s="8">
        <f t="shared" ref="F73:N73" si="73">+F69+F72</f>
        <v>-42247.240000000005</v>
      </c>
      <c r="G73" s="8">
        <f t="shared" si="73"/>
        <v>-71048.58</v>
      </c>
      <c r="H73" s="8">
        <f t="shared" si="73"/>
        <v>-489726.71999999997</v>
      </c>
      <c r="I73" s="8">
        <f t="shared" si="73"/>
        <v>-13474.17</v>
      </c>
      <c r="J73" s="8">
        <f t="shared" si="73"/>
        <v>0</v>
      </c>
      <c r="K73" s="8">
        <f t="shared" si="73"/>
        <v>0</v>
      </c>
      <c r="L73" s="8">
        <f t="shared" si="73"/>
        <v>0</v>
      </c>
      <c r="M73" s="8">
        <f t="shared" si="73"/>
        <v>0</v>
      </c>
      <c r="N73" s="8">
        <f t="shared" si="73"/>
        <v>12378918.290000005</v>
      </c>
      <c r="O73" s="12"/>
      <c r="P73" s="8"/>
      <c r="Q73" s="8"/>
      <c r="R73" s="8">
        <f t="shared" ref="R73" si="74">+R69+R72</f>
        <v>12153975.950000009</v>
      </c>
      <c r="S73" s="8">
        <f>+S69+S71+S72</f>
        <v>5466629</v>
      </c>
      <c r="T73" s="8">
        <f t="shared" ref="T73" si="75">+T69+T72</f>
        <v>-1077724</v>
      </c>
      <c r="U73" s="8">
        <f t="shared" ref="U73:AD73" si="76">+U69+U72</f>
        <v>19337</v>
      </c>
      <c r="V73" s="8">
        <f t="shared" si="76"/>
        <v>-15891</v>
      </c>
      <c r="W73" s="8">
        <f t="shared" si="76"/>
        <v>-493384</v>
      </c>
      <c r="X73" s="8">
        <f t="shared" si="76"/>
        <v>-13474</v>
      </c>
      <c r="Y73" s="8">
        <f t="shared" si="76"/>
        <v>0</v>
      </c>
      <c r="Z73" s="8">
        <f t="shared" si="76"/>
        <v>0</v>
      </c>
      <c r="AA73" s="8">
        <f t="shared" si="76"/>
        <v>0</v>
      </c>
      <c r="AB73" s="8">
        <f t="shared" si="76"/>
        <v>-344143</v>
      </c>
      <c r="AC73" s="8">
        <f t="shared" si="76"/>
        <v>-502401</v>
      </c>
      <c r="AD73" s="8">
        <f t="shared" si="76"/>
        <v>-395559</v>
      </c>
      <c r="AE73" s="8">
        <f>+AE69+AE72</f>
        <v>4234694</v>
      </c>
      <c r="AF73" s="12"/>
      <c r="AG73" s="8"/>
      <c r="AH73" s="8"/>
      <c r="AI73" s="8">
        <f t="shared" ref="AI73" si="77">+AI69+AI72</f>
        <v>5499982.0499999858</v>
      </c>
      <c r="AJ73" s="8">
        <f t="shared" si="71"/>
        <v>-6653993.9500000142</v>
      </c>
      <c r="AK73" s="8">
        <f>AK69+AK72</f>
        <v>12153976</v>
      </c>
    </row>
    <row r="74" spans="1:39">
      <c r="A74" s="9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2"/>
      <c r="AG74" s="8"/>
      <c r="AH74" s="8"/>
      <c r="AI74" s="8"/>
      <c r="AJ74" s="8"/>
      <c r="AK74" s="8"/>
    </row>
    <row r="75" spans="1:39">
      <c r="A75" s="160" t="s">
        <v>285</v>
      </c>
      <c r="B75" s="8">
        <v>0</v>
      </c>
      <c r="C75" s="160"/>
      <c r="D75" s="161">
        <v>14390</v>
      </c>
      <c r="E75" s="8"/>
      <c r="F75" s="8"/>
      <c r="G75" s="8"/>
      <c r="H75" s="8"/>
      <c r="I75" s="8"/>
      <c r="J75" s="8"/>
      <c r="K75" s="8"/>
      <c r="L75" s="8"/>
      <c r="M75" s="8"/>
      <c r="N75" s="13">
        <f t="shared" ref="N75" si="78">SUM(D75:M75)</f>
        <v>14390</v>
      </c>
      <c r="O75" s="12"/>
      <c r="P75" s="8"/>
      <c r="Q75" s="8"/>
      <c r="R75" s="4">
        <f>N75-P75+Q75</f>
        <v>14390</v>
      </c>
      <c r="S75" s="161">
        <v>1849659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3">
        <f>SUM(S75:AD75)</f>
        <v>1849659</v>
      </c>
      <c r="AF75" s="12"/>
      <c r="AG75" s="8"/>
      <c r="AH75" s="8"/>
      <c r="AI75" s="4">
        <f>AE75-AG75+AH75</f>
        <v>1849659</v>
      </c>
      <c r="AJ75" s="4">
        <f t="shared" si="71"/>
        <v>1835269</v>
      </c>
      <c r="AK75" s="8">
        <v>14390</v>
      </c>
    </row>
    <row r="76" spans="1:39">
      <c r="A76" s="9" t="s">
        <v>286</v>
      </c>
      <c r="B76" s="8">
        <f>B73+B75</f>
        <v>13418852</v>
      </c>
      <c r="C76" s="181"/>
      <c r="D76" s="8">
        <f>D73+D75</f>
        <v>13438187</v>
      </c>
      <c r="E76" s="8">
        <f t="shared" ref="E76:N76" si="79">E73+E75</f>
        <v>-428382</v>
      </c>
      <c r="F76" s="8">
        <f t="shared" si="79"/>
        <v>-42247.240000000005</v>
      </c>
      <c r="G76" s="8">
        <f t="shared" si="79"/>
        <v>-71048.58</v>
      </c>
      <c r="H76" s="8">
        <f t="shared" si="79"/>
        <v>-489726.71999999997</v>
      </c>
      <c r="I76" s="8">
        <f t="shared" si="79"/>
        <v>-13474.17</v>
      </c>
      <c r="J76" s="8">
        <f t="shared" si="79"/>
        <v>0</v>
      </c>
      <c r="K76" s="8">
        <f t="shared" si="79"/>
        <v>0</v>
      </c>
      <c r="L76" s="8">
        <f t="shared" si="79"/>
        <v>0</v>
      </c>
      <c r="M76" s="8">
        <f t="shared" si="79"/>
        <v>0</v>
      </c>
      <c r="N76" s="8">
        <f t="shared" si="79"/>
        <v>12393308.290000005</v>
      </c>
      <c r="O76" s="12"/>
      <c r="P76" s="8"/>
      <c r="Q76" s="8"/>
      <c r="R76" s="8">
        <f>R73+R75</f>
        <v>12168365.950000009</v>
      </c>
      <c r="S76" s="8">
        <f>S73+S75</f>
        <v>7316288</v>
      </c>
      <c r="T76" s="8">
        <f t="shared" ref="T76:AD76" si="80">T73+T75</f>
        <v>-1077724</v>
      </c>
      <c r="U76" s="8">
        <f t="shared" si="80"/>
        <v>19337</v>
      </c>
      <c r="V76" s="8">
        <f t="shared" si="80"/>
        <v>-15891</v>
      </c>
      <c r="W76" s="8">
        <f t="shared" si="80"/>
        <v>-493384</v>
      </c>
      <c r="X76" s="8">
        <f t="shared" si="80"/>
        <v>-13474</v>
      </c>
      <c r="Y76" s="8">
        <f t="shared" si="80"/>
        <v>0</v>
      </c>
      <c r="Z76" s="8">
        <f t="shared" si="80"/>
        <v>0</v>
      </c>
      <c r="AA76" s="8">
        <f t="shared" si="80"/>
        <v>0</v>
      </c>
      <c r="AB76" s="8">
        <f t="shared" si="80"/>
        <v>-344143</v>
      </c>
      <c r="AC76" s="8">
        <f t="shared" si="80"/>
        <v>-502401</v>
      </c>
      <c r="AD76" s="8">
        <f t="shared" si="80"/>
        <v>-395559</v>
      </c>
      <c r="AE76" s="8">
        <f>AE73+AE75</f>
        <v>6084353</v>
      </c>
      <c r="AF76" s="12"/>
      <c r="AG76" s="8"/>
      <c r="AH76" s="8"/>
      <c r="AI76" s="8">
        <f>AI73+AI75</f>
        <v>7349641.0499999858</v>
      </c>
      <c r="AJ76" s="8">
        <f t="shared" ref="AJ76" si="81">AJ73+AJ75</f>
        <v>-4818724.9500000142</v>
      </c>
      <c r="AK76" s="8">
        <f>SUM(AK73:AK75)</f>
        <v>12168366</v>
      </c>
    </row>
    <row r="77" spans="1:39">
      <c r="A77" s="157"/>
      <c r="B77" s="158"/>
      <c r="C77" s="157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9"/>
      <c r="P77" s="158"/>
      <c r="Q77" s="158"/>
      <c r="R77" s="158"/>
      <c r="S77" s="158"/>
      <c r="T77" s="158"/>
      <c r="U77" s="158"/>
      <c r="V77" s="327"/>
      <c r="W77" s="158"/>
      <c r="X77" s="158"/>
      <c r="Y77" s="158"/>
      <c r="Z77" s="158"/>
      <c r="AA77" s="158"/>
      <c r="AB77" s="158"/>
      <c r="AC77" s="158"/>
      <c r="AD77" s="158"/>
      <c r="AE77" s="158"/>
      <c r="AF77" s="159"/>
      <c r="AG77" s="158"/>
      <c r="AH77" s="158"/>
      <c r="AI77" s="158"/>
      <c r="AJ77" s="158"/>
      <c r="AK77" s="158"/>
    </row>
    <row r="78" spans="1:39" s="328" customFormat="1" ht="21.75" customHeight="1">
      <c r="A78" s="14"/>
      <c r="B78" s="15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P78" s="16">
        <f>SUM(P5:P73)</f>
        <v>51071713.540592968</v>
      </c>
      <c r="Q78" s="16">
        <f>SUM(Q5:Q73)</f>
        <v>50846771.270592958</v>
      </c>
      <c r="R78" s="15"/>
      <c r="S78" s="329"/>
      <c r="AJ78" s="15"/>
      <c r="AK78" s="15"/>
    </row>
    <row r="79" spans="1:39" s="328" customFormat="1" ht="21.75" customHeight="1">
      <c r="A79" s="17"/>
      <c r="B79" s="18">
        <f>+B58+B47-B26</f>
        <v>0</v>
      </c>
      <c r="C79" s="17"/>
      <c r="D79" s="18">
        <f t="shared" ref="D79:N79" si="82">+D58+D47-D26</f>
        <v>0</v>
      </c>
      <c r="E79" s="18">
        <f t="shared" si="82"/>
        <v>0</v>
      </c>
      <c r="F79" s="18">
        <f t="shared" si="82"/>
        <v>0</v>
      </c>
      <c r="G79" s="18">
        <f t="shared" si="82"/>
        <v>-0.48999999975785613</v>
      </c>
      <c r="H79" s="18">
        <f t="shared" si="82"/>
        <v>6.249983562156558E-5</v>
      </c>
      <c r="I79" s="18">
        <f t="shared" si="82"/>
        <v>0</v>
      </c>
      <c r="J79" s="18">
        <f t="shared" si="82"/>
        <v>0</v>
      </c>
      <c r="K79" s="18">
        <f t="shared" si="82"/>
        <v>0</v>
      </c>
      <c r="L79" s="18">
        <f t="shared" si="82"/>
        <v>0</v>
      </c>
      <c r="M79" s="18">
        <f t="shared" si="82"/>
        <v>0</v>
      </c>
      <c r="N79" s="18">
        <f t="shared" si="82"/>
        <v>-0.48993751406669617</v>
      </c>
      <c r="P79" s="976">
        <f>P78-Q78</f>
        <v>224942.27000001073</v>
      </c>
      <c r="Q79" s="977"/>
      <c r="R79" s="98" t="s">
        <v>190</v>
      </c>
      <c r="S79" s="18">
        <f t="shared" ref="S79:AE79" si="83">+S58+S47-S26</f>
        <v>0</v>
      </c>
      <c r="T79" s="18">
        <f t="shared" si="83"/>
        <v>0</v>
      </c>
      <c r="U79" s="18">
        <f t="shared" si="83"/>
        <v>0</v>
      </c>
      <c r="V79" s="18">
        <f t="shared" si="83"/>
        <v>0</v>
      </c>
      <c r="W79" s="18">
        <f t="shared" si="83"/>
        <v>0</v>
      </c>
      <c r="X79" s="18">
        <f t="shared" si="83"/>
        <v>0</v>
      </c>
      <c r="Y79" s="18">
        <f t="shared" si="83"/>
        <v>0</v>
      </c>
      <c r="Z79" s="18">
        <f t="shared" si="83"/>
        <v>0</v>
      </c>
      <c r="AA79" s="18">
        <f t="shared" si="83"/>
        <v>0</v>
      </c>
      <c r="AB79" s="18">
        <f t="shared" si="83"/>
        <v>0</v>
      </c>
      <c r="AC79" s="18">
        <f t="shared" si="83"/>
        <v>0</v>
      </c>
      <c r="AD79" s="18">
        <f t="shared" si="83"/>
        <v>0</v>
      </c>
      <c r="AE79" s="18">
        <f t="shared" si="83"/>
        <v>0</v>
      </c>
      <c r="AG79" s="329">
        <f>SUM(AG5:AG78)</f>
        <v>69056254.757764027</v>
      </c>
      <c r="AH79" s="329">
        <f>SUM(AH5:AH78)</f>
        <v>70321542.807764038</v>
      </c>
      <c r="AI79" s="18">
        <f t="shared" ref="AI79" si="84">+AI58+AI47-AI26</f>
        <v>0</v>
      </c>
      <c r="AJ79" s="339">
        <f>AI79*2</f>
        <v>0</v>
      </c>
      <c r="AK79" s="98"/>
    </row>
    <row r="80" spans="1:39">
      <c r="H80" s="296">
        <f>+H73-H56</f>
        <v>-6.2499952036887407E-5</v>
      </c>
      <c r="N80" s="296"/>
      <c r="S80" s="296">
        <f>S56-S76</f>
        <v>-1720743</v>
      </c>
      <c r="T80" s="296">
        <f>T56-T73</f>
        <v>0</v>
      </c>
      <c r="U80" s="296">
        <f t="shared" ref="U80:AB80" si="85">U56-U73</f>
        <v>0</v>
      </c>
      <c r="V80" s="296">
        <f t="shared" si="85"/>
        <v>0</v>
      </c>
      <c r="W80" s="296">
        <f t="shared" si="85"/>
        <v>0</v>
      </c>
      <c r="X80" s="296">
        <f t="shared" si="85"/>
        <v>0</v>
      </c>
      <c r="Y80" s="296">
        <f t="shared" si="85"/>
        <v>0</v>
      </c>
      <c r="Z80" s="296">
        <f t="shared" si="85"/>
        <v>0</v>
      </c>
      <c r="AA80" s="296">
        <f t="shared" si="85"/>
        <v>0</v>
      </c>
      <c r="AB80" s="296">
        <f t="shared" si="85"/>
        <v>0</v>
      </c>
      <c r="AC80" s="296">
        <f t="shared" ref="AC80" si="86">AC56-AC73</f>
        <v>0</v>
      </c>
      <c r="AD80" s="296"/>
      <c r="AH80" s="296">
        <f>AG79-AH79</f>
        <v>-1265288.0500000119</v>
      </c>
      <c r="AM80" s="296"/>
    </row>
    <row r="81" spans="1:41" ht="15.75">
      <c r="A81" s="330" t="s">
        <v>273</v>
      </c>
      <c r="C81" s="330"/>
      <c r="M81" s="331"/>
      <c r="P81" s="97" t="s">
        <v>190</v>
      </c>
      <c r="Q81" s="332">
        <f>+'Asientos - para Consolidado'!D79</f>
        <v>224942.34</v>
      </c>
      <c r="R81" s="96" t="s">
        <v>202</v>
      </c>
      <c r="S81" s="298">
        <f>+S76*100%</f>
        <v>7316288</v>
      </c>
      <c r="T81" s="298">
        <f>+T76*'Variación Patrimonio 2017-2016'!L4</f>
        <v>-808508.54480000003</v>
      </c>
      <c r="U81" s="298">
        <f>+U76*'Variación Patrimonio 2017-2016'!L21</f>
        <v>19336.125022624434</v>
      </c>
      <c r="V81" s="296">
        <f>+V76*'Variación Patrimonio 2017-2016'!L40</f>
        <v>-10805.880000000001</v>
      </c>
      <c r="W81" s="296">
        <f>+W76*'Variación Patrimonio 2017-2016'!L56</f>
        <v>-246692</v>
      </c>
      <c r="X81" s="296">
        <f>+X76*'Variación Patrimonio 2017-2016'!L74</f>
        <v>-10105.5</v>
      </c>
      <c r="Y81" s="298">
        <v>0</v>
      </c>
      <c r="Z81" s="298">
        <v>0</v>
      </c>
      <c r="AA81" s="298">
        <v>0</v>
      </c>
      <c r="AB81" s="298">
        <f>+AB76*'Variación Patrimonio 2017-2016'!L143</f>
        <v>-318332.27500000002</v>
      </c>
      <c r="AC81" s="298">
        <f>+AC76*'Variación Patrimonio 2017-2016'!L160</f>
        <v>-492352.98</v>
      </c>
      <c r="AD81" s="298">
        <f>+AD76*'Variación Patrimonio 2017-2016'!L185</f>
        <v>-395559</v>
      </c>
      <c r="AE81" s="323">
        <f>SUM(S81:AD81)</f>
        <v>5053267.9452226236</v>
      </c>
      <c r="AG81" s="296">
        <f>+AG65+AG60</f>
        <v>376468.58</v>
      </c>
      <c r="AH81" s="323">
        <f>AH61+AH65+AH64</f>
        <v>1641756.6300000001</v>
      </c>
      <c r="AI81" s="323">
        <f>+AE81-AG81+AH81</f>
        <v>6318555.9952226235</v>
      </c>
      <c r="AJ81" s="339">
        <f>AI79/2</f>
        <v>0</v>
      </c>
      <c r="AL81" s="299">
        <f>+AI56-AI81</f>
        <v>-1115754.5527538452</v>
      </c>
    </row>
    <row r="82" spans="1:41">
      <c r="A82" s="330" t="s">
        <v>274</v>
      </c>
      <c r="C82" s="330"/>
      <c r="S82" s="298">
        <f>+S76-S81</f>
        <v>0</v>
      </c>
      <c r="T82" s="333">
        <f t="shared" ref="T82:AD82" si="87">+T76-T81</f>
        <v>-269215.45519999997</v>
      </c>
      <c r="U82" s="333">
        <f t="shared" si="87"/>
        <v>0.87497737556623179</v>
      </c>
      <c r="V82" s="298">
        <f t="shared" si="87"/>
        <v>-5085.119999999999</v>
      </c>
      <c r="W82" s="298">
        <f t="shared" si="87"/>
        <v>-246692</v>
      </c>
      <c r="X82" s="298">
        <f t="shared" si="87"/>
        <v>-3368.5</v>
      </c>
      <c r="Y82" s="298">
        <f t="shared" si="87"/>
        <v>0</v>
      </c>
      <c r="Z82" s="298">
        <f t="shared" si="87"/>
        <v>0</v>
      </c>
      <c r="AA82" s="298">
        <f t="shared" si="87"/>
        <v>0</v>
      </c>
      <c r="AB82" s="333">
        <f t="shared" si="87"/>
        <v>-25810.724999999977</v>
      </c>
      <c r="AC82" s="333">
        <f t="shared" si="87"/>
        <v>-10048.020000000019</v>
      </c>
      <c r="AD82" s="298">
        <f t="shared" si="87"/>
        <v>0</v>
      </c>
      <c r="AE82" s="323">
        <f>SUM(S82:AD82)</f>
        <v>-560218.94522262446</v>
      </c>
      <c r="AH82" s="323"/>
      <c r="AI82" s="323">
        <f>+AE82-AG82+AH82</f>
        <v>-560218.94522262446</v>
      </c>
      <c r="AN82" s="298"/>
      <c r="AO82" s="323"/>
    </row>
    <row r="85" spans="1:41">
      <c r="AH85" s="297">
        <f>'Diario 2015 (a)'!F15</f>
        <v>70321542.807764024</v>
      </c>
    </row>
  </sheetData>
  <mergeCells count="3">
    <mergeCell ref="P3:Q3"/>
    <mergeCell ref="P79:Q79"/>
    <mergeCell ref="AG3:AH3"/>
  </mergeCells>
  <printOptions horizontalCentered="1"/>
  <pageMargins left="0" right="0" top="0.74803149606299213" bottom="0.39370078740157483" header="0.31496062992125984" footer="0.31496062992125984"/>
  <pageSetup scale="3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25"/>
  <sheetViews>
    <sheetView showGridLines="0" topLeftCell="A2" workbookViewId="0">
      <selection activeCell="B8" sqref="B8"/>
    </sheetView>
  </sheetViews>
  <sheetFormatPr defaultColWidth="11.42578125" defaultRowHeight="12.75"/>
  <cols>
    <col min="1" max="1" width="11.42578125" style="63"/>
    <col min="2" max="2" width="25.7109375" style="63" bestFit="1" customWidth="1"/>
    <col min="3" max="16384" width="11.42578125" style="63"/>
  </cols>
  <sheetData>
    <row r="1" spans="2:5">
      <c r="C1" s="984" t="s">
        <v>116</v>
      </c>
      <c r="D1" s="985"/>
    </row>
    <row r="2" spans="2:5">
      <c r="C2" s="64" t="s">
        <v>114</v>
      </c>
      <c r="D2" s="64">
        <v>101</v>
      </c>
    </row>
    <row r="3" spans="2:5">
      <c r="B3" s="67" t="s">
        <v>107</v>
      </c>
      <c r="C3" s="65">
        <v>77</v>
      </c>
      <c r="D3" s="65">
        <v>70.5</v>
      </c>
    </row>
    <row r="4" spans="2:5">
      <c r="B4" s="68" t="s">
        <v>108</v>
      </c>
      <c r="C4" s="65">
        <v>113.8</v>
      </c>
      <c r="D4" s="65">
        <v>137.05000000000001</v>
      </c>
    </row>
    <row r="5" spans="2:5">
      <c r="B5" s="68" t="s">
        <v>109</v>
      </c>
      <c r="C5" s="65">
        <v>72</v>
      </c>
      <c r="D5" s="65">
        <v>67.55</v>
      </c>
    </row>
    <row r="6" spans="2:5">
      <c r="B6" s="68" t="s">
        <v>110</v>
      </c>
      <c r="C6" s="65">
        <v>52.9</v>
      </c>
      <c r="D6" s="65">
        <v>53.3</v>
      </c>
    </row>
    <row r="7" spans="2:5">
      <c r="B7" s="68" t="s">
        <v>41</v>
      </c>
      <c r="C7" s="65">
        <v>65.8</v>
      </c>
      <c r="D7" s="65">
        <v>76.98</v>
      </c>
    </row>
    <row r="8" spans="2:5">
      <c r="B8" s="68" t="s">
        <v>111</v>
      </c>
      <c r="C8" s="65">
        <v>124.6</v>
      </c>
      <c r="D8" s="65">
        <v>140.44</v>
      </c>
    </row>
    <row r="9" spans="2:5">
      <c r="B9" s="68" t="s">
        <v>115</v>
      </c>
      <c r="C9" s="65">
        <f>-(+C8+C10+C11-C12)</f>
        <v>-106.96</v>
      </c>
      <c r="D9" s="65">
        <f>-(+D8+D10+D11-D12)</f>
        <v>-116.58</v>
      </c>
    </row>
    <row r="10" spans="2:5">
      <c r="B10" s="68" t="s">
        <v>112</v>
      </c>
      <c r="C10" s="65">
        <v>-2.64</v>
      </c>
      <c r="D10" s="65">
        <v>-2.9</v>
      </c>
    </row>
    <row r="11" spans="2:5">
      <c r="B11" s="68" t="s">
        <v>23</v>
      </c>
      <c r="C11" s="65">
        <v>-1.6</v>
      </c>
      <c r="D11" s="65">
        <v>-1.6</v>
      </c>
    </row>
    <row r="12" spans="2:5">
      <c r="B12" s="69" t="s">
        <v>113</v>
      </c>
      <c r="C12" s="66">
        <v>13.4</v>
      </c>
      <c r="D12" s="66">
        <v>19.36</v>
      </c>
    </row>
    <row r="14" spans="2:5">
      <c r="C14" s="984" t="s">
        <v>117</v>
      </c>
      <c r="D14" s="986"/>
      <c r="E14" s="985"/>
    </row>
    <row r="15" spans="2:5" ht="25.5">
      <c r="C15" s="71" t="s">
        <v>118</v>
      </c>
      <c r="D15" s="70">
        <v>101</v>
      </c>
      <c r="E15" s="71" t="s">
        <v>119</v>
      </c>
    </row>
    <row r="16" spans="2:5">
      <c r="B16" s="67" t="s">
        <v>107</v>
      </c>
      <c r="C16" s="65"/>
      <c r="D16" s="65"/>
      <c r="E16" s="65">
        <v>82.6</v>
      </c>
    </row>
    <row r="17" spans="2:5">
      <c r="B17" s="68" t="s">
        <v>108</v>
      </c>
      <c r="C17" s="65"/>
      <c r="D17" s="65"/>
      <c r="E17" s="65">
        <v>118.2</v>
      </c>
    </row>
    <row r="18" spans="2:5">
      <c r="B18" s="68" t="s">
        <v>109</v>
      </c>
      <c r="C18" s="65"/>
      <c r="D18" s="65"/>
      <c r="E18" s="65">
        <v>85.8</v>
      </c>
    </row>
    <row r="19" spans="2:5">
      <c r="B19" s="68" t="s">
        <v>110</v>
      </c>
      <c r="C19" s="65"/>
      <c r="D19" s="65"/>
      <c r="E19" s="65">
        <v>59.5</v>
      </c>
    </row>
    <row r="20" spans="2:5">
      <c r="B20" s="68" t="s">
        <v>41</v>
      </c>
      <c r="C20" s="65"/>
      <c r="D20" s="65"/>
      <c r="E20" s="65">
        <v>55.5</v>
      </c>
    </row>
    <row r="21" spans="2:5">
      <c r="B21" s="68" t="s">
        <v>111</v>
      </c>
      <c r="C21" s="65"/>
      <c r="D21" s="65"/>
      <c r="E21" s="65">
        <v>104.1</v>
      </c>
    </row>
    <row r="22" spans="2:5">
      <c r="B22" s="68" t="s">
        <v>115</v>
      </c>
      <c r="C22" s="65"/>
      <c r="D22" s="65"/>
      <c r="E22" s="65">
        <f>-(+E21+E23+E24-E25)</f>
        <v>-74.099999999999994</v>
      </c>
    </row>
    <row r="23" spans="2:5">
      <c r="B23" s="68" t="s">
        <v>112</v>
      </c>
      <c r="C23" s="65"/>
      <c r="D23" s="65"/>
      <c r="E23" s="65">
        <v>-3.4</v>
      </c>
    </row>
    <row r="24" spans="2:5">
      <c r="B24" s="68" t="s">
        <v>23</v>
      </c>
      <c r="C24" s="65"/>
      <c r="D24" s="65"/>
      <c r="E24" s="65">
        <v>-1.8</v>
      </c>
    </row>
    <row r="25" spans="2:5">
      <c r="B25" s="69" t="s">
        <v>113</v>
      </c>
      <c r="C25" s="66"/>
      <c r="D25" s="66"/>
      <c r="E25" s="66">
        <v>24.8</v>
      </c>
    </row>
  </sheetData>
  <mergeCells count="2">
    <mergeCell ref="C1:D1"/>
    <mergeCell ref="C14:E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08"/>
  <sheetViews>
    <sheetView topLeftCell="A66" zoomScale="80" zoomScaleNormal="80" workbookViewId="0">
      <selection activeCell="E86" sqref="E86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3.7109375" style="113" bestFit="1" customWidth="1"/>
    <col min="4" max="4" width="21.28515625" style="113" bestFit="1" customWidth="1"/>
    <col min="5" max="5" width="13.7109375" style="113" bestFit="1" customWidth="1"/>
    <col min="6" max="6" width="17.42578125" style="113" customWidth="1"/>
    <col min="7" max="7" width="19.140625" style="113" customWidth="1"/>
    <col min="8" max="8" width="13.7109375" style="113" customWidth="1"/>
    <col min="9" max="9" width="14.7109375" style="113" customWidth="1"/>
    <col min="10" max="10" width="17.5703125" style="113" customWidth="1"/>
    <col min="11" max="11" width="15.140625" style="113" bestFit="1" customWidth="1"/>
    <col min="12" max="12" width="13.42578125" style="147" bestFit="1" customWidth="1"/>
    <col min="13" max="13" width="15.140625" style="147" bestFit="1" customWidth="1"/>
    <col min="14" max="14" width="13.42578125" style="147" bestFit="1" customWidth="1"/>
    <col min="15" max="15" width="14.28515625" style="147" bestFit="1" customWidth="1"/>
    <col min="16" max="16" width="10.28515625" style="147" bestFit="1" customWidth="1"/>
    <col min="17" max="17" width="11.42578125" style="147"/>
    <col min="18" max="18" width="19.42578125" style="147" bestFit="1" customWidth="1"/>
    <col min="19" max="19" width="16.28515625" style="147" bestFit="1" customWidth="1"/>
    <col min="20" max="20" width="11.42578125" style="147"/>
    <col min="21" max="16384" width="11.42578125" style="144"/>
  </cols>
  <sheetData>
    <row r="1" spans="2:19" ht="15">
      <c r="F1" s="162" t="s">
        <v>235</v>
      </c>
      <c r="G1" s="162" t="s">
        <v>236</v>
      </c>
    </row>
    <row r="2" spans="2:19" ht="15">
      <c r="B2" s="163" t="s">
        <v>237</v>
      </c>
      <c r="C2" s="164" t="s">
        <v>397</v>
      </c>
      <c r="D2" s="164" t="s">
        <v>238</v>
      </c>
      <c r="E2" s="164" t="s">
        <v>239</v>
      </c>
      <c r="F2" s="595">
        <f>+L4</f>
        <v>0.75019999999999998</v>
      </c>
      <c r="G2" s="165">
        <f>+L5</f>
        <v>0.24979999999999999</v>
      </c>
      <c r="H2" s="164"/>
    </row>
    <row r="3" spans="2:19" ht="15">
      <c r="B3" s="147" t="s">
        <v>8</v>
      </c>
      <c r="C3" s="113">
        <v>5000</v>
      </c>
      <c r="D3" s="113">
        <v>5000</v>
      </c>
      <c r="E3" s="113">
        <f>+C3-D3</f>
        <v>0</v>
      </c>
      <c r="F3" s="113">
        <f>+E3*$F$2</f>
        <v>0</v>
      </c>
      <c r="G3" s="113">
        <f>+E3*$G$2</f>
        <v>0</v>
      </c>
      <c r="K3" s="987">
        <v>2017</v>
      </c>
      <c r="L3" s="987"/>
      <c r="M3" s="987">
        <v>2016</v>
      </c>
      <c r="N3" s="987"/>
      <c r="O3" s="987" t="s">
        <v>239</v>
      </c>
      <c r="P3" s="987"/>
    </row>
    <row r="4" spans="2:19" ht="15">
      <c r="B4" s="147" t="s">
        <v>88</v>
      </c>
      <c r="C4" s="113">
        <f>'ESF - ERI'!T49</f>
        <v>42340052</v>
      </c>
      <c r="D4" s="113">
        <v>42837231</v>
      </c>
      <c r="E4" s="113">
        <f>+C4-D4</f>
        <v>-497179</v>
      </c>
      <c r="F4" s="113">
        <f t="shared" ref="F4:F11" si="0">+E4*$F$2</f>
        <v>-372983.68579999998</v>
      </c>
      <c r="G4" s="113">
        <f t="shared" ref="G4:G11" si="1">+E4*$G$2</f>
        <v>-124195.31419999999</v>
      </c>
      <c r="J4" s="113" t="s">
        <v>50</v>
      </c>
      <c r="K4" s="104">
        <v>3751</v>
      </c>
      <c r="L4" s="118">
        <f>+K4/$K$6</f>
        <v>0.75019999999999998</v>
      </c>
      <c r="M4" s="104">
        <v>3751</v>
      </c>
      <c r="N4" s="118">
        <f>+M4/$M$6</f>
        <v>0.75019999999999998</v>
      </c>
      <c r="O4" s="104">
        <f>+K4-M4</f>
        <v>0</v>
      </c>
      <c r="P4" s="118">
        <f>+L4-N4</f>
        <v>0</v>
      </c>
    </row>
    <row r="5" spans="2:19" ht="15">
      <c r="B5" s="147" t="s">
        <v>17</v>
      </c>
      <c r="E5" s="113">
        <f t="shared" ref="E5:E11" si="2">+C5-D5</f>
        <v>0</v>
      </c>
      <c r="F5" s="113">
        <f t="shared" si="0"/>
        <v>0</v>
      </c>
      <c r="G5" s="113">
        <f t="shared" si="1"/>
        <v>0</v>
      </c>
      <c r="J5" s="113" t="s">
        <v>52</v>
      </c>
      <c r="K5" s="121">
        <v>1249</v>
      </c>
      <c r="L5" s="118">
        <f>+K5/$K$6</f>
        <v>0.24979999999999999</v>
      </c>
      <c r="M5" s="121">
        <v>1249</v>
      </c>
      <c r="N5" s="118">
        <f>+M5/$M$6</f>
        <v>0.24979999999999999</v>
      </c>
      <c r="O5" s="104">
        <f>+K5-M5</f>
        <v>0</v>
      </c>
      <c r="P5" s="118">
        <f>+L5-N5</f>
        <v>0</v>
      </c>
    </row>
    <row r="6" spans="2:19">
      <c r="B6" s="147" t="s">
        <v>19</v>
      </c>
      <c r="E6" s="113">
        <f t="shared" si="2"/>
        <v>0</v>
      </c>
      <c r="F6" s="113">
        <f t="shared" si="0"/>
        <v>0</v>
      </c>
      <c r="G6" s="113">
        <f t="shared" si="1"/>
        <v>0</v>
      </c>
      <c r="K6" s="104">
        <f>SUM(K4:K5)</f>
        <v>5000</v>
      </c>
      <c r="L6" s="105"/>
      <c r="M6" s="104">
        <f>SUM(M4:M5)</f>
        <v>5000</v>
      </c>
      <c r="N6" s="105"/>
      <c r="O6" s="104">
        <f>SUM(O4:O5)</f>
        <v>0</v>
      </c>
      <c r="P6" s="105"/>
      <c r="R6" s="171"/>
    </row>
    <row r="7" spans="2:19">
      <c r="B7" s="147" t="s">
        <v>18</v>
      </c>
      <c r="E7" s="113">
        <f t="shared" si="2"/>
        <v>0</v>
      </c>
      <c r="F7" s="113">
        <f t="shared" si="0"/>
        <v>0</v>
      </c>
      <c r="G7" s="113">
        <f t="shared" si="1"/>
        <v>0</v>
      </c>
      <c r="R7" s="171"/>
    </row>
    <row r="8" spans="2:19" ht="15">
      <c r="B8" s="147" t="s">
        <v>20</v>
      </c>
      <c r="E8" s="113">
        <f t="shared" si="2"/>
        <v>0</v>
      </c>
      <c r="F8" s="113">
        <f t="shared" si="0"/>
        <v>0</v>
      </c>
      <c r="G8" s="113">
        <f t="shared" si="1"/>
        <v>0</v>
      </c>
      <c r="J8" s="162" t="s">
        <v>240</v>
      </c>
      <c r="K8" s="987">
        <v>2017</v>
      </c>
      <c r="L8" s="987"/>
      <c r="M8" s="987">
        <v>2016</v>
      </c>
      <c r="N8" s="987"/>
      <c r="O8" s="987" t="s">
        <v>239</v>
      </c>
      <c r="P8" s="987"/>
    </row>
    <row r="9" spans="2:19" ht="15">
      <c r="B9" s="147" t="s">
        <v>21</v>
      </c>
      <c r="C9" s="113">
        <v>0</v>
      </c>
      <c r="D9" s="113">
        <v>0</v>
      </c>
      <c r="E9" s="113">
        <f>+C9-D9</f>
        <v>0</v>
      </c>
      <c r="F9" s="113">
        <f t="shared" ref="F9" si="3">+E9*$F$2</f>
        <v>0</v>
      </c>
      <c r="G9" s="113">
        <f t="shared" ref="G9" si="4">+E9*$G$2</f>
        <v>0</v>
      </c>
      <c r="J9" s="162"/>
      <c r="K9" s="172"/>
      <c r="L9" s="172"/>
      <c r="M9" s="172"/>
      <c r="N9" s="172"/>
      <c r="O9" s="172"/>
      <c r="P9" s="172"/>
    </row>
    <row r="10" spans="2:19" ht="15">
      <c r="B10" s="147" t="s">
        <v>21</v>
      </c>
      <c r="C10" s="113">
        <f>'ESF - ERI'!T55</f>
        <v>2254833</v>
      </c>
      <c r="D10" s="113">
        <v>-392726</v>
      </c>
      <c r="E10" s="146">
        <f t="shared" si="2"/>
        <v>2647559</v>
      </c>
      <c r="F10" s="113">
        <f t="shared" si="0"/>
        <v>1986198.7618</v>
      </c>
      <c r="G10" s="113">
        <f t="shared" si="1"/>
        <v>661360.23820000002</v>
      </c>
      <c r="J10" s="113" t="s">
        <v>50</v>
      </c>
      <c r="K10" s="113">
        <f>32414459-497179</f>
        <v>31917280</v>
      </c>
      <c r="L10" s="173">
        <f>+K10/K12</f>
        <v>0.75383185641812622</v>
      </c>
      <c r="M10" s="113">
        <v>32414459</v>
      </c>
      <c r="N10" s="173">
        <f>+M10/M12</f>
        <v>0.75668894191597025</v>
      </c>
      <c r="O10" s="104">
        <f>+K10-M10</f>
        <v>-497179</v>
      </c>
      <c r="P10" s="118">
        <f>+L10-N10</f>
        <v>-2.8570854978440252E-3</v>
      </c>
      <c r="R10" s="133">
        <f>D4*N5</f>
        <v>10700740.3038</v>
      </c>
      <c r="S10" s="171"/>
    </row>
    <row r="11" spans="2:19" ht="15">
      <c r="B11" s="147" t="s">
        <v>43</v>
      </c>
      <c r="C11" s="166">
        <f>'ESF - ERI'!T56</f>
        <v>-1077724</v>
      </c>
      <c r="D11" s="166">
        <v>1823983</v>
      </c>
      <c r="E11" s="166">
        <f t="shared" si="2"/>
        <v>-2901707</v>
      </c>
      <c r="F11" s="166">
        <f t="shared" si="0"/>
        <v>-2176860.5913999998</v>
      </c>
      <c r="G11" s="166">
        <f t="shared" si="1"/>
        <v>-724846.40859999997</v>
      </c>
      <c r="J11" s="113" t="s">
        <v>52</v>
      </c>
      <c r="K11" s="166">
        <v>10422772</v>
      </c>
      <c r="L11" s="173">
        <f>+K11/K12</f>
        <v>0.24616814358187372</v>
      </c>
      <c r="M11" s="166">
        <v>10422772</v>
      </c>
      <c r="N11" s="173">
        <f>+M11/M12</f>
        <v>0.24331105808402975</v>
      </c>
      <c r="O11" s="155">
        <f>+K11-M11</f>
        <v>0</v>
      </c>
      <c r="P11" s="118">
        <f>+L11-N11</f>
        <v>2.8570854978439697E-3</v>
      </c>
      <c r="R11" s="171"/>
    </row>
    <row r="12" spans="2:19" ht="15">
      <c r="K12" s="162">
        <f>SUM(K10:K11)</f>
        <v>42340052</v>
      </c>
      <c r="M12" s="162">
        <f>SUM(M10:M11)</f>
        <v>42837231</v>
      </c>
      <c r="O12" s="104">
        <f>SUM(O10:O11)</f>
        <v>-497179</v>
      </c>
      <c r="P12" s="105"/>
    </row>
    <row r="13" spans="2:19" ht="15">
      <c r="B13" s="163" t="s">
        <v>241</v>
      </c>
      <c r="C13" s="162">
        <f>SUM(C3:C12)</f>
        <v>43522161</v>
      </c>
      <c r="D13" s="162">
        <f>SUM(D3:D12)</f>
        <v>44273488</v>
      </c>
      <c r="E13" s="162">
        <f>SUM(E3:E11)</f>
        <v>-751327</v>
      </c>
      <c r="F13" s="162">
        <f>SUM(F3:F11)</f>
        <v>-563645.51539999992</v>
      </c>
      <c r="G13" s="162">
        <f>SUM(G3:G11)</f>
        <v>-187681.48459999997</v>
      </c>
      <c r="H13" s="162"/>
    </row>
    <row r="14" spans="2:19" ht="15">
      <c r="B14" s="168" t="s">
        <v>589</v>
      </c>
      <c r="C14" s="162">
        <f>+(C13)*$F$2</f>
        <v>32650325.1822</v>
      </c>
      <c r="D14" s="162">
        <f>+(D13)*$F$2</f>
        <v>33213970.6976</v>
      </c>
      <c r="E14" s="162">
        <f t="shared" ref="E14" si="5">+C14-D14</f>
        <v>-563645.51539999992</v>
      </c>
      <c r="F14" s="162"/>
      <c r="G14" s="162"/>
      <c r="H14" s="162"/>
    </row>
    <row r="15" spans="2:19" ht="15">
      <c r="B15" s="168" t="s">
        <v>242</v>
      </c>
      <c r="C15" s="162">
        <f>+(C13)*$G$2</f>
        <v>10871835.8178</v>
      </c>
      <c r="D15" s="162">
        <f>+(D13)*$G$2</f>
        <v>11059517.3024</v>
      </c>
      <c r="E15" s="162">
        <f>+C15-D15</f>
        <v>-187681.48460000008</v>
      </c>
      <c r="F15" s="162"/>
      <c r="G15" s="162"/>
      <c r="H15" s="162"/>
      <c r="L15" s="174"/>
      <c r="M15" s="113"/>
      <c r="N15" s="175"/>
      <c r="R15" s="171"/>
    </row>
    <row r="16" spans="2:19" ht="15">
      <c r="B16" s="168" t="s">
        <v>15</v>
      </c>
      <c r="C16" s="162">
        <f>SUM(C14:C15)</f>
        <v>43522161</v>
      </c>
      <c r="D16" s="162">
        <f>SUM(D14:D15)</f>
        <v>44273488</v>
      </c>
      <c r="E16" s="162">
        <f t="shared" ref="E16:E17" si="6">+C16-D16</f>
        <v>-751327</v>
      </c>
      <c r="F16" s="162"/>
      <c r="G16" s="162"/>
      <c r="H16" s="162"/>
      <c r="M16" s="113"/>
      <c r="N16" s="175"/>
    </row>
    <row r="17" spans="2:16" ht="15">
      <c r="B17" s="168"/>
      <c r="C17" s="113">
        <f>C13-C16</f>
        <v>0</v>
      </c>
      <c r="D17" s="113">
        <f>D13-D16</f>
        <v>0</v>
      </c>
      <c r="E17" s="162">
        <f t="shared" si="6"/>
        <v>0</v>
      </c>
      <c r="F17" s="162"/>
      <c r="G17" s="162"/>
      <c r="H17" s="162"/>
      <c r="M17" s="113"/>
      <c r="N17" s="175"/>
    </row>
    <row r="18" spans="2:16" ht="15">
      <c r="C18" s="144"/>
      <c r="F18" s="162" t="s">
        <v>235</v>
      </c>
      <c r="G18" s="162" t="s">
        <v>236</v>
      </c>
      <c r="M18" s="113"/>
    </row>
    <row r="19" spans="2:16" ht="15">
      <c r="B19" s="163" t="s">
        <v>243</v>
      </c>
      <c r="C19" s="164" t="s">
        <v>397</v>
      </c>
      <c r="D19" s="164" t="s">
        <v>238</v>
      </c>
      <c r="E19" s="164" t="s">
        <v>239</v>
      </c>
      <c r="F19" s="595">
        <f>+L21</f>
        <v>0.99995475113122168</v>
      </c>
      <c r="G19" s="165">
        <f>+L22</f>
        <v>4.5248868778280542E-5</v>
      </c>
      <c r="H19" s="164"/>
    </row>
    <row r="20" spans="2:16" ht="15">
      <c r="B20" s="147" t="s">
        <v>8</v>
      </c>
      <c r="C20" s="113">
        <v>1105000</v>
      </c>
      <c r="D20" s="113">
        <v>1105000</v>
      </c>
      <c r="E20" s="113">
        <f>+C20-D20</f>
        <v>0</v>
      </c>
      <c r="F20" s="113">
        <v>0</v>
      </c>
      <c r="G20" s="113">
        <v>0</v>
      </c>
      <c r="H20" s="164"/>
      <c r="K20" s="987">
        <v>2017</v>
      </c>
      <c r="L20" s="987"/>
      <c r="M20" s="987">
        <v>2016</v>
      </c>
      <c r="N20" s="987"/>
      <c r="O20" s="987" t="s">
        <v>239</v>
      </c>
      <c r="P20" s="987"/>
    </row>
    <row r="21" spans="2:16" ht="15">
      <c r="B21" s="147" t="s">
        <v>88</v>
      </c>
      <c r="C21" s="113">
        <v>877313</v>
      </c>
      <c r="D21" s="113">
        <v>646013</v>
      </c>
      <c r="E21" s="113">
        <f t="shared" ref="E21:E26" si="7">+C21-D21</f>
        <v>231300</v>
      </c>
      <c r="F21" s="113">
        <v>0</v>
      </c>
      <c r="G21" s="113">
        <v>0</v>
      </c>
      <c r="H21" s="164"/>
      <c r="J21" s="113" t="s">
        <v>50</v>
      </c>
      <c r="K21" s="104">
        <v>1104950</v>
      </c>
      <c r="L21" s="118">
        <f>+K21/$K$23</f>
        <v>0.99995475113122168</v>
      </c>
      <c r="M21" s="104">
        <v>1104950</v>
      </c>
      <c r="N21" s="118">
        <f>+M21/$M$23</f>
        <v>0.99995475113122168</v>
      </c>
      <c r="O21" s="104">
        <f>+K21-M21</f>
        <v>0</v>
      </c>
      <c r="P21" s="118">
        <f>+L21-N21</f>
        <v>0</v>
      </c>
    </row>
    <row r="22" spans="2:16" ht="15">
      <c r="B22" s="147" t="s">
        <v>17</v>
      </c>
      <c r="E22" s="113">
        <f t="shared" si="7"/>
        <v>0</v>
      </c>
      <c r="F22" s="113">
        <f t="shared" ref="F22:F27" si="8">+E22*$F$19</f>
        <v>0</v>
      </c>
      <c r="G22" s="113">
        <f t="shared" ref="G22:G27" si="9">+E22*$G$19</f>
        <v>0</v>
      </c>
      <c r="J22" s="113" t="s">
        <v>52</v>
      </c>
      <c r="K22" s="121">
        <v>50</v>
      </c>
      <c r="L22" s="118">
        <f>+K22/$K$23</f>
        <v>4.5248868778280542E-5</v>
      </c>
      <c r="M22" s="121">
        <v>50</v>
      </c>
      <c r="N22" s="118">
        <f>+M22/$M$23</f>
        <v>4.5248868778280542E-5</v>
      </c>
      <c r="O22" s="104">
        <f>+K22-M22</f>
        <v>0</v>
      </c>
      <c r="P22" s="118">
        <f>+L22-N22</f>
        <v>0</v>
      </c>
    </row>
    <row r="23" spans="2:16">
      <c r="B23" s="147" t="s">
        <v>19</v>
      </c>
      <c r="E23" s="113">
        <f t="shared" si="7"/>
        <v>0</v>
      </c>
      <c r="F23" s="113">
        <f t="shared" si="8"/>
        <v>0</v>
      </c>
      <c r="G23" s="113">
        <f t="shared" si="9"/>
        <v>0</v>
      </c>
      <c r="K23" s="104">
        <f>SUM(K21:K22)</f>
        <v>1105000</v>
      </c>
      <c r="L23" s="105"/>
      <c r="M23" s="104">
        <f>SUM(M21:M22)</f>
        <v>1105000</v>
      </c>
      <c r="N23" s="105"/>
      <c r="O23" s="104">
        <f>SUM(O21:O22)</f>
        <v>0</v>
      </c>
      <c r="P23" s="105"/>
    </row>
    <row r="24" spans="2:16">
      <c r="B24" s="147" t="s">
        <v>18</v>
      </c>
      <c r="E24" s="113">
        <f t="shared" si="7"/>
        <v>0</v>
      </c>
      <c r="F24" s="113">
        <f t="shared" si="8"/>
        <v>0</v>
      </c>
      <c r="G24" s="113">
        <f t="shared" si="9"/>
        <v>0</v>
      </c>
    </row>
    <row r="25" spans="2:16">
      <c r="B25" s="147" t="s">
        <v>20</v>
      </c>
      <c r="E25" s="113">
        <f t="shared" si="7"/>
        <v>0</v>
      </c>
      <c r="F25" s="113">
        <f t="shared" si="8"/>
        <v>0</v>
      </c>
      <c r="G25" s="113">
        <f t="shared" si="9"/>
        <v>0</v>
      </c>
    </row>
    <row r="26" spans="2:16" ht="19.5">
      <c r="B26" s="147" t="s">
        <v>21</v>
      </c>
      <c r="C26" s="113">
        <f>'ESF - ERI'!U55</f>
        <v>-16937</v>
      </c>
      <c r="D26" s="113">
        <v>-85803</v>
      </c>
      <c r="E26" s="113">
        <f t="shared" si="7"/>
        <v>68866</v>
      </c>
      <c r="F26" s="113">
        <f t="shared" si="8"/>
        <v>68862.883891402715</v>
      </c>
      <c r="G26" s="113">
        <f t="shared" si="9"/>
        <v>3.1161085972850677</v>
      </c>
      <c r="I26" s="176" t="s">
        <v>244</v>
      </c>
    </row>
    <row r="27" spans="2:16">
      <c r="B27" s="147" t="s">
        <v>43</v>
      </c>
      <c r="C27" s="166">
        <f>'ESF - ERI'!U56</f>
        <v>19337</v>
      </c>
      <c r="D27" s="166">
        <v>-113288</v>
      </c>
      <c r="E27" s="166">
        <f>+C27-D27</f>
        <v>132625</v>
      </c>
      <c r="F27" s="113">
        <f t="shared" si="8"/>
        <v>132618.99886877826</v>
      </c>
      <c r="G27" s="113">
        <f t="shared" si="9"/>
        <v>6.001131221719457</v>
      </c>
      <c r="H27" s="167"/>
    </row>
    <row r="29" spans="2:16" ht="15">
      <c r="B29" s="163" t="s">
        <v>241</v>
      </c>
      <c r="C29" s="162">
        <f>SUM(C20:C28)</f>
        <v>1984713</v>
      </c>
      <c r="D29" s="162">
        <f>SUM(D20:D28)</f>
        <v>1551922</v>
      </c>
      <c r="E29" s="162">
        <f>SUM(E20:E27)</f>
        <v>432791</v>
      </c>
      <c r="F29" s="162"/>
      <c r="G29" s="162"/>
      <c r="H29" s="162"/>
    </row>
    <row r="30" spans="2:16" ht="15">
      <c r="B30" s="147" t="s">
        <v>245</v>
      </c>
      <c r="C30" s="162">
        <v>0</v>
      </c>
      <c r="D30" s="162">
        <v>0</v>
      </c>
      <c r="E30" s="162"/>
      <c r="F30" s="162"/>
      <c r="G30" s="162"/>
      <c r="H30" s="162"/>
      <c r="J30" s="113" t="s">
        <v>265</v>
      </c>
    </row>
    <row r="31" spans="2:16" ht="15">
      <c r="B31" s="147" t="s">
        <v>246</v>
      </c>
      <c r="C31" s="177">
        <f>-C21</f>
        <v>-877313</v>
      </c>
      <c r="D31" s="177">
        <f>-D21</f>
        <v>-646013</v>
      </c>
      <c r="F31" s="162"/>
      <c r="G31" s="162"/>
      <c r="H31" s="162"/>
    </row>
    <row r="32" spans="2:16" ht="15">
      <c r="B32" s="163" t="s">
        <v>247</v>
      </c>
      <c r="C32" s="162">
        <f>SUM(C29:C31)</f>
        <v>1107400</v>
      </c>
      <c r="D32" s="162">
        <f>SUM(D29:D31)</f>
        <v>905909</v>
      </c>
      <c r="E32" s="113">
        <f t="shared" ref="E32:E33" si="10">+C32-D32</f>
        <v>201491</v>
      </c>
      <c r="F32" s="162"/>
      <c r="G32" s="162"/>
      <c r="H32" s="162"/>
    </row>
    <row r="33" spans="2:16" ht="15">
      <c r="B33" s="168" t="s">
        <v>589</v>
      </c>
      <c r="C33" s="162">
        <f>+(C32)*$F$19</f>
        <v>1107349.8914027149</v>
      </c>
      <c r="D33" s="162">
        <f>+(D32)*$F$19</f>
        <v>905868.00864253391</v>
      </c>
      <c r="E33" s="113">
        <f t="shared" si="10"/>
        <v>201481.88276018098</v>
      </c>
      <c r="F33" s="162"/>
      <c r="G33" s="162"/>
      <c r="H33" s="162"/>
    </row>
    <row r="34" spans="2:16" ht="15">
      <c r="B34" s="168" t="s">
        <v>242</v>
      </c>
      <c r="C34" s="162">
        <f>+C32*$G$19</f>
        <v>50.108597285067873</v>
      </c>
      <c r="D34" s="162">
        <f>+D32*$G$19</f>
        <v>40.991357466063349</v>
      </c>
      <c r="E34" s="162">
        <f>+C34-D34</f>
        <v>9.1172398190045243</v>
      </c>
    </row>
    <row r="35" spans="2:16" ht="15">
      <c r="B35" s="168" t="s">
        <v>15</v>
      </c>
      <c r="C35" s="162">
        <f>SUM(C33:C34)</f>
        <v>1107400</v>
      </c>
      <c r="D35" s="162">
        <f>SUM(D33:D34)</f>
        <v>905909</v>
      </c>
    </row>
    <row r="36" spans="2:16">
      <c r="C36" s="113">
        <f>C32-C35</f>
        <v>0</v>
      </c>
      <c r="D36" s="113">
        <f>D32-D35</f>
        <v>0</v>
      </c>
    </row>
    <row r="37" spans="2:16" ht="15">
      <c r="F37" s="162" t="s">
        <v>235</v>
      </c>
      <c r="G37" s="162" t="s">
        <v>236</v>
      </c>
    </row>
    <row r="38" spans="2:16" ht="15">
      <c r="B38" s="163" t="s">
        <v>248</v>
      </c>
      <c r="C38" s="164" t="s">
        <v>397</v>
      </c>
      <c r="D38" s="164" t="s">
        <v>238</v>
      </c>
      <c r="E38" s="164" t="s">
        <v>239</v>
      </c>
      <c r="F38" s="595">
        <f>+L40</f>
        <v>0.68</v>
      </c>
      <c r="G38" s="165">
        <f>+L41</f>
        <v>0.32</v>
      </c>
      <c r="H38" s="164"/>
    </row>
    <row r="39" spans="2:16" ht="15">
      <c r="B39" s="147" t="s">
        <v>8</v>
      </c>
      <c r="C39" s="113">
        <v>10000</v>
      </c>
      <c r="D39" s="113">
        <v>10000</v>
      </c>
      <c r="E39" s="113">
        <f>+C39-D39</f>
        <v>0</v>
      </c>
      <c r="F39" s="113">
        <f t="shared" ref="F39:F44" si="11">+E39*$F$38</f>
        <v>0</v>
      </c>
      <c r="G39" s="113">
        <f t="shared" ref="G39:G44" si="12">+E39*$G$38</f>
        <v>0</v>
      </c>
      <c r="K39" s="987">
        <v>2017</v>
      </c>
      <c r="L39" s="987"/>
      <c r="M39" s="987">
        <v>2016</v>
      </c>
      <c r="N39" s="987"/>
      <c r="O39" s="987" t="s">
        <v>239</v>
      </c>
      <c r="P39" s="987"/>
    </row>
    <row r="40" spans="2:16" ht="15">
      <c r="B40" s="147" t="s">
        <v>88</v>
      </c>
      <c r="C40" s="113">
        <v>0</v>
      </c>
      <c r="D40" s="113">
        <v>0</v>
      </c>
      <c r="E40" s="113">
        <f t="shared" ref="E40:E46" si="13">+C40-D40</f>
        <v>0</v>
      </c>
      <c r="F40" s="113">
        <f t="shared" si="11"/>
        <v>0</v>
      </c>
      <c r="G40" s="113">
        <f t="shared" si="12"/>
        <v>0</v>
      </c>
      <c r="J40" s="113" t="s">
        <v>50</v>
      </c>
      <c r="K40" s="104">
        <v>6800</v>
      </c>
      <c r="L40" s="118">
        <f>+K40/$K$42</f>
        <v>0.68</v>
      </c>
      <c r="M40" s="104">
        <v>6800</v>
      </c>
      <c r="N40" s="118">
        <f>+M40/$M$42</f>
        <v>0.68</v>
      </c>
      <c r="O40" s="104">
        <f>+K40-M40</f>
        <v>0</v>
      </c>
      <c r="P40" s="118">
        <f>+L40-N40</f>
        <v>0</v>
      </c>
    </row>
    <row r="41" spans="2:16" ht="15">
      <c r="B41" s="147" t="s">
        <v>17</v>
      </c>
      <c r="C41" s="113">
        <f>'ESF - ERI'!V50</f>
        <v>74426</v>
      </c>
      <c r="D41" s="113">
        <v>74426.570000000007</v>
      </c>
      <c r="E41" s="113">
        <f t="shared" si="13"/>
        <v>-0.57000000000698492</v>
      </c>
      <c r="F41" s="113">
        <f t="shared" si="11"/>
        <v>-0.38760000000474976</v>
      </c>
      <c r="G41" s="113">
        <f t="shared" si="12"/>
        <v>-0.18240000000223519</v>
      </c>
      <c r="J41" s="113" t="s">
        <v>52</v>
      </c>
      <c r="K41" s="121">
        <v>3200</v>
      </c>
      <c r="L41" s="118">
        <f>+K41/$K$42</f>
        <v>0.32</v>
      </c>
      <c r="M41" s="121">
        <v>3200</v>
      </c>
      <c r="N41" s="118">
        <f>+M41/$M$42</f>
        <v>0.32</v>
      </c>
      <c r="O41" s="104">
        <f>+K41-M41</f>
        <v>0</v>
      </c>
      <c r="P41" s="118">
        <f>+L41-N41</f>
        <v>0</v>
      </c>
    </row>
    <row r="42" spans="2:16">
      <c r="B42" s="147" t="s">
        <v>19</v>
      </c>
      <c r="E42" s="113">
        <f t="shared" si="13"/>
        <v>0</v>
      </c>
      <c r="F42" s="113">
        <f t="shared" si="11"/>
        <v>0</v>
      </c>
      <c r="G42" s="113">
        <f t="shared" si="12"/>
        <v>0</v>
      </c>
      <c r="K42" s="104">
        <f>SUM(K40:K41)</f>
        <v>10000</v>
      </c>
      <c r="L42" s="105"/>
      <c r="M42" s="104">
        <f>SUM(M40:M41)</f>
        <v>10000</v>
      </c>
      <c r="N42" s="105"/>
      <c r="O42" s="104">
        <f>SUM(O40:O41)</f>
        <v>0</v>
      </c>
      <c r="P42" s="105"/>
    </row>
    <row r="43" spans="2:16">
      <c r="B43" s="147" t="s">
        <v>18</v>
      </c>
      <c r="E43" s="113">
        <f t="shared" si="13"/>
        <v>0</v>
      </c>
      <c r="F43" s="113">
        <f t="shared" si="11"/>
        <v>0</v>
      </c>
      <c r="G43" s="113">
        <f t="shared" si="12"/>
        <v>0</v>
      </c>
    </row>
    <row r="44" spans="2:16">
      <c r="B44" s="147" t="s">
        <v>20</v>
      </c>
      <c r="E44" s="113">
        <f t="shared" si="13"/>
        <v>0</v>
      </c>
      <c r="F44" s="113">
        <f t="shared" si="11"/>
        <v>0</v>
      </c>
      <c r="G44" s="113">
        <f t="shared" si="12"/>
        <v>0</v>
      </c>
    </row>
    <row r="45" spans="2:16" ht="19.5">
      <c r="B45" s="147" t="s">
        <v>21</v>
      </c>
      <c r="C45" s="113">
        <f>'ESF - ERI'!V55</f>
        <v>911628</v>
      </c>
      <c r="D45" s="113">
        <v>989917</v>
      </c>
      <c r="E45" s="113">
        <f t="shared" si="13"/>
        <v>-78289</v>
      </c>
      <c r="F45" s="113">
        <f>+E45*$F$38</f>
        <v>-53236.520000000004</v>
      </c>
      <c r="G45" s="113">
        <f>+E45*$G$38</f>
        <v>-25052.48</v>
      </c>
      <c r="I45" s="176" t="s">
        <v>249</v>
      </c>
      <c r="L45" s="113">
        <f>228012-128950-6829+71048+1931</f>
        <v>165212</v>
      </c>
    </row>
    <row r="46" spans="2:16">
      <c r="B46" s="147" t="s">
        <v>43</v>
      </c>
      <c r="C46" s="166">
        <f>'ESF - ERI'!V56</f>
        <v>-15891</v>
      </c>
      <c r="D46" s="166">
        <v>-56384</v>
      </c>
      <c r="E46" s="166">
        <f t="shared" si="13"/>
        <v>40493</v>
      </c>
      <c r="F46" s="113">
        <f>+E46*$F$38</f>
        <v>27535.24</v>
      </c>
      <c r="G46" s="113">
        <f>+E46*$G$38</f>
        <v>12957.76</v>
      </c>
      <c r="H46" s="167"/>
    </row>
    <row r="48" spans="2:16" ht="15">
      <c r="B48" s="163" t="s">
        <v>241</v>
      </c>
      <c r="C48" s="162">
        <f>SUM(C39:C47)</f>
        <v>980163</v>
      </c>
      <c r="D48" s="162">
        <f>SUM(D39:D47)</f>
        <v>1017959.5700000001</v>
      </c>
      <c r="E48" s="162">
        <f>SUM(E39:E46)</f>
        <v>-37796.570000000007</v>
      </c>
      <c r="F48" s="162"/>
      <c r="G48" s="162"/>
      <c r="H48" s="162"/>
    </row>
    <row r="49" spans="2:16" ht="15">
      <c r="B49" s="168" t="s">
        <v>589</v>
      </c>
      <c r="C49" s="162">
        <f>+(C48)*$F$38</f>
        <v>666510.84000000008</v>
      </c>
      <c r="D49" s="162">
        <f>+(D48)*$F$38</f>
        <v>692212.50760000013</v>
      </c>
      <c r="E49" s="162">
        <f t="shared" ref="E49" si="14">+C49-D49</f>
        <v>-25701.667600000044</v>
      </c>
      <c r="F49" s="162"/>
      <c r="G49" s="162"/>
      <c r="H49" s="162"/>
    </row>
    <row r="50" spans="2:16" ht="15">
      <c r="B50" s="168" t="s">
        <v>242</v>
      </c>
      <c r="C50" s="162">
        <f>+C48*$G$38</f>
        <v>313652.16000000003</v>
      </c>
      <c r="D50" s="162">
        <f>+D48*$G$38</f>
        <v>325747.06240000005</v>
      </c>
      <c r="E50" s="162">
        <f>+C50-D50</f>
        <v>-12094.902400000021</v>
      </c>
    </row>
    <row r="51" spans="2:16" ht="15">
      <c r="B51" s="168" t="s">
        <v>15</v>
      </c>
      <c r="C51" s="162">
        <f>SUM(C49:C50)</f>
        <v>980163.00000000012</v>
      </c>
      <c r="D51" s="162">
        <f>SUM(D49:D50)</f>
        <v>1017959.5700000002</v>
      </c>
      <c r="E51" s="162">
        <f t="shared" ref="E51" si="15">+C51-D51</f>
        <v>-37796.570000000065</v>
      </c>
    </row>
    <row r="52" spans="2:16" ht="15">
      <c r="B52" s="168"/>
      <c r="C52" s="113">
        <f>C48-C51</f>
        <v>0</v>
      </c>
      <c r="D52" s="113">
        <f>D48-D51</f>
        <v>0</v>
      </c>
      <c r="E52" s="162"/>
    </row>
    <row r="53" spans="2:16" ht="15">
      <c r="C53" s="144"/>
      <c r="D53" s="144"/>
      <c r="F53" s="162" t="s">
        <v>235</v>
      </c>
      <c r="G53" s="162" t="s">
        <v>236</v>
      </c>
    </row>
    <row r="54" spans="2:16" ht="15">
      <c r="B54" s="163" t="s">
        <v>250</v>
      </c>
      <c r="C54" s="164" t="s">
        <v>397</v>
      </c>
      <c r="D54" s="164" t="s">
        <v>238</v>
      </c>
      <c r="E54" s="164" t="s">
        <v>239</v>
      </c>
      <c r="F54" s="595">
        <f>+L56</f>
        <v>0.5</v>
      </c>
      <c r="G54" s="165">
        <f>+L57</f>
        <v>0.5</v>
      </c>
      <c r="H54" s="164"/>
    </row>
    <row r="55" spans="2:16" ht="15">
      <c r="B55" s="147" t="s">
        <v>8</v>
      </c>
      <c r="C55" s="113">
        <v>1000</v>
      </c>
      <c r="D55" s="113">
        <v>1000</v>
      </c>
      <c r="E55" s="113">
        <f>+C55-D55</f>
        <v>0</v>
      </c>
      <c r="F55" s="113">
        <f>+E55*$F$54</f>
        <v>0</v>
      </c>
      <c r="G55" s="113">
        <f>+E55*$G$54</f>
        <v>0</v>
      </c>
      <c r="K55" s="987">
        <v>2017</v>
      </c>
      <c r="L55" s="987"/>
      <c r="M55" s="987">
        <v>2016</v>
      </c>
      <c r="N55" s="987"/>
      <c r="O55" s="987" t="s">
        <v>239</v>
      </c>
      <c r="P55" s="987"/>
    </row>
    <row r="56" spans="2:16" ht="15">
      <c r="B56" s="147" t="s">
        <v>88</v>
      </c>
      <c r="C56" s="113">
        <v>49015</v>
      </c>
      <c r="D56" s="113">
        <v>49015</v>
      </c>
      <c r="E56" s="113">
        <f t="shared" ref="E56:E62" si="16">+C56-D56</f>
        <v>0</v>
      </c>
      <c r="F56" s="113">
        <f t="shared" ref="F56:F62" si="17">+E56*$F$54</f>
        <v>0</v>
      </c>
      <c r="G56" s="113">
        <f t="shared" ref="G56:G62" si="18">+E56*$G$54</f>
        <v>0</v>
      </c>
      <c r="J56" s="113" t="s">
        <v>50</v>
      </c>
      <c r="K56" s="104">
        <v>500</v>
      </c>
      <c r="L56" s="118">
        <f>+K56/$K$58</f>
        <v>0.5</v>
      </c>
      <c r="M56" s="104">
        <v>500</v>
      </c>
      <c r="N56" s="118">
        <f>+M56/$M$58</f>
        <v>0.5</v>
      </c>
      <c r="O56" s="104">
        <f>+K56-M56</f>
        <v>0</v>
      </c>
      <c r="P56" s="118">
        <f>+L56-N56</f>
        <v>0</v>
      </c>
    </row>
    <row r="57" spans="2:16" ht="15">
      <c r="B57" s="147" t="s">
        <v>17</v>
      </c>
      <c r="C57" s="113">
        <v>500</v>
      </c>
      <c r="D57" s="113">
        <v>500</v>
      </c>
      <c r="E57" s="113">
        <f t="shared" si="16"/>
        <v>0</v>
      </c>
      <c r="F57" s="113">
        <f t="shared" si="17"/>
        <v>0</v>
      </c>
      <c r="G57" s="113">
        <f t="shared" si="18"/>
        <v>0</v>
      </c>
      <c r="J57" s="113" t="s">
        <v>52</v>
      </c>
      <c r="K57" s="121">
        <v>500</v>
      </c>
      <c r="L57" s="118">
        <f>+K57/$K$58</f>
        <v>0.5</v>
      </c>
      <c r="M57" s="121">
        <v>500</v>
      </c>
      <c r="N57" s="118">
        <f>+M57/$M$58</f>
        <v>0.5</v>
      </c>
      <c r="O57" s="104">
        <f>+K57-M57</f>
        <v>0</v>
      </c>
      <c r="P57" s="118">
        <f>+L57-N57</f>
        <v>0</v>
      </c>
    </row>
    <row r="58" spans="2:16">
      <c r="B58" s="147" t="s">
        <v>19</v>
      </c>
      <c r="C58" s="113">
        <v>0</v>
      </c>
      <c r="D58" s="113">
        <v>0</v>
      </c>
      <c r="E58" s="113">
        <f t="shared" si="16"/>
        <v>0</v>
      </c>
      <c r="F58" s="113">
        <f t="shared" si="17"/>
        <v>0</v>
      </c>
      <c r="G58" s="113">
        <f t="shared" si="18"/>
        <v>0</v>
      </c>
      <c r="K58" s="104">
        <f>SUM(K56:K57)</f>
        <v>1000</v>
      </c>
      <c r="L58" s="105"/>
      <c r="M58" s="104">
        <f>SUM(M56:M57)</f>
        <v>1000</v>
      </c>
      <c r="N58" s="105"/>
      <c r="O58" s="104">
        <f>SUM(O56:O57)</f>
        <v>0</v>
      </c>
      <c r="P58" s="105"/>
    </row>
    <row r="59" spans="2:16">
      <c r="B59" s="147" t="s">
        <v>18</v>
      </c>
      <c r="C59" s="113">
        <v>0</v>
      </c>
      <c r="D59" s="113">
        <v>0</v>
      </c>
      <c r="E59" s="113">
        <f t="shared" si="16"/>
        <v>0</v>
      </c>
      <c r="F59" s="113">
        <f t="shared" si="17"/>
        <v>0</v>
      </c>
      <c r="G59" s="113">
        <f t="shared" si="18"/>
        <v>0</v>
      </c>
    </row>
    <row r="60" spans="2:16">
      <c r="B60" s="147" t="s">
        <v>20</v>
      </c>
      <c r="C60" s="113">
        <v>0</v>
      </c>
      <c r="D60" s="113">
        <v>82150.45</v>
      </c>
      <c r="E60" s="113">
        <f t="shared" si="16"/>
        <v>-82150.45</v>
      </c>
      <c r="F60" s="113">
        <f t="shared" si="17"/>
        <v>-41075.224999999999</v>
      </c>
      <c r="G60" s="113">
        <f t="shared" si="18"/>
        <v>-41075.224999999999</v>
      </c>
    </row>
    <row r="61" spans="2:16">
      <c r="B61" s="147" t="s">
        <v>21</v>
      </c>
      <c r="C61" s="113">
        <f>'ESF - ERI'!W55</f>
        <v>-488265</v>
      </c>
      <c r="D61" s="113">
        <f>129138.35-489726.7199375</f>
        <v>-360588.36993749999</v>
      </c>
      <c r="E61" s="113">
        <f t="shared" si="16"/>
        <v>-127676.63006250001</v>
      </c>
      <c r="F61" s="113">
        <f t="shared" si="17"/>
        <v>-63838.315031250007</v>
      </c>
      <c r="G61" s="113">
        <f t="shared" si="18"/>
        <v>-63838.315031250007</v>
      </c>
    </row>
    <row r="62" spans="2:16">
      <c r="B62" s="147" t="s">
        <v>43</v>
      </c>
      <c r="C62" s="166">
        <f>'ESF - ERI'!W56</f>
        <v>-493384</v>
      </c>
      <c r="D62" s="166">
        <v>-209826.66</v>
      </c>
      <c r="E62" s="166">
        <f t="shared" si="16"/>
        <v>-283557.33999999997</v>
      </c>
      <c r="F62" s="113">
        <f t="shared" si="17"/>
        <v>-141778.66999999998</v>
      </c>
      <c r="G62" s="113">
        <f t="shared" si="18"/>
        <v>-141778.66999999998</v>
      </c>
      <c r="H62" s="167"/>
    </row>
    <row r="64" spans="2:16" ht="15">
      <c r="B64" s="163" t="s">
        <v>241</v>
      </c>
      <c r="C64" s="162">
        <f>SUM(C55:C63)</f>
        <v>-931134</v>
      </c>
      <c r="D64" s="162">
        <f>SUM(D55:D63)</f>
        <v>-437749.57993749995</v>
      </c>
      <c r="E64" s="162">
        <f>SUM(E55:E62)</f>
        <v>-493384.42006249999</v>
      </c>
      <c r="F64" s="162"/>
      <c r="G64" s="162"/>
      <c r="H64" s="162"/>
    </row>
    <row r="65" spans="2:16" ht="15">
      <c r="B65" s="147" t="s">
        <v>246</v>
      </c>
      <c r="C65" s="177">
        <f>-C56</f>
        <v>-49015</v>
      </c>
      <c r="D65" s="177">
        <f>-D56</f>
        <v>-49015</v>
      </c>
      <c r="F65" s="162"/>
      <c r="G65" s="162"/>
      <c r="H65" s="162"/>
    </row>
    <row r="66" spans="2:16" ht="15">
      <c r="B66" s="163" t="s">
        <v>247</v>
      </c>
      <c r="C66" s="162">
        <f>SUM(C63:C65)</f>
        <v>-980149</v>
      </c>
      <c r="D66" s="162">
        <f>SUM(D63:D65)</f>
        <v>-486764.57993749995</v>
      </c>
      <c r="E66" s="113">
        <f t="shared" ref="E66:E67" si="19">+C66-D66</f>
        <v>-493384.42006250005</v>
      </c>
      <c r="F66" s="162"/>
      <c r="G66" s="162"/>
      <c r="H66" s="162"/>
    </row>
    <row r="67" spans="2:16" ht="15">
      <c r="B67" s="168" t="s">
        <v>589</v>
      </c>
      <c r="C67" s="162">
        <f>+(C66)*$F$54</f>
        <v>-490074.5</v>
      </c>
      <c r="D67" s="162">
        <f>+(D66)*$F$54</f>
        <v>-243382.28996874997</v>
      </c>
      <c r="E67" s="162">
        <f t="shared" si="19"/>
        <v>-246692.21003125003</v>
      </c>
      <c r="F67" s="162"/>
      <c r="G67" s="162"/>
      <c r="H67" s="162"/>
    </row>
    <row r="68" spans="2:16" ht="15">
      <c r="B68" s="168" t="s">
        <v>242</v>
      </c>
      <c r="C68" s="162">
        <f>+C66*$G$54</f>
        <v>-490074.5</v>
      </c>
      <c r="D68" s="162">
        <f>+D66*$G$54</f>
        <v>-243382.28996874997</v>
      </c>
      <c r="E68" s="162">
        <f>+C68-D68</f>
        <v>-246692.21003125003</v>
      </c>
    </row>
    <row r="69" spans="2:16" ht="15">
      <c r="B69" s="168" t="s">
        <v>15</v>
      </c>
      <c r="C69" s="162">
        <f>SUM(C67:C68)</f>
        <v>-980149</v>
      </c>
      <c r="D69" s="162">
        <f>SUM(D67:D68)</f>
        <v>-486764.57993749995</v>
      </c>
      <c r="E69" s="162">
        <f t="shared" ref="E69" si="20">+C69-D69</f>
        <v>-493384.42006250005</v>
      </c>
    </row>
    <row r="70" spans="2:16" ht="15">
      <c r="B70" s="168"/>
      <c r="C70" s="113">
        <f>C66-C69</f>
        <v>0</v>
      </c>
      <c r="D70" s="113">
        <f>D66-D69</f>
        <v>0</v>
      </c>
      <c r="E70" s="162"/>
    </row>
    <row r="71" spans="2:16" ht="15">
      <c r="F71" s="162" t="s">
        <v>235</v>
      </c>
      <c r="G71" s="162" t="s">
        <v>236</v>
      </c>
    </row>
    <row r="72" spans="2:16" ht="15">
      <c r="B72" s="163" t="s">
        <v>251</v>
      </c>
      <c r="C72" s="164" t="s">
        <v>397</v>
      </c>
      <c r="D72" s="164" t="s">
        <v>238</v>
      </c>
      <c r="E72" s="164" t="s">
        <v>239</v>
      </c>
      <c r="F72" s="595">
        <f>+L74</f>
        <v>0.75</v>
      </c>
      <c r="G72" s="165">
        <f>+L75</f>
        <v>0.25</v>
      </c>
      <c r="H72" s="164"/>
    </row>
    <row r="73" spans="2:16" ht="15">
      <c r="B73" s="147" t="s">
        <v>8</v>
      </c>
      <c r="C73" s="113">
        <v>1000</v>
      </c>
      <c r="D73" s="113">
        <v>1000</v>
      </c>
      <c r="E73" s="113">
        <f>+C73-D73</f>
        <v>0</v>
      </c>
      <c r="F73" s="113">
        <f>+E73*$F$72</f>
        <v>0</v>
      </c>
      <c r="G73" s="113">
        <f>+E73*$G$72</f>
        <v>0</v>
      </c>
      <c r="K73" s="987">
        <v>2017</v>
      </c>
      <c r="L73" s="987"/>
      <c r="M73" s="987">
        <v>2016</v>
      </c>
      <c r="N73" s="987"/>
      <c r="O73" s="987" t="s">
        <v>239</v>
      </c>
      <c r="P73" s="987"/>
    </row>
    <row r="74" spans="2:16" ht="15">
      <c r="B74" s="147" t="s">
        <v>88</v>
      </c>
      <c r="C74" s="113">
        <v>330450</v>
      </c>
      <c r="D74" s="113">
        <v>330450</v>
      </c>
      <c r="E74" s="113">
        <f t="shared" ref="E74:E80" si="21">+C74-D74</f>
        <v>0</v>
      </c>
      <c r="F74" s="113">
        <f t="shared" ref="F74:F80" si="22">+E74*$F$72</f>
        <v>0</v>
      </c>
      <c r="G74" s="113">
        <f t="shared" ref="G74:G80" si="23">+E74*$G$72</f>
        <v>0</v>
      </c>
      <c r="J74" s="113" t="s">
        <v>50</v>
      </c>
      <c r="K74" s="104">
        <v>750</v>
      </c>
      <c r="L74" s="118">
        <f>+K74/$K$76</f>
        <v>0.75</v>
      </c>
      <c r="M74" s="104">
        <v>750</v>
      </c>
      <c r="N74" s="118">
        <f>+M74/$M$76</f>
        <v>0.75</v>
      </c>
      <c r="O74" s="104">
        <f>+K74-M74</f>
        <v>0</v>
      </c>
      <c r="P74" s="118">
        <f>+L74-N74</f>
        <v>0</v>
      </c>
    </row>
    <row r="75" spans="2:16" ht="15">
      <c r="B75" s="147" t="s">
        <v>17</v>
      </c>
      <c r="C75" s="113">
        <v>109633</v>
      </c>
      <c r="D75" s="113">
        <v>109633.48</v>
      </c>
      <c r="E75" s="113">
        <f t="shared" si="21"/>
        <v>-0.47999999999592546</v>
      </c>
      <c r="F75" s="113">
        <f t="shared" si="22"/>
        <v>-0.3599999999969441</v>
      </c>
      <c r="G75" s="113">
        <f t="shared" si="23"/>
        <v>-0.11999999999898137</v>
      </c>
      <c r="J75" s="113" t="s">
        <v>52</v>
      </c>
      <c r="K75" s="121">
        <v>250</v>
      </c>
      <c r="L75" s="118">
        <f>+K75/$K$76</f>
        <v>0.25</v>
      </c>
      <c r="M75" s="121">
        <v>250</v>
      </c>
      <c r="N75" s="118">
        <f>+M75/$M$76</f>
        <v>0.25</v>
      </c>
      <c r="O75" s="104">
        <f>+K75-M75</f>
        <v>0</v>
      </c>
      <c r="P75" s="118">
        <f>+L75-N75</f>
        <v>0</v>
      </c>
    </row>
    <row r="76" spans="2:16">
      <c r="B76" s="147" t="s">
        <v>19</v>
      </c>
      <c r="C76" s="113">
        <v>0</v>
      </c>
      <c r="D76" s="113">
        <v>0</v>
      </c>
      <c r="E76" s="113">
        <f t="shared" si="21"/>
        <v>0</v>
      </c>
      <c r="F76" s="113">
        <f t="shared" si="22"/>
        <v>0</v>
      </c>
      <c r="G76" s="113">
        <f t="shared" si="23"/>
        <v>0</v>
      </c>
      <c r="K76" s="104">
        <f>SUM(K74:K75)</f>
        <v>1000</v>
      </c>
      <c r="L76" s="105"/>
      <c r="M76" s="104">
        <f>SUM(M74:M75)</f>
        <v>1000</v>
      </c>
      <c r="N76" s="105"/>
      <c r="O76" s="104">
        <f>SUM(O74:O75)</f>
        <v>0</v>
      </c>
      <c r="P76" s="105"/>
    </row>
    <row r="77" spans="2:16">
      <c r="B77" s="147" t="s">
        <v>18</v>
      </c>
      <c r="C77" s="113">
        <v>0</v>
      </c>
      <c r="D77" s="113">
        <v>0</v>
      </c>
      <c r="E77" s="113">
        <f t="shared" si="21"/>
        <v>0</v>
      </c>
      <c r="F77" s="113">
        <f t="shared" si="22"/>
        <v>0</v>
      </c>
      <c r="G77" s="113">
        <f t="shared" si="23"/>
        <v>0</v>
      </c>
    </row>
    <row r="78" spans="2:16">
      <c r="B78" s="147" t="s">
        <v>20</v>
      </c>
      <c r="C78" s="113">
        <v>0</v>
      </c>
      <c r="D78" s="113">
        <v>0</v>
      </c>
      <c r="E78" s="113">
        <f t="shared" si="21"/>
        <v>0</v>
      </c>
      <c r="F78" s="113">
        <f t="shared" si="22"/>
        <v>0</v>
      </c>
      <c r="G78" s="113">
        <f t="shared" si="23"/>
        <v>0</v>
      </c>
    </row>
    <row r="79" spans="2:16">
      <c r="B79" s="147" t="s">
        <v>21</v>
      </c>
      <c r="C79" s="113">
        <f>'ESF - ERI'!X55</f>
        <v>-53896</v>
      </c>
      <c r="D79" s="113">
        <f>-26948.34-13474.17</f>
        <v>-40422.51</v>
      </c>
      <c r="E79" s="113">
        <f t="shared" si="21"/>
        <v>-13473.489999999998</v>
      </c>
      <c r="F79" s="113">
        <f t="shared" si="22"/>
        <v>-10105.117499999998</v>
      </c>
      <c r="G79" s="113">
        <f t="shared" si="23"/>
        <v>-3368.3724999999995</v>
      </c>
    </row>
    <row r="80" spans="2:16">
      <c r="B80" s="147" t="s">
        <v>43</v>
      </c>
      <c r="C80" s="166">
        <f>'ESF - ERI'!X56</f>
        <v>-13474</v>
      </c>
      <c r="D80" s="166">
        <v>-13474</v>
      </c>
      <c r="E80" s="166">
        <f t="shared" si="21"/>
        <v>0</v>
      </c>
      <c r="F80" s="113">
        <f t="shared" si="22"/>
        <v>0</v>
      </c>
      <c r="G80" s="113">
        <f t="shared" si="23"/>
        <v>0</v>
      </c>
      <c r="H80" s="167"/>
    </row>
    <row r="82" spans="2:16" ht="15">
      <c r="B82" s="163" t="s">
        <v>241</v>
      </c>
      <c r="C82" s="162">
        <f>SUM(C73:C81)</f>
        <v>373713</v>
      </c>
      <c r="D82" s="162">
        <f>SUM(D73:D81)</f>
        <v>387186.97</v>
      </c>
      <c r="E82" s="162">
        <f>SUM(E73:E80)</f>
        <v>-13473.969999999994</v>
      </c>
      <c r="F82" s="162"/>
      <c r="G82" s="162"/>
      <c r="H82" s="162"/>
    </row>
    <row r="83" spans="2:16" ht="15">
      <c r="B83" s="147" t="s">
        <v>246</v>
      </c>
      <c r="C83" s="177">
        <f>-C74</f>
        <v>-330450</v>
      </c>
      <c r="D83" s="177">
        <f>-D74</f>
        <v>-330450</v>
      </c>
      <c r="F83" s="162"/>
      <c r="G83" s="162"/>
      <c r="H83" s="162"/>
    </row>
    <row r="84" spans="2:16" ht="15">
      <c r="B84" s="163" t="s">
        <v>247</v>
      </c>
      <c r="C84" s="162">
        <f>SUM(C81:C83)</f>
        <v>43263</v>
      </c>
      <c r="D84" s="162">
        <f>SUM(D81:D83)</f>
        <v>56736.969999999972</v>
      </c>
      <c r="E84" s="113">
        <f t="shared" ref="E84:E85" si="24">+C84-D84</f>
        <v>-13473.969999999972</v>
      </c>
      <c r="F84" s="162"/>
      <c r="G84" s="162"/>
      <c r="H84" s="162"/>
    </row>
    <row r="85" spans="2:16" ht="15">
      <c r="B85" s="168" t="s">
        <v>589</v>
      </c>
      <c r="C85" s="162">
        <f>+(C84)*$F$72</f>
        <v>32447.25</v>
      </c>
      <c r="D85" s="162">
        <f>+(D84)*$F$72</f>
        <v>42552.727499999979</v>
      </c>
      <c r="E85" s="162">
        <f t="shared" si="24"/>
        <v>-10105.477499999979</v>
      </c>
      <c r="F85" s="162"/>
      <c r="G85" s="162"/>
      <c r="H85" s="162"/>
    </row>
    <row r="86" spans="2:16" ht="15">
      <c r="B86" s="168" t="s">
        <v>242</v>
      </c>
      <c r="C86" s="162">
        <f>+C84*$G$72</f>
        <v>10815.75</v>
      </c>
      <c r="D86" s="162">
        <f>+D84*$G$72</f>
        <v>14184.242499999993</v>
      </c>
      <c r="E86" s="162">
        <f>+C86-D86</f>
        <v>-3368.492499999993</v>
      </c>
    </row>
    <row r="87" spans="2:16" ht="15">
      <c r="B87" s="168" t="s">
        <v>15</v>
      </c>
      <c r="C87" s="162">
        <f>SUM(C85:C86)</f>
        <v>43263</v>
      </c>
      <c r="D87" s="162">
        <f>SUM(D85:D86)</f>
        <v>56736.969999999972</v>
      </c>
      <c r="E87" s="162">
        <f t="shared" ref="E87" si="25">+C87-D87</f>
        <v>-13473.969999999972</v>
      </c>
    </row>
    <row r="88" spans="2:16" ht="15">
      <c r="B88" s="168"/>
      <c r="C88" s="113">
        <f>C84-C87</f>
        <v>0</v>
      </c>
      <c r="D88" s="113">
        <f>D84-D87</f>
        <v>0</v>
      </c>
    </row>
    <row r="89" spans="2:16" ht="15">
      <c r="B89" s="168"/>
    </row>
    <row r="90" spans="2:16" ht="15">
      <c r="F90" s="162" t="s">
        <v>235</v>
      </c>
      <c r="G90" s="162" t="s">
        <v>236</v>
      </c>
    </row>
    <row r="91" spans="2:16" ht="15">
      <c r="B91" s="163" t="s">
        <v>253</v>
      </c>
      <c r="C91" s="164" t="s">
        <v>397</v>
      </c>
      <c r="D91" s="164" t="s">
        <v>238</v>
      </c>
      <c r="E91" s="164" t="s">
        <v>239</v>
      </c>
      <c r="F91" s="595">
        <f>+L93</f>
        <v>0.92800000000000005</v>
      </c>
      <c r="G91" s="165">
        <f>+L94</f>
        <v>7.1999999999999995E-2</v>
      </c>
      <c r="H91" s="164"/>
    </row>
    <row r="92" spans="2:16" ht="15">
      <c r="B92" s="147" t="s">
        <v>8</v>
      </c>
      <c r="C92" s="113">
        <v>5000</v>
      </c>
      <c r="D92" s="113">
        <v>5000</v>
      </c>
      <c r="E92" s="113">
        <f>+C92-D92</f>
        <v>0</v>
      </c>
      <c r="F92" s="113">
        <f>+E92*$F$91</f>
        <v>0</v>
      </c>
      <c r="G92" s="113">
        <f>+E92*$G$91</f>
        <v>0</v>
      </c>
      <c r="K92" s="987">
        <v>2017</v>
      </c>
      <c r="L92" s="987"/>
      <c r="M92" s="987">
        <v>2016</v>
      </c>
      <c r="N92" s="987"/>
      <c r="O92" s="987" t="s">
        <v>239</v>
      </c>
      <c r="P92" s="987"/>
    </row>
    <row r="93" spans="2:16" ht="15">
      <c r="B93" s="147" t="s">
        <v>88</v>
      </c>
      <c r="C93" s="113">
        <v>0</v>
      </c>
      <c r="D93" s="113">
        <v>0</v>
      </c>
      <c r="E93" s="113">
        <f t="shared" ref="E93:E99" si="26">+C93-D93</f>
        <v>0</v>
      </c>
      <c r="F93" s="113">
        <f t="shared" ref="F93:F99" si="27">+E93*$F$91</f>
        <v>0</v>
      </c>
      <c r="G93" s="113">
        <f t="shared" ref="G93:G99" si="28">+E93*$G$91</f>
        <v>0</v>
      </c>
      <c r="J93" s="113" t="s">
        <v>50</v>
      </c>
      <c r="K93" s="104">
        <v>4640</v>
      </c>
      <c r="L93" s="118">
        <f>+K93/$K$95</f>
        <v>0.92800000000000005</v>
      </c>
      <c r="M93" s="104">
        <v>4640</v>
      </c>
      <c r="N93" s="118">
        <f>+M93/$M$95</f>
        <v>0.92800000000000005</v>
      </c>
      <c r="O93" s="104">
        <f>+K93-M93</f>
        <v>0</v>
      </c>
      <c r="P93" s="118">
        <f>+L93-N93</f>
        <v>0</v>
      </c>
    </row>
    <row r="94" spans="2:16" ht="15">
      <c r="B94" s="147" t="s">
        <v>17</v>
      </c>
      <c r="C94" s="113">
        <v>0</v>
      </c>
      <c r="D94" s="113">
        <v>0</v>
      </c>
      <c r="E94" s="113">
        <f t="shared" si="26"/>
        <v>0</v>
      </c>
      <c r="F94" s="113">
        <f t="shared" si="27"/>
        <v>0</v>
      </c>
      <c r="G94" s="113">
        <f t="shared" si="28"/>
        <v>0</v>
      </c>
      <c r="J94" s="113" t="s">
        <v>52</v>
      </c>
      <c r="K94" s="121">
        <v>360</v>
      </c>
      <c r="L94" s="118">
        <f>+K94/$K$95</f>
        <v>7.1999999999999995E-2</v>
      </c>
      <c r="M94" s="121">
        <v>360</v>
      </c>
      <c r="N94" s="118">
        <f>+M94/$M$95</f>
        <v>7.1999999999999995E-2</v>
      </c>
      <c r="O94" s="104">
        <f>+K94-M94</f>
        <v>0</v>
      </c>
      <c r="P94" s="118">
        <f>+L94-N94</f>
        <v>0</v>
      </c>
    </row>
    <row r="95" spans="2:16">
      <c r="B95" s="147" t="s">
        <v>19</v>
      </c>
      <c r="C95" s="113">
        <v>0</v>
      </c>
      <c r="D95" s="113">
        <v>0</v>
      </c>
      <c r="E95" s="113">
        <f t="shared" si="26"/>
        <v>0</v>
      </c>
      <c r="F95" s="113">
        <f t="shared" si="27"/>
        <v>0</v>
      </c>
      <c r="G95" s="113">
        <f t="shared" si="28"/>
        <v>0</v>
      </c>
      <c r="K95" s="104">
        <f>SUM(K93:K94)</f>
        <v>5000</v>
      </c>
      <c r="L95" s="105"/>
      <c r="M95" s="104">
        <f>SUM(M93:M94)</f>
        <v>5000</v>
      </c>
      <c r="N95" s="105"/>
      <c r="O95" s="104">
        <f>SUM(O93:O94)</f>
        <v>0</v>
      </c>
      <c r="P95" s="105"/>
    </row>
    <row r="96" spans="2:16">
      <c r="B96" s="147" t="s">
        <v>18</v>
      </c>
      <c r="C96" s="113">
        <v>1226</v>
      </c>
      <c r="D96" s="113">
        <v>1226.1199999999999</v>
      </c>
      <c r="E96" s="113">
        <f t="shared" si="26"/>
        <v>-0.11999999999989086</v>
      </c>
      <c r="F96" s="113">
        <f t="shared" si="27"/>
        <v>-0.11135999999989872</v>
      </c>
      <c r="G96" s="113">
        <f t="shared" si="28"/>
        <v>-8.6399999999921418E-3</v>
      </c>
    </row>
    <row r="97" spans="2:16">
      <c r="B97" s="147" t="s">
        <v>20</v>
      </c>
      <c r="C97" s="113">
        <v>0</v>
      </c>
      <c r="D97" s="113">
        <v>0</v>
      </c>
      <c r="E97" s="113">
        <f t="shared" si="26"/>
        <v>0</v>
      </c>
      <c r="F97" s="113">
        <f t="shared" si="27"/>
        <v>0</v>
      </c>
      <c r="G97" s="113">
        <f t="shared" si="28"/>
        <v>0</v>
      </c>
    </row>
    <row r="98" spans="2:16" ht="19.5">
      <c r="B98" s="147" t="s">
        <v>21</v>
      </c>
      <c r="C98" s="113">
        <v>1763</v>
      </c>
      <c r="D98" s="113">
        <v>1763</v>
      </c>
      <c r="E98" s="113">
        <f t="shared" si="26"/>
        <v>0</v>
      </c>
      <c r="F98" s="113">
        <f t="shared" si="27"/>
        <v>0</v>
      </c>
      <c r="G98" s="113">
        <f t="shared" si="28"/>
        <v>0</v>
      </c>
      <c r="I98" s="176" t="s">
        <v>254</v>
      </c>
    </row>
    <row r="99" spans="2:16">
      <c r="B99" s="147" t="s">
        <v>43</v>
      </c>
      <c r="C99" s="166">
        <v>0</v>
      </c>
      <c r="D99" s="166">
        <v>0</v>
      </c>
      <c r="E99" s="166">
        <f t="shared" si="26"/>
        <v>0</v>
      </c>
      <c r="F99" s="113">
        <f t="shared" si="27"/>
        <v>0</v>
      </c>
      <c r="G99" s="113">
        <f t="shared" si="28"/>
        <v>0</v>
      </c>
      <c r="H99" s="167"/>
    </row>
    <row r="101" spans="2:16" ht="15">
      <c r="B101" s="163" t="s">
        <v>252</v>
      </c>
      <c r="C101" s="162">
        <f>SUM(C92:C100)</f>
        <v>7989</v>
      </c>
      <c r="D101" s="162">
        <f>SUM(D92:D100)</f>
        <v>7989.12</v>
      </c>
      <c r="E101" s="162">
        <f>SUM(E92:E99)</f>
        <v>-0.11999999999989086</v>
      </c>
      <c r="F101" s="162"/>
      <c r="G101" s="162"/>
      <c r="H101" s="162"/>
    </row>
    <row r="102" spans="2:16" ht="15">
      <c r="B102" s="168" t="s">
        <v>589</v>
      </c>
      <c r="C102" s="162">
        <f>+(C101)*$F$91</f>
        <v>7413.7920000000004</v>
      </c>
      <c r="D102" s="162">
        <f>+(D101)*$F$91</f>
        <v>7413.9033600000002</v>
      </c>
      <c r="E102" s="162">
        <f t="shared" ref="E102" si="29">+C102-D102</f>
        <v>-0.11135999999987689</v>
      </c>
      <c r="F102" s="162"/>
      <c r="G102" s="162"/>
      <c r="H102" s="162"/>
    </row>
    <row r="103" spans="2:16" ht="15">
      <c r="B103" s="168" t="s">
        <v>242</v>
      </c>
      <c r="C103" s="162">
        <f>+C101*$G$91</f>
        <v>575.20799999999997</v>
      </c>
      <c r="D103" s="162">
        <f>+D101*$G$91</f>
        <v>575.21663999999998</v>
      </c>
      <c r="E103" s="162">
        <f>+C103-D103</f>
        <v>-8.6400000000139698E-3</v>
      </c>
      <c r="F103" s="162"/>
      <c r="G103" s="162"/>
      <c r="H103" s="162"/>
    </row>
    <row r="104" spans="2:16" ht="15">
      <c r="B104" s="168" t="s">
        <v>15</v>
      </c>
      <c r="C104" s="162">
        <f>SUM(C102:C103)</f>
        <v>7989</v>
      </c>
      <c r="D104" s="162">
        <f>SUM(D102:D103)</f>
        <v>7989.12</v>
      </c>
      <c r="E104" s="162">
        <f t="shared" ref="E104" si="30">+C104-D104</f>
        <v>-0.11999999999989086</v>
      </c>
    </row>
    <row r="105" spans="2:16" ht="15">
      <c r="B105" s="168"/>
      <c r="C105" s="113">
        <f>C101-C104</f>
        <v>0</v>
      </c>
      <c r="D105" s="113">
        <f>D101-D104</f>
        <v>0</v>
      </c>
    </row>
    <row r="107" spans="2:16" ht="15">
      <c r="F107" s="162" t="s">
        <v>235</v>
      </c>
      <c r="G107" s="162" t="s">
        <v>236</v>
      </c>
    </row>
    <row r="108" spans="2:16" ht="15">
      <c r="B108" s="163" t="s">
        <v>255</v>
      </c>
      <c r="C108" s="164" t="s">
        <v>397</v>
      </c>
      <c r="D108" s="164" t="s">
        <v>238</v>
      </c>
      <c r="E108" s="164" t="s">
        <v>239</v>
      </c>
      <c r="F108" s="595">
        <f>+L110</f>
        <v>0.6</v>
      </c>
      <c r="G108" s="165">
        <f>+L111</f>
        <v>0.4</v>
      </c>
      <c r="H108" s="164"/>
    </row>
    <row r="109" spans="2:16" ht="15">
      <c r="B109" s="147" t="s">
        <v>8</v>
      </c>
      <c r="C109" s="113">
        <v>10000</v>
      </c>
      <c r="D109" s="113">
        <v>10000</v>
      </c>
      <c r="E109" s="113">
        <f>+C109-D109</f>
        <v>0</v>
      </c>
      <c r="F109" s="113">
        <f>+E109*$F$108</f>
        <v>0</v>
      </c>
      <c r="G109" s="113">
        <f>+E109*$G$108</f>
        <v>0</v>
      </c>
      <c r="K109" s="987">
        <v>2017</v>
      </c>
      <c r="L109" s="987"/>
      <c r="M109" s="987">
        <v>2016</v>
      </c>
      <c r="N109" s="987"/>
      <c r="O109" s="987" t="s">
        <v>239</v>
      </c>
      <c r="P109" s="987"/>
    </row>
    <row r="110" spans="2:16" ht="15">
      <c r="B110" s="147" t="s">
        <v>88</v>
      </c>
      <c r="C110" s="113">
        <v>0</v>
      </c>
      <c r="D110" s="113">
        <v>0</v>
      </c>
      <c r="E110" s="113">
        <f t="shared" ref="E110:E116" si="31">+C110-D110</f>
        <v>0</v>
      </c>
      <c r="F110" s="113">
        <f t="shared" ref="F110:F116" si="32">+E110*$F$108</f>
        <v>0</v>
      </c>
      <c r="G110" s="113">
        <f t="shared" ref="G110:G116" si="33">+E110*$G$108</f>
        <v>0</v>
      </c>
      <c r="J110" s="113" t="s">
        <v>50</v>
      </c>
      <c r="K110" s="104">
        <v>6000</v>
      </c>
      <c r="L110" s="118">
        <f>+K110/$K$112</f>
        <v>0.6</v>
      </c>
      <c r="M110" s="104">
        <v>6000</v>
      </c>
      <c r="N110" s="118">
        <f>+M110/$M$112</f>
        <v>0.6</v>
      </c>
      <c r="O110" s="104">
        <f>+K110-M110</f>
        <v>0</v>
      </c>
      <c r="P110" s="118">
        <f>+L110-N110</f>
        <v>0</v>
      </c>
    </row>
    <row r="111" spans="2:16" ht="15">
      <c r="B111" s="147" t="s">
        <v>17</v>
      </c>
      <c r="C111" s="113">
        <v>0</v>
      </c>
      <c r="D111" s="113">
        <v>0</v>
      </c>
      <c r="E111" s="113">
        <f t="shared" si="31"/>
        <v>0</v>
      </c>
      <c r="F111" s="113">
        <f t="shared" si="32"/>
        <v>0</v>
      </c>
      <c r="G111" s="113">
        <f t="shared" si="33"/>
        <v>0</v>
      </c>
      <c r="J111" s="113" t="s">
        <v>52</v>
      </c>
      <c r="K111" s="121">
        <v>4000</v>
      </c>
      <c r="L111" s="118">
        <f>+K111/$K$112</f>
        <v>0.4</v>
      </c>
      <c r="M111" s="121">
        <v>4000</v>
      </c>
      <c r="N111" s="118">
        <f>+M111/$M$112</f>
        <v>0.4</v>
      </c>
      <c r="O111" s="104">
        <f>+K111-M111</f>
        <v>0</v>
      </c>
      <c r="P111" s="118">
        <f>+L111-N111</f>
        <v>0</v>
      </c>
    </row>
    <row r="112" spans="2:16">
      <c r="B112" s="147" t="s">
        <v>19</v>
      </c>
      <c r="C112" s="113">
        <v>0</v>
      </c>
      <c r="D112" s="113">
        <v>0</v>
      </c>
      <c r="E112" s="113">
        <f t="shared" si="31"/>
        <v>0</v>
      </c>
      <c r="F112" s="113">
        <f t="shared" si="32"/>
        <v>0</v>
      </c>
      <c r="G112" s="113">
        <f t="shared" si="33"/>
        <v>0</v>
      </c>
      <c r="K112" s="104">
        <f>SUM(K110:K111)</f>
        <v>10000</v>
      </c>
      <c r="L112" s="105"/>
      <c r="M112" s="104">
        <f>SUM(M110:M111)</f>
        <v>10000</v>
      </c>
      <c r="N112" s="105"/>
      <c r="O112" s="104">
        <f>SUM(O110:O111)</f>
        <v>0</v>
      </c>
      <c r="P112" s="105"/>
    </row>
    <row r="113" spans="2:16">
      <c r="B113" s="147" t="s">
        <v>18</v>
      </c>
      <c r="C113" s="113">
        <v>0</v>
      </c>
      <c r="D113" s="113">
        <v>0</v>
      </c>
      <c r="E113" s="113">
        <f t="shared" si="31"/>
        <v>0</v>
      </c>
      <c r="F113" s="113">
        <f t="shared" si="32"/>
        <v>0</v>
      </c>
      <c r="G113" s="113">
        <f t="shared" si="33"/>
        <v>0</v>
      </c>
    </row>
    <row r="114" spans="2:16">
      <c r="B114" s="147" t="s">
        <v>20</v>
      </c>
      <c r="C114" s="113">
        <v>0</v>
      </c>
      <c r="D114" s="113">
        <v>0</v>
      </c>
      <c r="E114" s="113">
        <f t="shared" si="31"/>
        <v>0</v>
      </c>
      <c r="F114" s="113">
        <f t="shared" si="32"/>
        <v>0</v>
      </c>
      <c r="G114" s="113">
        <f t="shared" si="33"/>
        <v>0</v>
      </c>
    </row>
    <row r="115" spans="2:16">
      <c r="B115" s="147" t="s">
        <v>21</v>
      </c>
      <c r="C115" s="113">
        <v>0</v>
      </c>
      <c r="D115" s="113">
        <v>0</v>
      </c>
      <c r="E115" s="113">
        <f t="shared" si="31"/>
        <v>0</v>
      </c>
      <c r="F115" s="113">
        <f t="shared" si="32"/>
        <v>0</v>
      </c>
      <c r="G115" s="113">
        <f t="shared" si="33"/>
        <v>0</v>
      </c>
    </row>
    <row r="116" spans="2:16">
      <c r="B116" s="147" t="s">
        <v>43</v>
      </c>
      <c r="C116" s="166">
        <v>0</v>
      </c>
      <c r="D116" s="166">
        <v>0</v>
      </c>
      <c r="E116" s="166">
        <f t="shared" si="31"/>
        <v>0</v>
      </c>
      <c r="F116" s="113">
        <f t="shared" si="32"/>
        <v>0</v>
      </c>
      <c r="G116" s="113">
        <f t="shared" si="33"/>
        <v>0</v>
      </c>
      <c r="H116" s="167"/>
    </row>
    <row r="118" spans="2:16" ht="15">
      <c r="B118" s="163" t="s">
        <v>252</v>
      </c>
      <c r="C118" s="162">
        <f>SUM(C109:C117)</f>
        <v>10000</v>
      </c>
      <c r="D118" s="162">
        <f>SUM(D109:D117)</f>
        <v>10000</v>
      </c>
      <c r="E118" s="162">
        <f>SUM(E109:E116)</f>
        <v>0</v>
      </c>
      <c r="F118" s="162"/>
      <c r="G118" s="162"/>
      <c r="H118" s="162"/>
    </row>
    <row r="119" spans="2:16" ht="15">
      <c r="B119" s="168" t="s">
        <v>589</v>
      </c>
      <c r="C119" s="162">
        <f>+(C118)*$F$108</f>
        <v>6000</v>
      </c>
      <c r="D119" s="162">
        <f>+(D118)*$F$108</f>
        <v>6000</v>
      </c>
      <c r="E119" s="162">
        <f t="shared" ref="E119:E121" si="34">+C119-D119</f>
        <v>0</v>
      </c>
      <c r="F119" s="162"/>
      <c r="G119" s="162"/>
      <c r="H119" s="162"/>
    </row>
    <row r="120" spans="2:16" ht="15">
      <c r="B120" s="168" t="s">
        <v>242</v>
      </c>
      <c r="C120" s="162">
        <f>+C118*$G$108</f>
        <v>4000</v>
      </c>
      <c r="D120" s="162">
        <f>+D118*$G$108</f>
        <v>4000</v>
      </c>
      <c r="E120" s="162">
        <f t="shared" si="34"/>
        <v>0</v>
      </c>
    </row>
    <row r="121" spans="2:16" ht="15">
      <c r="B121" s="168" t="s">
        <v>15</v>
      </c>
      <c r="C121" s="162">
        <f>SUM(C119:C120)</f>
        <v>10000</v>
      </c>
      <c r="D121" s="162">
        <f>SUM(D119:D120)</f>
        <v>10000</v>
      </c>
      <c r="E121" s="162">
        <f t="shared" si="34"/>
        <v>0</v>
      </c>
    </row>
    <row r="122" spans="2:16" ht="15">
      <c r="B122" s="168"/>
      <c r="C122" s="113">
        <f>C118-C121</f>
        <v>0</v>
      </c>
      <c r="D122" s="113">
        <f>D118-D121</f>
        <v>0</v>
      </c>
    </row>
    <row r="123" spans="2:16" ht="15">
      <c r="B123" s="168"/>
      <c r="C123" s="162"/>
      <c r="D123" s="162"/>
      <c r="E123" s="162"/>
    </row>
    <row r="124" spans="2:16" ht="15">
      <c r="F124" s="162" t="s">
        <v>235</v>
      </c>
      <c r="G124" s="162" t="s">
        <v>236</v>
      </c>
    </row>
    <row r="125" spans="2:16" ht="15">
      <c r="B125" s="163" t="s">
        <v>256</v>
      </c>
      <c r="C125" s="164" t="s">
        <v>397</v>
      </c>
      <c r="D125" s="164" t="s">
        <v>238</v>
      </c>
      <c r="E125" s="164" t="s">
        <v>239</v>
      </c>
      <c r="F125" s="595">
        <f>+L127</f>
        <v>0.99995000000000001</v>
      </c>
      <c r="G125" s="165">
        <f>+L128</f>
        <v>5.0000000000000002E-5</v>
      </c>
      <c r="H125" s="164"/>
    </row>
    <row r="126" spans="2:16" ht="15">
      <c r="B126" s="147" t="s">
        <v>8</v>
      </c>
      <c r="C126" s="113">
        <v>800</v>
      </c>
      <c r="D126" s="113">
        <v>800</v>
      </c>
      <c r="E126" s="113">
        <f>+C126-D126</f>
        <v>0</v>
      </c>
      <c r="F126" s="113">
        <f>+E126*$F$125</f>
        <v>0</v>
      </c>
      <c r="G126" s="113">
        <f>+E126*$G$125</f>
        <v>0</v>
      </c>
      <c r="K126" s="987">
        <v>2017</v>
      </c>
      <c r="L126" s="987"/>
      <c r="M126" s="987">
        <v>2016</v>
      </c>
      <c r="N126" s="987"/>
      <c r="O126" s="987" t="s">
        <v>239</v>
      </c>
      <c r="P126" s="987"/>
    </row>
    <row r="127" spans="2:16" ht="15">
      <c r="B127" s="147" t="s">
        <v>88</v>
      </c>
      <c r="C127" s="113">
        <v>0</v>
      </c>
      <c r="D127" s="113">
        <v>0</v>
      </c>
      <c r="E127" s="113">
        <f t="shared" ref="E127:E133" si="35">+C127-D127</f>
        <v>0</v>
      </c>
      <c r="F127" s="113">
        <f t="shared" ref="F127:F133" si="36">+E127*$F$125</f>
        <v>0</v>
      </c>
      <c r="G127" s="113">
        <f t="shared" ref="G127:G133" si="37">+E127*$G$125</f>
        <v>0</v>
      </c>
      <c r="J127" s="113" t="s">
        <v>50</v>
      </c>
      <c r="K127" s="104">
        <v>799.96</v>
      </c>
      <c r="L127" s="118">
        <f>+K127/$K$129</f>
        <v>0.99995000000000001</v>
      </c>
      <c r="M127" s="104">
        <v>799.96</v>
      </c>
      <c r="N127" s="118">
        <f>+M127/$M$129</f>
        <v>0.99995000000000001</v>
      </c>
      <c r="O127" s="104">
        <f>+K127-M127</f>
        <v>0</v>
      </c>
      <c r="P127" s="118">
        <f>+L127-N127</f>
        <v>0</v>
      </c>
    </row>
    <row r="128" spans="2:16" ht="15">
      <c r="B128" s="147" t="s">
        <v>17</v>
      </c>
      <c r="C128" s="113">
        <v>0</v>
      </c>
      <c r="D128" s="113">
        <v>0</v>
      </c>
      <c r="E128" s="113">
        <f t="shared" si="35"/>
        <v>0</v>
      </c>
      <c r="F128" s="113">
        <f t="shared" si="36"/>
        <v>0</v>
      </c>
      <c r="G128" s="113">
        <f t="shared" si="37"/>
        <v>0</v>
      </c>
      <c r="J128" s="113" t="s">
        <v>52</v>
      </c>
      <c r="K128" s="121">
        <v>0.04</v>
      </c>
      <c r="L128" s="118">
        <f>+K128/$K$129</f>
        <v>5.0000000000000002E-5</v>
      </c>
      <c r="M128" s="121">
        <v>0.04</v>
      </c>
      <c r="N128" s="118">
        <f>+M128/$M$129</f>
        <v>5.0000000000000002E-5</v>
      </c>
      <c r="O128" s="104">
        <f>+K128-M128</f>
        <v>0</v>
      </c>
      <c r="P128" s="118">
        <f>+L128-N128</f>
        <v>0</v>
      </c>
    </row>
    <row r="129" spans="2:16">
      <c r="B129" s="147" t="s">
        <v>19</v>
      </c>
      <c r="C129" s="113">
        <v>0</v>
      </c>
      <c r="D129" s="113">
        <v>0</v>
      </c>
      <c r="E129" s="113">
        <f t="shared" si="35"/>
        <v>0</v>
      </c>
      <c r="F129" s="113">
        <f t="shared" si="36"/>
        <v>0</v>
      </c>
      <c r="G129" s="113">
        <f t="shared" si="37"/>
        <v>0</v>
      </c>
      <c r="K129" s="104">
        <f>SUM(K127:K128)</f>
        <v>800</v>
      </c>
      <c r="L129" s="105"/>
      <c r="M129" s="104">
        <f>SUM(M127:M128)</f>
        <v>800</v>
      </c>
      <c r="N129" s="105"/>
      <c r="O129" s="104">
        <f>SUM(O127:O128)</f>
        <v>0</v>
      </c>
      <c r="P129" s="105"/>
    </row>
    <row r="130" spans="2:16">
      <c r="B130" s="147" t="s">
        <v>18</v>
      </c>
      <c r="C130" s="113">
        <v>340.17</v>
      </c>
      <c r="D130" s="113">
        <v>340.17</v>
      </c>
      <c r="E130" s="113">
        <f t="shared" si="35"/>
        <v>0</v>
      </c>
      <c r="F130" s="113">
        <f t="shared" si="36"/>
        <v>0</v>
      </c>
      <c r="G130" s="113">
        <f t="shared" si="37"/>
        <v>0</v>
      </c>
    </row>
    <row r="131" spans="2:16">
      <c r="B131" s="147" t="s">
        <v>20</v>
      </c>
      <c r="C131" s="113">
        <v>0</v>
      </c>
      <c r="D131" s="113">
        <v>0</v>
      </c>
      <c r="E131" s="113">
        <f t="shared" si="35"/>
        <v>0</v>
      </c>
      <c r="F131" s="113">
        <f t="shared" si="36"/>
        <v>0</v>
      </c>
      <c r="G131" s="113">
        <f t="shared" si="37"/>
        <v>0</v>
      </c>
    </row>
    <row r="132" spans="2:16">
      <c r="B132" s="147" t="s">
        <v>21</v>
      </c>
      <c r="C132" s="113">
        <v>0</v>
      </c>
      <c r="D132" s="113">
        <v>0</v>
      </c>
      <c r="E132" s="113">
        <f t="shared" si="35"/>
        <v>0</v>
      </c>
      <c r="F132" s="113">
        <f t="shared" si="36"/>
        <v>0</v>
      </c>
      <c r="G132" s="113">
        <f t="shared" si="37"/>
        <v>0</v>
      </c>
    </row>
    <row r="133" spans="2:16">
      <c r="B133" s="147" t="s">
        <v>43</v>
      </c>
      <c r="C133" s="166">
        <v>0</v>
      </c>
      <c r="D133" s="166">
        <v>0</v>
      </c>
      <c r="E133" s="166">
        <f t="shared" si="35"/>
        <v>0</v>
      </c>
      <c r="F133" s="113">
        <f t="shared" si="36"/>
        <v>0</v>
      </c>
      <c r="G133" s="113">
        <f t="shared" si="37"/>
        <v>0</v>
      </c>
      <c r="H133" s="167"/>
    </row>
    <row r="135" spans="2:16" ht="15">
      <c r="B135" s="163" t="s">
        <v>252</v>
      </c>
      <c r="C135" s="162">
        <f>SUM(C126:C134)</f>
        <v>1140.17</v>
      </c>
      <c r="D135" s="162">
        <f>SUM(D126:D134)</f>
        <v>1140.17</v>
      </c>
      <c r="E135" s="162">
        <f>SUM(E126:E133)</f>
        <v>0</v>
      </c>
      <c r="F135" s="162"/>
      <c r="G135" s="162"/>
      <c r="H135" s="162"/>
    </row>
    <row r="136" spans="2:16" ht="15">
      <c r="B136" s="168" t="s">
        <v>589</v>
      </c>
      <c r="C136" s="162">
        <f>+(C135)*$F$125</f>
        <v>1140.1129915000001</v>
      </c>
      <c r="D136" s="162">
        <f>+(D135)*$F$125</f>
        <v>1140.1129915000001</v>
      </c>
      <c r="E136" s="162"/>
      <c r="F136" s="162"/>
      <c r="G136" s="162"/>
      <c r="H136" s="162"/>
    </row>
    <row r="137" spans="2:16" ht="15">
      <c r="B137" s="168" t="s">
        <v>242</v>
      </c>
      <c r="C137" s="596">
        <f>+C135*$G$125</f>
        <v>5.7008500000000004E-2</v>
      </c>
      <c r="D137" s="596">
        <f>+D135*$G$125</f>
        <v>5.7008500000000004E-2</v>
      </c>
      <c r="E137" s="162">
        <f>+C137-D137</f>
        <v>0</v>
      </c>
    </row>
    <row r="138" spans="2:16" ht="15">
      <c r="B138" s="168" t="s">
        <v>15</v>
      </c>
      <c r="C138" s="162">
        <f>SUM(C136:C137)</f>
        <v>1140.17</v>
      </c>
      <c r="D138" s="162">
        <f>SUM(D136:D137)</f>
        <v>1140.17</v>
      </c>
      <c r="E138" s="162">
        <f t="shared" ref="E138" si="38">+C138-D138</f>
        <v>0</v>
      </c>
    </row>
    <row r="139" spans="2:16" ht="15">
      <c r="B139" s="168"/>
      <c r="C139" s="113">
        <f>C135-C138</f>
        <v>0</v>
      </c>
      <c r="D139" s="113">
        <f>D135-D138</f>
        <v>0</v>
      </c>
    </row>
    <row r="140" spans="2:16" ht="15">
      <c r="F140" s="162" t="s">
        <v>235</v>
      </c>
      <c r="G140" s="162" t="s">
        <v>236</v>
      </c>
    </row>
    <row r="141" spans="2:16" ht="15">
      <c r="B141" s="163" t="s">
        <v>257</v>
      </c>
      <c r="C141" s="164" t="s">
        <v>397</v>
      </c>
      <c r="D141" s="164" t="s">
        <v>238</v>
      </c>
      <c r="E141" s="164" t="s">
        <v>239</v>
      </c>
      <c r="F141" s="595">
        <f>+L143</f>
        <v>0.92500000000000004</v>
      </c>
      <c r="G141" s="165">
        <f>+L144</f>
        <v>7.4999999999999997E-2</v>
      </c>
      <c r="H141" s="164"/>
    </row>
    <row r="142" spans="2:16" ht="15">
      <c r="B142" s="147" t="s">
        <v>8</v>
      </c>
      <c r="C142" s="113">
        <v>800</v>
      </c>
      <c r="D142" s="113">
        <v>800</v>
      </c>
      <c r="E142" s="113">
        <f>+C142-D142</f>
        <v>0</v>
      </c>
      <c r="F142" s="113">
        <f>+E142*$F$141</f>
        <v>0</v>
      </c>
      <c r="G142" s="113">
        <f>+E142*$G$141</f>
        <v>0</v>
      </c>
      <c r="K142" s="987">
        <v>2017</v>
      </c>
      <c r="L142" s="987"/>
      <c r="M142" s="987">
        <v>2016</v>
      </c>
      <c r="N142" s="987"/>
      <c r="O142" s="987" t="s">
        <v>239</v>
      </c>
      <c r="P142" s="987"/>
    </row>
    <row r="143" spans="2:16" ht="15">
      <c r="B143" s="147" t="s">
        <v>88</v>
      </c>
      <c r="C143" s="113">
        <f>'ESF - ERI'!AB49</f>
        <v>1833417</v>
      </c>
      <c r="D143" s="113">
        <v>0</v>
      </c>
      <c r="E143" s="113">
        <f t="shared" ref="E143:E149" si="39">+C143-D143</f>
        <v>1833417</v>
      </c>
      <c r="F143" s="113">
        <f t="shared" ref="F143:F149" si="40">+E143*$F$141</f>
        <v>1695910.7250000001</v>
      </c>
      <c r="G143" s="113">
        <f t="shared" ref="G143:G149" si="41">+E143*$G$141</f>
        <v>137506.27499999999</v>
      </c>
      <c r="J143" s="113" t="s">
        <v>50</v>
      </c>
      <c r="K143" s="104">
        <v>740</v>
      </c>
      <c r="L143" s="118">
        <f>+K143/$K$145</f>
        <v>0.92500000000000004</v>
      </c>
      <c r="M143" s="104">
        <v>740</v>
      </c>
      <c r="N143" s="118">
        <f>+M143/$M$145</f>
        <v>0.92500000000000004</v>
      </c>
      <c r="O143" s="104">
        <f>+K143-M143</f>
        <v>0</v>
      </c>
      <c r="P143" s="118">
        <f>+L143-N143</f>
        <v>0</v>
      </c>
    </row>
    <row r="144" spans="2:16" ht="15">
      <c r="B144" s="147" t="s">
        <v>17</v>
      </c>
      <c r="C144" s="113">
        <v>0</v>
      </c>
      <c r="D144" s="113">
        <v>0</v>
      </c>
      <c r="E144" s="113">
        <f t="shared" si="39"/>
        <v>0</v>
      </c>
      <c r="F144" s="113">
        <f t="shared" si="40"/>
        <v>0</v>
      </c>
      <c r="G144" s="113">
        <f t="shared" si="41"/>
        <v>0</v>
      </c>
      <c r="J144" s="113" t="s">
        <v>52</v>
      </c>
      <c r="K144" s="121">
        <v>60</v>
      </c>
      <c r="L144" s="118">
        <f>+K144/$K$145</f>
        <v>7.4999999999999997E-2</v>
      </c>
      <c r="M144" s="121">
        <v>60</v>
      </c>
      <c r="N144" s="118">
        <f>+M144/$M$145</f>
        <v>7.4999999999999997E-2</v>
      </c>
      <c r="O144" s="104">
        <f>+K144-M144</f>
        <v>0</v>
      </c>
      <c r="P144" s="118">
        <f>+L144-N144</f>
        <v>0</v>
      </c>
    </row>
    <row r="145" spans="2:16">
      <c r="B145" s="147" t="s">
        <v>19</v>
      </c>
      <c r="C145" s="113">
        <v>0</v>
      </c>
      <c r="D145" s="113">
        <v>0</v>
      </c>
      <c r="E145" s="113">
        <f t="shared" si="39"/>
        <v>0</v>
      </c>
      <c r="F145" s="113">
        <f t="shared" si="40"/>
        <v>0</v>
      </c>
      <c r="G145" s="113">
        <f t="shared" si="41"/>
        <v>0</v>
      </c>
      <c r="K145" s="104">
        <f>SUM(K143:K144)</f>
        <v>800</v>
      </c>
      <c r="L145" s="105"/>
      <c r="M145" s="104">
        <f>SUM(M143:M144)</f>
        <v>800</v>
      </c>
      <c r="N145" s="105"/>
      <c r="O145" s="104">
        <f>SUM(O143:O144)</f>
        <v>0</v>
      </c>
      <c r="P145" s="105"/>
    </row>
    <row r="146" spans="2:16">
      <c r="B146" s="147" t="s">
        <v>18</v>
      </c>
      <c r="C146" s="113">
        <v>0</v>
      </c>
      <c r="D146" s="113">
        <v>0</v>
      </c>
      <c r="E146" s="113">
        <f t="shared" si="39"/>
        <v>0</v>
      </c>
      <c r="F146" s="113">
        <f t="shared" si="40"/>
        <v>0</v>
      </c>
      <c r="G146" s="113">
        <f t="shared" si="41"/>
        <v>0</v>
      </c>
    </row>
    <row r="147" spans="2:16">
      <c r="B147" s="147" t="s">
        <v>20</v>
      </c>
      <c r="C147" s="113">
        <v>0</v>
      </c>
      <c r="D147" s="113">
        <v>0</v>
      </c>
      <c r="E147" s="113">
        <f t="shared" si="39"/>
        <v>0</v>
      </c>
      <c r="F147" s="113">
        <f t="shared" si="40"/>
        <v>0</v>
      </c>
      <c r="G147" s="113">
        <f t="shared" si="41"/>
        <v>0</v>
      </c>
    </row>
    <row r="148" spans="2:16">
      <c r="B148" s="147" t="s">
        <v>21</v>
      </c>
      <c r="C148" s="113">
        <f>'ESF - ERI'!AB55</f>
        <v>-15422</v>
      </c>
      <c r="D148" s="113">
        <v>0</v>
      </c>
      <c r="E148" s="113">
        <f t="shared" si="39"/>
        <v>-15422</v>
      </c>
      <c r="F148" s="113">
        <f t="shared" si="40"/>
        <v>-14265.35</v>
      </c>
      <c r="G148" s="113">
        <f t="shared" si="41"/>
        <v>-1156.6499999999999</v>
      </c>
    </row>
    <row r="149" spans="2:16">
      <c r="B149" s="147" t="s">
        <v>43</v>
      </c>
      <c r="C149" s="166">
        <f>'ESF - ERI'!AB56</f>
        <v>-344143</v>
      </c>
      <c r="D149" s="166">
        <v>-15422</v>
      </c>
      <c r="E149" s="166">
        <f t="shared" si="39"/>
        <v>-328721</v>
      </c>
      <c r="F149" s="113">
        <f t="shared" si="40"/>
        <v>-304066.92499999999</v>
      </c>
      <c r="G149" s="113">
        <f t="shared" si="41"/>
        <v>-24654.075000000001</v>
      </c>
      <c r="H149" s="167"/>
    </row>
    <row r="151" spans="2:16" ht="15">
      <c r="B151" s="163" t="s">
        <v>252</v>
      </c>
      <c r="C151" s="162">
        <f>SUM(C142:C150)</f>
        <v>1474652</v>
      </c>
      <c r="D151" s="162">
        <f>SUM(D142:D150)</f>
        <v>-14622</v>
      </c>
      <c r="E151" s="162">
        <f>SUM(E142:E149)</f>
        <v>1489274</v>
      </c>
      <c r="F151" s="162"/>
      <c r="G151" s="162"/>
      <c r="H151" s="162"/>
    </row>
    <row r="152" spans="2:16" ht="15">
      <c r="B152" s="168" t="s">
        <v>589</v>
      </c>
      <c r="C152" s="162">
        <f>+(C151)*$F$141</f>
        <v>1364053.1</v>
      </c>
      <c r="D152" s="162">
        <f>+(D151)*$F$141</f>
        <v>-13525.35</v>
      </c>
      <c r="E152" s="162">
        <f t="shared" ref="E152" si="42">+C152-D152</f>
        <v>1377578.4500000002</v>
      </c>
      <c r="F152" s="162"/>
      <c r="G152" s="162"/>
      <c r="H152" s="162"/>
    </row>
    <row r="153" spans="2:16" ht="15">
      <c r="B153" s="168" t="s">
        <v>242</v>
      </c>
      <c r="C153" s="162">
        <f>+C151*$G$141</f>
        <v>110598.9</v>
      </c>
      <c r="D153" s="162">
        <f>+D151*$G$141</f>
        <v>-1096.6499999999999</v>
      </c>
      <c r="E153" s="162">
        <f>+C153-D153</f>
        <v>111695.54999999999</v>
      </c>
    </row>
    <row r="154" spans="2:16" ht="15">
      <c r="B154" s="168" t="s">
        <v>15</v>
      </c>
      <c r="C154" s="162">
        <f>SUM(C152:C153)</f>
        <v>1474652</v>
      </c>
      <c r="D154" s="162">
        <f>SUM(D152:D153)</f>
        <v>-14622</v>
      </c>
      <c r="E154" s="162">
        <f t="shared" ref="E154" si="43">+C154-D154</f>
        <v>1489274</v>
      </c>
    </row>
    <row r="155" spans="2:16" ht="15">
      <c r="B155" s="168"/>
      <c r="C155" s="113">
        <f>C151-C154</f>
        <v>0</v>
      </c>
      <c r="D155" s="113">
        <f>D151-D154</f>
        <v>0</v>
      </c>
    </row>
    <row r="157" spans="2:16" ht="15">
      <c r="F157" s="162" t="s">
        <v>235</v>
      </c>
      <c r="G157" s="162" t="s">
        <v>236</v>
      </c>
    </row>
    <row r="158" spans="2:16" ht="15">
      <c r="B158" s="163" t="s">
        <v>261</v>
      </c>
      <c r="C158" s="164" t="s">
        <v>397</v>
      </c>
      <c r="D158" s="164" t="s">
        <v>238</v>
      </c>
      <c r="E158" s="164" t="s">
        <v>239</v>
      </c>
      <c r="F158" s="595">
        <f>+L160</f>
        <v>0.98</v>
      </c>
      <c r="G158" s="165">
        <f>+L161</f>
        <v>0.02</v>
      </c>
      <c r="H158" s="164"/>
    </row>
    <row r="159" spans="2:16" ht="15">
      <c r="B159" s="147" t="s">
        <v>8</v>
      </c>
      <c r="C159" s="113">
        <v>3661400</v>
      </c>
      <c r="D159" s="113">
        <v>3661400</v>
      </c>
      <c r="E159" s="113">
        <f>+C159-D159</f>
        <v>0</v>
      </c>
      <c r="F159" s="113">
        <f t="shared" ref="F159:F166" si="44">+E159*$F$158</f>
        <v>0</v>
      </c>
      <c r="G159" s="113">
        <f>+E159*$G$158</f>
        <v>0</v>
      </c>
      <c r="K159" s="987">
        <v>2017</v>
      </c>
      <c r="L159" s="987"/>
      <c r="M159" s="987">
        <v>2016</v>
      </c>
      <c r="N159" s="987"/>
    </row>
    <row r="160" spans="2:16" ht="15">
      <c r="B160" s="147" t="s">
        <v>88</v>
      </c>
      <c r="C160" s="113">
        <v>406800</v>
      </c>
      <c r="D160" s="113">
        <v>112799</v>
      </c>
      <c r="E160" s="113">
        <f t="shared" ref="E160:E166" si="45">+C160-D160</f>
        <v>294001</v>
      </c>
      <c r="F160" s="113">
        <f t="shared" si="44"/>
        <v>288120.98</v>
      </c>
      <c r="G160" s="113">
        <f t="shared" ref="G160:G166" si="46">+E160*$G$158</f>
        <v>5880.02</v>
      </c>
      <c r="J160" s="113" t="s">
        <v>50</v>
      </c>
      <c r="K160" s="154">
        <v>3588172</v>
      </c>
      <c r="L160" s="118">
        <f>K160/K162</f>
        <v>0.98</v>
      </c>
      <c r="M160" s="154">
        <v>3588172</v>
      </c>
      <c r="N160" s="118">
        <f>M160/M162</f>
        <v>0.98</v>
      </c>
    </row>
    <row r="161" spans="2:14" ht="15">
      <c r="B161" s="147" t="s">
        <v>17</v>
      </c>
      <c r="C161" s="113">
        <v>0</v>
      </c>
      <c r="D161" s="113">
        <v>0</v>
      </c>
      <c r="E161" s="113">
        <f t="shared" si="45"/>
        <v>0</v>
      </c>
      <c r="F161" s="113">
        <f t="shared" si="44"/>
        <v>0</v>
      </c>
      <c r="G161" s="113">
        <f t="shared" si="46"/>
        <v>0</v>
      </c>
      <c r="J161" s="113" t="s">
        <v>52</v>
      </c>
      <c r="K161" s="155">
        <f>3661400-K160</f>
        <v>73228</v>
      </c>
      <c r="L161" s="118">
        <f>K161/K162</f>
        <v>0.02</v>
      </c>
      <c r="M161" s="155">
        <f>3661400-M160</f>
        <v>73228</v>
      </c>
      <c r="N161" s="118">
        <f>M161/M162</f>
        <v>0.02</v>
      </c>
    </row>
    <row r="162" spans="2:14">
      <c r="B162" s="147" t="s">
        <v>19</v>
      </c>
      <c r="C162" s="113">
        <v>0</v>
      </c>
      <c r="D162" s="113">
        <v>0</v>
      </c>
      <c r="E162" s="113">
        <f t="shared" si="45"/>
        <v>0</v>
      </c>
      <c r="F162" s="113">
        <f t="shared" si="44"/>
        <v>0</v>
      </c>
      <c r="G162" s="113">
        <f t="shared" si="46"/>
        <v>0</v>
      </c>
      <c r="K162" s="154">
        <f>SUM(K160:K161)</f>
        <v>3661400</v>
      </c>
      <c r="L162" s="105"/>
      <c r="M162" s="154">
        <f>SUM(M160:M161)</f>
        <v>3661400</v>
      </c>
      <c r="N162" s="105"/>
    </row>
    <row r="163" spans="2:14">
      <c r="B163" s="147" t="s">
        <v>18</v>
      </c>
      <c r="C163" s="113">
        <v>274690</v>
      </c>
      <c r="D163" s="113">
        <v>0</v>
      </c>
      <c r="E163" s="113">
        <f t="shared" si="45"/>
        <v>274690</v>
      </c>
      <c r="F163" s="113">
        <f t="shared" si="44"/>
        <v>269196.2</v>
      </c>
      <c r="G163" s="113">
        <f t="shared" si="46"/>
        <v>5493.8</v>
      </c>
    </row>
    <row r="164" spans="2:14">
      <c r="B164" s="147" t="s">
        <v>20</v>
      </c>
      <c r="C164" s="113">
        <v>-56932</v>
      </c>
      <c r="D164" s="113">
        <v>-56932</v>
      </c>
      <c r="E164" s="113">
        <f t="shared" si="45"/>
        <v>0</v>
      </c>
      <c r="F164" s="113">
        <f t="shared" si="44"/>
        <v>0</v>
      </c>
      <c r="G164" s="113">
        <f t="shared" si="46"/>
        <v>0</v>
      </c>
    </row>
    <row r="165" spans="2:14">
      <c r="B165" s="147" t="s">
        <v>21</v>
      </c>
      <c r="C165" s="113">
        <v>-3886526</v>
      </c>
      <c r="D165" s="113">
        <v>-3026105</v>
      </c>
      <c r="E165" s="113">
        <f t="shared" si="45"/>
        <v>-860421</v>
      </c>
      <c r="F165" s="113">
        <f t="shared" si="44"/>
        <v>-843212.58</v>
      </c>
      <c r="G165" s="113">
        <f t="shared" si="46"/>
        <v>-17208.420000000002</v>
      </c>
    </row>
    <row r="166" spans="2:14">
      <c r="B166" s="147" t="s">
        <v>43</v>
      </c>
      <c r="C166" s="166">
        <v>-502401</v>
      </c>
      <c r="D166" s="166">
        <v>-494302</v>
      </c>
      <c r="E166" s="166">
        <f t="shared" si="45"/>
        <v>-8099</v>
      </c>
      <c r="F166" s="113">
        <f t="shared" si="44"/>
        <v>-7937.0199999999995</v>
      </c>
      <c r="G166" s="113">
        <f t="shared" si="46"/>
        <v>-161.97999999999999</v>
      </c>
      <c r="H166" s="167"/>
    </row>
    <row r="168" spans="2:14" ht="15">
      <c r="B168" s="163" t="s">
        <v>252</v>
      </c>
      <c r="C168" s="162">
        <f>SUM(C159:C167)</f>
        <v>-102969</v>
      </c>
      <c r="D168" s="162">
        <f>SUM(D159:D167)</f>
        <v>196860</v>
      </c>
      <c r="E168" s="162">
        <f>SUM(E159:E166)</f>
        <v>-299829</v>
      </c>
      <c r="F168" s="162"/>
      <c r="G168" s="162"/>
      <c r="H168" s="162"/>
    </row>
    <row r="169" spans="2:14" ht="15">
      <c r="B169" s="168"/>
      <c r="C169" s="162"/>
      <c r="D169" s="162"/>
      <c r="E169" s="162"/>
    </row>
    <row r="170" spans="2:14" ht="15">
      <c r="B170" s="168"/>
      <c r="C170" s="162"/>
      <c r="D170" s="162"/>
      <c r="E170" s="162"/>
    </row>
    <row r="173" spans="2:14">
      <c r="B173" s="169" t="s">
        <v>262</v>
      </c>
      <c r="C173" s="113">
        <f>C168-C160</f>
        <v>-509769</v>
      </c>
      <c r="D173" s="113">
        <f>D168-D160</f>
        <v>84061</v>
      </c>
      <c r="E173" s="113" t="s">
        <v>268</v>
      </c>
    </row>
    <row r="174" spans="2:14">
      <c r="B174" s="113"/>
    </row>
    <row r="175" spans="2:14">
      <c r="B175" s="169" t="s">
        <v>31</v>
      </c>
      <c r="C175" s="113">
        <f>'Inversiones 2018'!L18</f>
        <v>644001.34000000008</v>
      </c>
      <c r="D175" s="113">
        <f>'Inversiones 2018'!L9</f>
        <v>351500</v>
      </c>
      <c r="G175" s="113">
        <f>D173-D176</f>
        <v>82379.78</v>
      </c>
    </row>
    <row r="176" spans="2:14">
      <c r="B176" s="169" t="s">
        <v>263</v>
      </c>
      <c r="C176" s="166">
        <f>C173*$G$158</f>
        <v>-10195.380000000001</v>
      </c>
      <c r="D176" s="166">
        <f>D173*$G$158</f>
        <v>1681.22</v>
      </c>
      <c r="E176" s="309">
        <f>D176*2</f>
        <v>3362.44</v>
      </c>
      <c r="G176" s="113">
        <f>D175-G175</f>
        <v>269120.21999999997</v>
      </c>
      <c r="H176" s="169"/>
    </row>
    <row r="177" spans="2:12">
      <c r="B177" s="169" t="s">
        <v>15</v>
      </c>
      <c r="C177" s="113">
        <f>SUM(C175:C176)</f>
        <v>633805.96000000008</v>
      </c>
      <c r="D177" s="113">
        <f>SUM(D175:D176)</f>
        <v>353181.22</v>
      </c>
    </row>
    <row r="178" spans="2:12">
      <c r="B178" s="169" t="s">
        <v>264</v>
      </c>
      <c r="C178" s="166">
        <f>C173</f>
        <v>-509769</v>
      </c>
      <c r="D178" s="166">
        <f>D173</f>
        <v>84061</v>
      </c>
    </row>
    <row r="179" spans="2:12" ht="15">
      <c r="B179" s="113" t="s">
        <v>166</v>
      </c>
      <c r="C179" s="113">
        <f>C177-C178</f>
        <v>1143574.96</v>
      </c>
      <c r="D179" s="113">
        <f>D177-D178</f>
        <v>269120.21999999997</v>
      </c>
      <c r="E179" s="162" t="s">
        <v>157</v>
      </c>
      <c r="G179" s="147"/>
    </row>
    <row r="182" spans="2:12" ht="15">
      <c r="F182" s="162" t="s">
        <v>235</v>
      </c>
      <c r="G182" s="162" t="s">
        <v>236</v>
      </c>
    </row>
    <row r="183" spans="2:12" ht="15">
      <c r="B183" s="163" t="s">
        <v>289</v>
      </c>
      <c r="C183" s="164" t="s">
        <v>397</v>
      </c>
      <c r="D183" s="164" t="s">
        <v>238</v>
      </c>
      <c r="E183" s="164" t="s">
        <v>239</v>
      </c>
      <c r="F183" s="595">
        <f>+L185</f>
        <v>1</v>
      </c>
      <c r="G183" s="165">
        <f>+L186</f>
        <v>0</v>
      </c>
      <c r="H183" s="164"/>
    </row>
    <row r="184" spans="2:12" ht="15">
      <c r="B184" s="147" t="s">
        <v>8</v>
      </c>
      <c r="C184" s="113">
        <v>10000</v>
      </c>
      <c r="D184" s="113">
        <v>10000</v>
      </c>
      <c r="E184" s="113">
        <f>+C184-D184</f>
        <v>0</v>
      </c>
      <c r="F184" s="113">
        <f>+E184*$F$183</f>
        <v>0</v>
      </c>
      <c r="G184" s="113">
        <f>+E184*$G$183</f>
        <v>0</v>
      </c>
      <c r="K184" s="987">
        <v>2017</v>
      </c>
      <c r="L184" s="987"/>
    </row>
    <row r="185" spans="2:12" ht="15">
      <c r="B185" s="147" t="s">
        <v>88</v>
      </c>
      <c r="C185" s="113">
        <v>0</v>
      </c>
      <c r="D185" s="113">
        <v>0</v>
      </c>
      <c r="E185" s="113">
        <f t="shared" ref="E185:E191" si="47">+C185-D185</f>
        <v>0</v>
      </c>
      <c r="F185" s="113">
        <f t="shared" ref="F185:F191" si="48">+E185*$F$183</f>
        <v>0</v>
      </c>
      <c r="G185" s="113">
        <f t="shared" ref="G185:G191" si="49">+E185*$G$183</f>
        <v>0</v>
      </c>
      <c r="J185" s="113" t="s">
        <v>50</v>
      </c>
      <c r="K185" s="154">
        <v>10000</v>
      </c>
      <c r="L185" s="118">
        <f>K185/K187</f>
        <v>1</v>
      </c>
    </row>
    <row r="186" spans="2:12" ht="15">
      <c r="B186" s="147" t="s">
        <v>17</v>
      </c>
      <c r="C186" s="113">
        <v>0</v>
      </c>
      <c r="D186" s="113">
        <v>0</v>
      </c>
      <c r="E186" s="113">
        <f t="shared" si="47"/>
        <v>0</v>
      </c>
      <c r="F186" s="113">
        <f t="shared" si="48"/>
        <v>0</v>
      </c>
      <c r="G186" s="113">
        <f t="shared" si="49"/>
        <v>0</v>
      </c>
      <c r="J186" s="113" t="s">
        <v>52</v>
      </c>
      <c r="K186" s="155">
        <v>0</v>
      </c>
      <c r="L186" s="118">
        <f>K186/K187</f>
        <v>0</v>
      </c>
    </row>
    <row r="187" spans="2:12">
      <c r="B187" s="147" t="s">
        <v>19</v>
      </c>
      <c r="C187" s="113">
        <v>0</v>
      </c>
      <c r="D187" s="113">
        <v>0</v>
      </c>
      <c r="E187" s="113">
        <f t="shared" si="47"/>
        <v>0</v>
      </c>
      <c r="F187" s="113">
        <f t="shared" si="48"/>
        <v>0</v>
      </c>
      <c r="G187" s="113">
        <f t="shared" si="49"/>
        <v>0</v>
      </c>
      <c r="K187" s="154">
        <v>10000</v>
      </c>
      <c r="L187" s="105"/>
    </row>
    <row r="188" spans="2:12">
      <c r="B188" s="147" t="s">
        <v>18</v>
      </c>
      <c r="C188" s="113">
        <v>0</v>
      </c>
      <c r="D188" s="113">
        <v>0</v>
      </c>
      <c r="E188" s="113">
        <f t="shared" si="47"/>
        <v>0</v>
      </c>
      <c r="F188" s="113">
        <f t="shared" si="48"/>
        <v>0</v>
      </c>
      <c r="G188" s="113">
        <f t="shared" si="49"/>
        <v>0</v>
      </c>
    </row>
    <row r="189" spans="2:12">
      <c r="B189" s="147" t="s">
        <v>20</v>
      </c>
      <c r="C189" s="113">
        <v>0</v>
      </c>
      <c r="D189" s="113">
        <v>0</v>
      </c>
      <c r="E189" s="113">
        <f t="shared" si="47"/>
        <v>0</v>
      </c>
      <c r="F189" s="113">
        <f t="shared" si="48"/>
        <v>0</v>
      </c>
      <c r="G189" s="113">
        <f t="shared" si="49"/>
        <v>0</v>
      </c>
    </row>
    <row r="190" spans="2:12">
      <c r="B190" s="147" t="s">
        <v>21</v>
      </c>
      <c r="C190" s="113">
        <f>'ESF - ERI'!AD55</f>
        <v>-144335</v>
      </c>
      <c r="D190" s="113">
        <v>0</v>
      </c>
      <c r="E190" s="113">
        <f t="shared" si="47"/>
        <v>-144335</v>
      </c>
      <c r="F190" s="113">
        <f t="shared" si="48"/>
        <v>-144335</v>
      </c>
      <c r="G190" s="113">
        <f t="shared" si="49"/>
        <v>0</v>
      </c>
    </row>
    <row r="191" spans="2:12">
      <c r="B191" s="147" t="s">
        <v>43</v>
      </c>
      <c r="C191" s="166">
        <f>'ESF - ERI'!AD56</f>
        <v>-395559</v>
      </c>
      <c r="D191" s="166">
        <v>-126652</v>
      </c>
      <c r="E191" s="166">
        <f t="shared" si="47"/>
        <v>-268907</v>
      </c>
      <c r="F191" s="113">
        <f t="shared" si="48"/>
        <v>-268907</v>
      </c>
      <c r="G191" s="113">
        <f t="shared" si="49"/>
        <v>0</v>
      </c>
      <c r="H191" s="167"/>
    </row>
    <row r="193" spans="2:13" ht="15">
      <c r="B193" s="163" t="s">
        <v>252</v>
      </c>
      <c r="C193" s="162">
        <f>SUM(C184:C192)</f>
        <v>-529894</v>
      </c>
      <c r="D193" s="162">
        <f>SUM(D184:D192)</f>
        <v>-116652</v>
      </c>
      <c r="E193" s="162">
        <f>SUM(E184:E191)</f>
        <v>-413242</v>
      </c>
      <c r="F193" s="162"/>
      <c r="G193" s="162"/>
      <c r="H193" s="162"/>
    </row>
    <row r="194" spans="2:13" ht="15">
      <c r="B194" s="168" t="s">
        <v>589</v>
      </c>
      <c r="C194" s="162">
        <f>+(C193)*$F$141</f>
        <v>-490151.95</v>
      </c>
      <c r="D194" s="162">
        <f>+(D193)*$F$141</f>
        <v>-107903.1</v>
      </c>
      <c r="E194" s="162">
        <f t="shared" ref="E194" si="50">+C194-D194</f>
        <v>-382248.85</v>
      </c>
    </row>
    <row r="195" spans="2:13" ht="15">
      <c r="B195" s="168" t="s">
        <v>242</v>
      </c>
      <c r="C195" s="162">
        <f>+C193*$G$141</f>
        <v>-39742.049999999996</v>
      </c>
      <c r="D195" s="162">
        <f>+D193*$G$141</f>
        <v>-8748.9</v>
      </c>
      <c r="E195" s="162">
        <f>+C195-D195</f>
        <v>-30993.149999999994</v>
      </c>
    </row>
    <row r="196" spans="2:13" ht="15">
      <c r="B196" s="168" t="s">
        <v>15</v>
      </c>
      <c r="C196" s="162">
        <f>SUM(C194:C195)</f>
        <v>-529894</v>
      </c>
      <c r="D196" s="162">
        <f>SUM(D194:D195)</f>
        <v>-116652</v>
      </c>
      <c r="E196" s="162">
        <f t="shared" ref="E196" si="51">+C196-D196</f>
        <v>-413242</v>
      </c>
    </row>
    <row r="197" spans="2:13" ht="15">
      <c r="B197" s="168"/>
      <c r="C197" s="113">
        <f>C193-C196</f>
        <v>0</v>
      </c>
      <c r="D197" s="113">
        <f>D193-D196</f>
        <v>0</v>
      </c>
    </row>
    <row r="201" spans="2:13" ht="15">
      <c r="B201" s="163" t="s">
        <v>588</v>
      </c>
      <c r="C201" s="162">
        <f>+C14+C33+C49+C67+C85+C102+C119+C136+C152+D175+C194</f>
        <v>35206513.718594216</v>
      </c>
      <c r="D201" s="162">
        <f>+D14+D33+D49+D67+D85+D102+D119+D136+D152+D175+D194</f>
        <v>34855847.217725277</v>
      </c>
      <c r="E201" s="113">
        <f t="shared" ref="E201:E204" si="52">+C201-D201</f>
        <v>350666.50086893886</v>
      </c>
      <c r="J201" s="113" t="s">
        <v>50</v>
      </c>
      <c r="K201" s="162">
        <f>+K4+K10+K21+K40+K56+K74+K93+K110+K127+K143+K160+K185</f>
        <v>36644382.960000001</v>
      </c>
      <c r="M201" s="162">
        <f>+M4+M10+M21+M40+M56+M74+M93+M110+M127+M143+M160+M185</f>
        <v>37131561.960000001</v>
      </c>
    </row>
    <row r="202" spans="2:13" ht="15">
      <c r="B202" s="163" t="s">
        <v>269</v>
      </c>
      <c r="C202" s="162">
        <f>+C15+C34+C50+C68+C86+C103+C120+C137+C153+D176+C195</f>
        <v>10783392.671405785</v>
      </c>
      <c r="D202" s="162">
        <f>+D15+D34+D50+D68+D86+D103+D120+D137+D153+D176+D195</f>
        <v>11152518.252337215</v>
      </c>
      <c r="E202" s="113">
        <f t="shared" si="52"/>
        <v>-369125.58093143068</v>
      </c>
      <c r="J202" s="113" t="s">
        <v>52</v>
      </c>
      <c r="K202" s="162">
        <f>+K5+K11+K22+K41+K57+K75+K94+K111+K128+K144+K161+K186</f>
        <v>10505669.039999999</v>
      </c>
      <c r="M202" s="162">
        <f>+M5+M11+M22+M41+M57+M75+M94+M111+M128+M144+M161+M186</f>
        <v>10505669.039999999</v>
      </c>
    </row>
    <row r="203" spans="2:13" ht="15">
      <c r="B203" s="163" t="s">
        <v>590</v>
      </c>
      <c r="C203" s="162">
        <f>+C16+C35+C51+C69+C87+C104+C121+C138+C154+D177+C196</f>
        <v>45989906.390000001</v>
      </c>
      <c r="D203" s="162">
        <f>+D16+D35+D51+D69+D87+D104+D121+D138+D154+D177+D196</f>
        <v>46008365.470062494</v>
      </c>
      <c r="E203" s="113">
        <f t="shared" si="52"/>
        <v>-18459.080062493682</v>
      </c>
      <c r="K203" s="113">
        <f>SUM(K201:K202)</f>
        <v>47150052</v>
      </c>
      <c r="M203" s="113">
        <f>SUM(M201:M202)</f>
        <v>47637231</v>
      </c>
    </row>
    <row r="204" spans="2:13" ht="15">
      <c r="B204" s="163" t="s">
        <v>591</v>
      </c>
      <c r="C204" s="597">
        <f>C201+C202-C203</f>
        <v>0</v>
      </c>
      <c r="D204" s="597">
        <f>D201+D202-D203</f>
        <v>0</v>
      </c>
      <c r="E204" s="113">
        <f t="shared" si="52"/>
        <v>0</v>
      </c>
    </row>
    <row r="205" spans="2:13">
      <c r="C205" s="113">
        <f>+C202-'ESF - ERI'!AI57</f>
        <v>2658512.2672417518</v>
      </c>
      <c r="K205" s="404">
        <v>44513438</v>
      </c>
    </row>
    <row r="206" spans="2:13">
      <c r="K206" s="474">
        <v>6468792</v>
      </c>
    </row>
    <row r="207" spans="2:13">
      <c r="C207" s="147">
        <v>38835024.049999997</v>
      </c>
      <c r="K207" s="113">
        <f>K205-K206</f>
        <v>38044646</v>
      </c>
      <c r="L207" s="147">
        <v>38835024.049999997</v>
      </c>
      <c r="M207" s="175">
        <f>L207-K207</f>
        <v>790378.04999999702</v>
      </c>
    </row>
    <row r="208" spans="2:13">
      <c r="C208" s="113">
        <f>C207-C201</f>
        <v>3628510.3314057812</v>
      </c>
      <c r="K208" s="113">
        <f>K201-K207</f>
        <v>-1400263.0399999991</v>
      </c>
    </row>
  </sheetData>
  <mergeCells count="33">
    <mergeCell ref="M159:N159"/>
    <mergeCell ref="K142:L142"/>
    <mergeCell ref="M142:N142"/>
    <mergeCell ref="O142:P142"/>
    <mergeCell ref="K109:L109"/>
    <mergeCell ref="M109:N109"/>
    <mergeCell ref="O109:P109"/>
    <mergeCell ref="K126:L126"/>
    <mergeCell ref="M126:N126"/>
    <mergeCell ref="O126:P126"/>
    <mergeCell ref="O55:P55"/>
    <mergeCell ref="K73:L73"/>
    <mergeCell ref="M73:N73"/>
    <mergeCell ref="O73:P73"/>
    <mergeCell ref="K92:L92"/>
    <mergeCell ref="M92:N92"/>
    <mergeCell ref="O92:P92"/>
    <mergeCell ref="K184:L184"/>
    <mergeCell ref="K159:L159"/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30"/>
  <sheetViews>
    <sheetView topLeftCell="A107" zoomScale="80" zoomScaleNormal="80" workbookViewId="0">
      <selection activeCell="H11" sqref="H11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5.7109375" style="147" customWidth="1"/>
    <col min="4" max="4" width="13.7109375" style="113" bestFit="1" customWidth="1"/>
    <col min="5" max="5" width="14.42578125" style="113" bestFit="1" customWidth="1"/>
    <col min="6" max="6" width="17.140625" style="113" bestFit="1" customWidth="1"/>
    <col min="7" max="7" width="20.5703125" style="113" bestFit="1" customWidth="1"/>
    <col min="8" max="8" width="21.28515625" style="113" bestFit="1" customWidth="1"/>
    <col min="9" max="9" width="13.7109375" style="113" bestFit="1" customWidth="1"/>
    <col min="10" max="10" width="17.42578125" style="113" customWidth="1"/>
    <col min="11" max="11" width="19.140625" style="113" customWidth="1"/>
    <col min="12" max="12" width="13.7109375" style="113" customWidth="1"/>
    <col min="13" max="13" width="14.7109375" style="113" customWidth="1"/>
    <col min="14" max="16" width="17.5703125" style="113" customWidth="1"/>
    <col min="17" max="17" width="15.140625" style="113" bestFit="1" customWidth="1"/>
    <col min="18" max="18" width="13.42578125" style="147" bestFit="1" customWidth="1"/>
    <col min="19" max="19" width="15.140625" style="147" bestFit="1" customWidth="1"/>
    <col min="20" max="20" width="13.42578125" style="147" bestFit="1" customWidth="1"/>
    <col min="21" max="21" width="14.28515625" style="147" bestFit="1" customWidth="1"/>
    <col min="22" max="22" width="10.28515625" style="147" bestFit="1" customWidth="1"/>
    <col min="23" max="23" width="11.42578125" style="147"/>
    <col min="24" max="24" width="19.42578125" style="147" bestFit="1" customWidth="1"/>
    <col min="25" max="25" width="16.28515625" style="147" bestFit="1" customWidth="1"/>
    <col min="26" max="26" width="11.42578125" style="147"/>
    <col min="27" max="16384" width="11.42578125" style="144"/>
  </cols>
  <sheetData>
    <row r="2" spans="2:8" ht="15">
      <c r="F2" s="162" t="s">
        <v>235</v>
      </c>
      <c r="G2" s="162" t="s">
        <v>236</v>
      </c>
    </row>
    <row r="3" spans="2:8" ht="15">
      <c r="B3" s="163" t="s">
        <v>669</v>
      </c>
      <c r="C3" s="164" t="s">
        <v>643</v>
      </c>
      <c r="D3" s="164" t="s">
        <v>397</v>
      </c>
      <c r="E3" s="164" t="s">
        <v>239</v>
      </c>
      <c r="F3" s="164"/>
      <c r="G3" s="164"/>
    </row>
    <row r="4" spans="2:8">
      <c r="B4" s="147" t="s">
        <v>8</v>
      </c>
      <c r="C4" s="113">
        <v>35042687</v>
      </c>
      <c r="D4" s="113">
        <v>30006697</v>
      </c>
      <c r="E4" s="113">
        <f>C4-D4</f>
        <v>5035990</v>
      </c>
      <c r="F4" s="113">
        <v>35572466.869999997</v>
      </c>
      <c r="G4" s="113">
        <f>C4-F4</f>
        <v>-529779.86999999732</v>
      </c>
    </row>
    <row r="5" spans="2:8">
      <c r="B5" s="147" t="s">
        <v>88</v>
      </c>
      <c r="C5" s="113">
        <v>921</v>
      </c>
      <c r="D5" s="113">
        <v>920</v>
      </c>
      <c r="E5" s="113">
        <f t="shared" ref="E5:E10" si="0">C5-D5</f>
        <v>1</v>
      </c>
      <c r="F5" s="113">
        <v>921</v>
      </c>
      <c r="G5" s="113">
        <f t="shared" ref="G5:G11" si="1">C5-F5</f>
        <v>0</v>
      </c>
    </row>
    <row r="6" spans="2:8">
      <c r="B6" s="147" t="s">
        <v>17</v>
      </c>
      <c r="C6" s="113">
        <v>5222508.5599999996</v>
      </c>
      <c r="D6" s="113">
        <v>4662954</v>
      </c>
      <c r="E6" s="113">
        <f t="shared" si="0"/>
        <v>559554.55999999959</v>
      </c>
      <c r="F6" s="113">
        <v>5222508.5599999996</v>
      </c>
      <c r="G6" s="113">
        <f t="shared" si="1"/>
        <v>0</v>
      </c>
    </row>
    <row r="7" spans="2:8">
      <c r="B7" s="147" t="s">
        <v>19</v>
      </c>
      <c r="C7" s="113">
        <v>34797</v>
      </c>
      <c r="D7" s="113">
        <v>34797</v>
      </c>
      <c r="E7" s="113">
        <f t="shared" si="0"/>
        <v>0</v>
      </c>
      <c r="F7" s="113">
        <v>34797</v>
      </c>
      <c r="G7" s="113">
        <f t="shared" si="1"/>
        <v>0</v>
      </c>
    </row>
    <row r="8" spans="2:8">
      <c r="B8" s="147" t="s">
        <v>18</v>
      </c>
      <c r="C8" s="113">
        <v>227072</v>
      </c>
      <c r="D8" s="113">
        <v>227072</v>
      </c>
      <c r="E8" s="113">
        <f t="shared" si="0"/>
        <v>0</v>
      </c>
      <c r="F8" s="113">
        <v>227072</v>
      </c>
      <c r="G8" s="113">
        <f t="shared" si="1"/>
        <v>0</v>
      </c>
    </row>
    <row r="9" spans="2:8">
      <c r="B9" s="147" t="s">
        <v>20</v>
      </c>
      <c r="C9" s="113">
        <v>-3202431</v>
      </c>
      <c r="D9" s="113">
        <v>-3202431</v>
      </c>
      <c r="E9" s="113">
        <f t="shared" si="0"/>
        <v>0</v>
      </c>
      <c r="F9" s="113">
        <v>-3202431</v>
      </c>
      <c r="G9" s="113">
        <f t="shared" si="1"/>
        <v>0</v>
      </c>
    </row>
    <row r="10" spans="2:8">
      <c r="B10" s="147" t="s">
        <v>392</v>
      </c>
      <c r="C10" s="113">
        <v>1919745</v>
      </c>
      <c r="D10" s="113">
        <v>1353857</v>
      </c>
      <c r="E10" s="113">
        <f t="shared" si="0"/>
        <v>565888</v>
      </c>
      <c r="F10" s="113">
        <v>1919745</v>
      </c>
      <c r="G10" s="113">
        <f t="shared" si="1"/>
        <v>0</v>
      </c>
    </row>
    <row r="11" spans="2:8">
      <c r="B11" s="147" t="s">
        <v>21</v>
      </c>
      <c r="C11" s="113">
        <v>32771651.620000001</v>
      </c>
      <c r="D11" s="113">
        <v>32161891</v>
      </c>
      <c r="E11" s="113">
        <f>C11-D11-D12</f>
        <v>-4985784.379999999</v>
      </c>
      <c r="F11" s="113">
        <v>34136487.083123028</v>
      </c>
      <c r="G11" s="113">
        <f t="shared" si="1"/>
        <v>-1364835.4631230272</v>
      </c>
      <c r="H11" s="113">
        <f>C11-D11</f>
        <v>609760.62000000104</v>
      </c>
    </row>
    <row r="12" spans="2:8">
      <c r="B12" s="147" t="s">
        <v>43</v>
      </c>
      <c r="C12" s="113">
        <v>9337751.4399999995</v>
      </c>
      <c r="D12" s="113">
        <v>5595545</v>
      </c>
      <c r="E12" s="113">
        <f>C12</f>
        <v>9337751.4399999995</v>
      </c>
      <c r="F12" s="113">
        <v>6158394.4975136016</v>
      </c>
      <c r="G12" s="113">
        <f>C12-F12-F13</f>
        <v>4205080.9000000181</v>
      </c>
    </row>
    <row r="13" spans="2:8">
      <c r="C13" s="113"/>
      <c r="F13" s="113">
        <v>-1025723.9575136199</v>
      </c>
    </row>
    <row r="14" spans="2:8" ht="15">
      <c r="B14" s="163" t="s">
        <v>241</v>
      </c>
      <c r="C14" s="766">
        <f t="shared" ref="C14:E14" si="2">SUM(C4:C12)</f>
        <v>81354702.620000005</v>
      </c>
      <c r="D14" s="162">
        <f t="shared" si="2"/>
        <v>70841302</v>
      </c>
      <c r="E14" s="162">
        <f t="shared" si="2"/>
        <v>10513400.620000001</v>
      </c>
    </row>
    <row r="20" spans="2:25" ht="15">
      <c r="F20" s="162" t="s">
        <v>235</v>
      </c>
      <c r="G20" s="162" t="s">
        <v>236</v>
      </c>
      <c r="J20" s="162" t="s">
        <v>235</v>
      </c>
      <c r="K20" s="162" t="s">
        <v>236</v>
      </c>
    </row>
    <row r="21" spans="2:25" ht="15">
      <c r="B21" s="163" t="s">
        <v>237</v>
      </c>
      <c r="C21" s="164" t="s">
        <v>643</v>
      </c>
      <c r="D21" s="164" t="s">
        <v>397</v>
      </c>
      <c r="E21" s="164" t="s">
        <v>239</v>
      </c>
      <c r="F21" s="164"/>
      <c r="G21" s="164"/>
      <c r="H21" s="164" t="s">
        <v>238</v>
      </c>
      <c r="I21" s="164" t="s">
        <v>239</v>
      </c>
      <c r="J21" s="595">
        <f>+R23</f>
        <v>0.75019999999999998</v>
      </c>
      <c r="K21" s="165">
        <f>+R24</f>
        <v>0.24979999999999999</v>
      </c>
      <c r="L21" s="164"/>
    </row>
    <row r="22" spans="2:25" ht="15">
      <c r="B22" s="147" t="s">
        <v>8</v>
      </c>
      <c r="C22" s="113">
        <f>'Participaciones 2018'!E3</f>
        <v>5000</v>
      </c>
      <c r="D22" s="113">
        <v>5000</v>
      </c>
      <c r="E22" s="113">
        <f>C22-D22</f>
        <v>0</v>
      </c>
      <c r="H22" s="113">
        <v>5000</v>
      </c>
      <c r="I22" s="113">
        <f>+D22-H22</f>
        <v>0</v>
      </c>
      <c r="J22" s="113">
        <f>+I22*$J$21</f>
        <v>0</v>
      </c>
      <c r="K22" s="113">
        <f>+I22*$K$21</f>
        <v>0</v>
      </c>
      <c r="O22" s="987">
        <v>2018</v>
      </c>
      <c r="P22" s="987"/>
      <c r="Q22" s="987">
        <v>2017</v>
      </c>
      <c r="R22" s="987"/>
      <c r="S22" s="987">
        <v>2016</v>
      </c>
      <c r="T22" s="987"/>
      <c r="U22" s="987" t="s">
        <v>239</v>
      </c>
      <c r="V22" s="987"/>
    </row>
    <row r="23" spans="2:25" ht="15">
      <c r="B23" s="147" t="s">
        <v>88</v>
      </c>
      <c r="C23" s="113">
        <f>'Participaciones 2018'!E4</f>
        <v>37142894.460000001</v>
      </c>
      <c r="D23" s="113">
        <f>'ESF - ERI'!T49</f>
        <v>42340052</v>
      </c>
      <c r="E23" s="113">
        <f>C23-D23</f>
        <v>-5197157.5399999991</v>
      </c>
      <c r="H23" s="113">
        <v>42837231</v>
      </c>
      <c r="I23" s="113">
        <f>+D23-H23</f>
        <v>-497179</v>
      </c>
      <c r="J23" s="113">
        <f>+I23*$J$21</f>
        <v>-372983.68579999998</v>
      </c>
      <c r="K23" s="113">
        <f>+I23*$K$21</f>
        <v>-124195.31419999999</v>
      </c>
      <c r="N23" s="113" t="s">
        <v>50</v>
      </c>
      <c r="O23" s="104">
        <v>3751</v>
      </c>
      <c r="P23" s="118">
        <f>+O23/$O$25</f>
        <v>0.75019999999999998</v>
      </c>
      <c r="Q23" s="104">
        <v>3751</v>
      </c>
      <c r="R23" s="118">
        <f>+Q23/$Q$25</f>
        <v>0.75019999999999998</v>
      </c>
      <c r="S23" s="104">
        <v>3751</v>
      </c>
      <c r="T23" s="118">
        <f>+S23/$S$25</f>
        <v>0.75019999999999998</v>
      </c>
      <c r="U23" s="104">
        <f>+Q23-S23</f>
        <v>0</v>
      </c>
      <c r="V23" s="118">
        <f>+R23-T23</f>
        <v>0</v>
      </c>
    </row>
    <row r="24" spans="2:25" ht="15">
      <c r="B24" s="147" t="s">
        <v>17</v>
      </c>
      <c r="C24" s="113">
        <f>'Participaciones 2018'!E5</f>
        <v>0</v>
      </c>
      <c r="D24" s="113">
        <v>0</v>
      </c>
      <c r="E24" s="113">
        <f t="shared" ref="E24:E29" si="3">C24-D24</f>
        <v>0</v>
      </c>
      <c r="I24" s="113">
        <f t="shared" ref="I24:I29" si="4">+D24-H24</f>
        <v>0</v>
      </c>
      <c r="J24" s="113">
        <f t="shared" ref="J24:J29" si="5">+I24*$J$21</f>
        <v>0</v>
      </c>
      <c r="K24" s="113">
        <f t="shared" ref="K24:K29" si="6">+I24*$K$21</f>
        <v>0</v>
      </c>
      <c r="N24" s="113" t="s">
        <v>52</v>
      </c>
      <c r="O24" s="121">
        <v>1249</v>
      </c>
      <c r="P24" s="118">
        <f>+O24/$O$25</f>
        <v>0.24979999999999999</v>
      </c>
      <c r="Q24" s="121">
        <v>1249</v>
      </c>
      <c r="R24" s="118">
        <f>+Q24/$Q$25</f>
        <v>0.24979999999999999</v>
      </c>
      <c r="S24" s="121">
        <v>1249</v>
      </c>
      <c r="T24" s="118">
        <f>+S24/$S$25</f>
        <v>0.24979999999999999</v>
      </c>
      <c r="U24" s="104">
        <f>+Q24-S24</f>
        <v>0</v>
      </c>
      <c r="V24" s="118">
        <f>+R24-T24</f>
        <v>0</v>
      </c>
    </row>
    <row r="25" spans="2:25">
      <c r="B25" s="147" t="s">
        <v>19</v>
      </c>
      <c r="C25" s="113">
        <f>'Participaciones 2018'!E6</f>
        <v>0</v>
      </c>
      <c r="D25" s="113">
        <v>0</v>
      </c>
      <c r="E25" s="113">
        <f t="shared" si="3"/>
        <v>0</v>
      </c>
      <c r="I25" s="113">
        <f t="shared" si="4"/>
        <v>0</v>
      </c>
      <c r="J25" s="113">
        <f t="shared" si="5"/>
        <v>0</v>
      </c>
      <c r="K25" s="113">
        <f t="shared" si="6"/>
        <v>0</v>
      </c>
      <c r="O25" s="104">
        <f>SUM(O23:O24)</f>
        <v>5000</v>
      </c>
      <c r="P25" s="105"/>
      <c r="Q25" s="104">
        <f>SUM(Q23:Q24)</f>
        <v>5000</v>
      </c>
      <c r="R25" s="105"/>
      <c r="S25" s="104">
        <f>SUM(S23:S24)</f>
        <v>5000</v>
      </c>
      <c r="T25" s="105"/>
      <c r="U25" s="104">
        <f>SUM(U23:U24)</f>
        <v>0</v>
      </c>
      <c r="V25" s="105"/>
      <c r="X25" s="171"/>
    </row>
    <row r="26" spans="2:25">
      <c r="B26" s="147" t="s">
        <v>18</v>
      </c>
      <c r="C26" s="113">
        <f>'Participaciones 2018'!E7</f>
        <v>0</v>
      </c>
      <c r="D26" s="113">
        <v>0</v>
      </c>
      <c r="E26" s="113">
        <f t="shared" si="3"/>
        <v>0</v>
      </c>
      <c r="I26" s="113">
        <f t="shared" si="4"/>
        <v>0</v>
      </c>
      <c r="J26" s="113">
        <f t="shared" si="5"/>
        <v>0</v>
      </c>
      <c r="K26" s="113">
        <f t="shared" si="6"/>
        <v>0</v>
      </c>
      <c r="X26" s="171"/>
    </row>
    <row r="27" spans="2:25" ht="15">
      <c r="B27" s="147" t="s">
        <v>392</v>
      </c>
      <c r="C27" s="113">
        <f>'Participaciones 2018'!E8</f>
        <v>-1022673.47</v>
      </c>
      <c r="D27" s="113">
        <v>0</v>
      </c>
      <c r="E27" s="113">
        <f t="shared" si="3"/>
        <v>-1022673.47</v>
      </c>
      <c r="I27" s="113">
        <f t="shared" si="4"/>
        <v>0</v>
      </c>
      <c r="J27" s="113">
        <f t="shared" si="5"/>
        <v>0</v>
      </c>
      <c r="K27" s="113">
        <f t="shared" si="6"/>
        <v>0</v>
      </c>
      <c r="N27" s="162" t="s">
        <v>240</v>
      </c>
      <c r="O27" s="162"/>
      <c r="P27" s="162"/>
      <c r="Q27" s="987">
        <v>2017</v>
      </c>
      <c r="R27" s="987"/>
      <c r="S27" s="987">
        <v>2016</v>
      </c>
      <c r="T27" s="987"/>
      <c r="U27" s="987" t="s">
        <v>239</v>
      </c>
      <c r="V27" s="987"/>
    </row>
    <row r="28" spans="2:25" ht="15">
      <c r="B28" s="147" t="s">
        <v>21</v>
      </c>
      <c r="C28" s="113">
        <v>0</v>
      </c>
      <c r="D28" s="113">
        <f>'ESF - ERI'!T55</f>
        <v>2254833</v>
      </c>
      <c r="E28" s="113">
        <f t="shared" si="3"/>
        <v>-2254833</v>
      </c>
      <c r="H28" s="113">
        <v>-392726</v>
      </c>
      <c r="I28" s="146">
        <f t="shared" si="4"/>
        <v>2647559</v>
      </c>
      <c r="J28" s="113">
        <f t="shared" si="5"/>
        <v>1986198.7618</v>
      </c>
      <c r="K28" s="113">
        <f t="shared" si="6"/>
        <v>661360.23820000002</v>
      </c>
      <c r="N28" s="113" t="s">
        <v>50</v>
      </c>
      <c r="Q28" s="113">
        <f>32414459-497179</f>
        <v>31917280</v>
      </c>
      <c r="R28" s="173">
        <f>+Q28/Q30</f>
        <v>0.75383185641812622</v>
      </c>
      <c r="S28" s="113">
        <v>32414459</v>
      </c>
      <c r="T28" s="173">
        <f>+S28/S30</f>
        <v>0.75668894191597025</v>
      </c>
      <c r="U28" s="104">
        <f>+Q28-S28</f>
        <v>-497179</v>
      </c>
      <c r="V28" s="118">
        <f>+R28-T28</f>
        <v>-2.8570854978440252E-3</v>
      </c>
      <c r="X28" s="133">
        <f>H23*T24</f>
        <v>10700740.3038</v>
      </c>
      <c r="Y28" s="171"/>
    </row>
    <row r="29" spans="2:25" ht="15">
      <c r="B29" s="147" t="s">
        <v>43</v>
      </c>
      <c r="C29" s="748">
        <f>'Participaciones 2018'!E11</f>
        <v>-3575591.2</v>
      </c>
      <c r="D29" s="166">
        <f>'ESF - ERI'!T56</f>
        <v>-1077724</v>
      </c>
      <c r="E29" s="166">
        <f t="shared" si="3"/>
        <v>-2497867.2000000002</v>
      </c>
      <c r="F29" s="166"/>
      <c r="G29" s="166"/>
      <c r="H29" s="166">
        <v>1823983</v>
      </c>
      <c r="I29" s="166">
        <f t="shared" si="4"/>
        <v>-2901707</v>
      </c>
      <c r="J29" s="166">
        <f t="shared" si="5"/>
        <v>-2176860.5913999998</v>
      </c>
      <c r="K29" s="166">
        <f t="shared" si="6"/>
        <v>-724846.40859999997</v>
      </c>
      <c r="N29" s="113" t="s">
        <v>52</v>
      </c>
      <c r="Q29" s="166">
        <v>10422772</v>
      </c>
      <c r="R29" s="173">
        <f>+Q29/Q30</f>
        <v>0.24616814358187372</v>
      </c>
      <c r="S29" s="166">
        <v>10422772</v>
      </c>
      <c r="T29" s="173">
        <f>+S29/S30</f>
        <v>0.24331105808402975</v>
      </c>
      <c r="U29" s="155">
        <f>+Q29-S29</f>
        <v>0</v>
      </c>
      <c r="V29" s="118">
        <f>+R29-T29</f>
        <v>2.8570854978439697E-3</v>
      </c>
      <c r="X29" s="171"/>
    </row>
    <row r="30" spans="2:25" ht="15">
      <c r="C30" s="113"/>
      <c r="Q30" s="162">
        <f>SUM(Q28:Q29)</f>
        <v>42340052</v>
      </c>
      <c r="S30" s="162">
        <f>SUM(S28:S29)</f>
        <v>42837231</v>
      </c>
      <c r="U30" s="104">
        <f>SUM(U28:U29)</f>
        <v>-497179</v>
      </c>
      <c r="V30" s="105"/>
    </row>
    <row r="31" spans="2:25" ht="15">
      <c r="B31" s="163" t="s">
        <v>241</v>
      </c>
      <c r="C31" s="162">
        <f>SUM(C22:C29)</f>
        <v>32549629.790000003</v>
      </c>
      <c r="D31" s="162">
        <f>SUM(D22:D29)</f>
        <v>43522161</v>
      </c>
      <c r="E31" s="162">
        <f>SUM(E22:E29)</f>
        <v>-10972531.209999997</v>
      </c>
      <c r="F31" s="162">
        <f>SUM(F22:F29)</f>
        <v>0</v>
      </c>
      <c r="G31" s="162">
        <f>SUM(G22:G29)</f>
        <v>0</v>
      </c>
      <c r="H31" s="162">
        <f>SUM(H22:H30)</f>
        <v>44273488</v>
      </c>
      <c r="I31" s="162">
        <f>SUM(I22:I29)</f>
        <v>-751327</v>
      </c>
      <c r="J31" s="162">
        <f>SUM(J22:J29)</f>
        <v>-563645.51539999992</v>
      </c>
      <c r="K31" s="162">
        <f>SUM(K22:K29)</f>
        <v>-187681.48459999997</v>
      </c>
      <c r="L31" s="162"/>
    </row>
    <row r="32" spans="2:25" ht="15">
      <c r="B32" s="168" t="s">
        <v>589</v>
      </c>
      <c r="C32" s="162">
        <f>+(C31)*$F$21</f>
        <v>0</v>
      </c>
      <c r="D32" s="162">
        <f>+(D31)*$J$21</f>
        <v>32650325.1822</v>
      </c>
      <c r="E32" s="162">
        <f>C32-D32</f>
        <v>-32650325.1822</v>
      </c>
      <c r="F32" s="162"/>
      <c r="G32" s="162"/>
      <c r="H32" s="162">
        <f>+(H31)*$J$21</f>
        <v>33213970.6976</v>
      </c>
      <c r="I32" s="162">
        <f>+D32-H32</f>
        <v>-563645.51539999992</v>
      </c>
      <c r="J32" s="162"/>
      <c r="K32" s="162"/>
      <c r="L32" s="162"/>
    </row>
    <row r="33" spans="2:24" ht="15">
      <c r="B33" s="168" t="s">
        <v>242</v>
      </c>
      <c r="C33" s="162">
        <f>+(C31)*$G$21</f>
        <v>0</v>
      </c>
      <c r="D33" s="162">
        <f>+(D31)*$K$21</f>
        <v>10871835.8178</v>
      </c>
      <c r="E33" s="162">
        <f t="shared" ref="E33:E35" si="7">C33-D33</f>
        <v>-10871835.8178</v>
      </c>
      <c r="F33" s="162"/>
      <c r="G33" s="162"/>
      <c r="H33" s="162">
        <f>+(H31)*$K$21</f>
        <v>11059517.3024</v>
      </c>
      <c r="I33" s="162">
        <f>+D33-H33</f>
        <v>-187681.48460000008</v>
      </c>
      <c r="J33" s="162"/>
      <c r="K33" s="162"/>
      <c r="L33" s="162"/>
      <c r="R33" s="174"/>
      <c r="S33" s="113"/>
      <c r="T33" s="175"/>
      <c r="X33" s="171"/>
    </row>
    <row r="34" spans="2:24" ht="15">
      <c r="B34" s="168" t="s">
        <v>15</v>
      </c>
      <c r="C34" s="162">
        <f>SUM(C32:C33)</f>
        <v>0</v>
      </c>
      <c r="D34" s="162">
        <f>SUM(D32:D33)</f>
        <v>43522161</v>
      </c>
      <c r="E34" s="162">
        <f t="shared" si="7"/>
        <v>-43522161</v>
      </c>
      <c r="F34" s="162"/>
      <c r="G34" s="162"/>
      <c r="H34" s="162">
        <f>SUM(H32:H33)</f>
        <v>44273488</v>
      </c>
      <c r="I34" s="162">
        <f t="shared" ref="I34" si="8">+D34-H34</f>
        <v>-751327</v>
      </c>
      <c r="J34" s="162"/>
      <c r="K34" s="162"/>
      <c r="L34" s="162"/>
      <c r="S34" s="113"/>
      <c r="T34" s="175"/>
    </row>
    <row r="35" spans="2:24" ht="15">
      <c r="B35" s="168"/>
      <c r="C35" s="113">
        <f>C31-C34</f>
        <v>32549629.790000003</v>
      </c>
      <c r="D35" s="113">
        <f>D31-D34</f>
        <v>0</v>
      </c>
      <c r="E35" s="162">
        <f t="shared" si="7"/>
        <v>32549629.790000003</v>
      </c>
      <c r="H35" s="113">
        <f>H31-H34</f>
        <v>0</v>
      </c>
      <c r="I35" s="162">
        <f>+D35-H35</f>
        <v>0</v>
      </c>
      <c r="J35" s="162"/>
      <c r="K35" s="162"/>
      <c r="L35" s="162"/>
      <c r="S35" s="113"/>
      <c r="T35" s="175"/>
    </row>
    <row r="36" spans="2:24" ht="15">
      <c r="B36" s="168"/>
      <c r="C36" s="113"/>
      <c r="E36" s="162"/>
      <c r="I36" s="162"/>
      <c r="J36" s="162"/>
      <c r="K36" s="162"/>
      <c r="L36" s="162"/>
      <c r="S36" s="113"/>
      <c r="T36" s="175"/>
    </row>
    <row r="37" spans="2:24" ht="15">
      <c r="F37" s="162" t="s">
        <v>235</v>
      </c>
      <c r="G37" s="162" t="s">
        <v>236</v>
      </c>
      <c r="J37" s="162" t="s">
        <v>235</v>
      </c>
      <c r="K37" s="162" t="s">
        <v>236</v>
      </c>
      <c r="S37" s="113"/>
    </row>
    <row r="38" spans="2:24" ht="15">
      <c r="B38" s="163" t="s">
        <v>243</v>
      </c>
      <c r="C38" s="164" t="s">
        <v>643</v>
      </c>
      <c r="D38" s="164" t="s">
        <v>397</v>
      </c>
      <c r="E38" s="164" t="s">
        <v>239</v>
      </c>
      <c r="F38" s="164"/>
      <c r="G38" s="164"/>
      <c r="H38" s="164" t="s">
        <v>238</v>
      </c>
      <c r="I38" s="164" t="s">
        <v>239</v>
      </c>
      <c r="J38" s="595">
        <f>+R40</f>
        <v>0.99995475113122168</v>
      </c>
      <c r="K38" s="165">
        <f>+R41</f>
        <v>4.5248868778280542E-5</v>
      </c>
      <c r="L38" s="164"/>
    </row>
    <row r="39" spans="2:24" ht="15">
      <c r="B39" s="147" t="s">
        <v>8</v>
      </c>
      <c r="C39" s="113">
        <f>'Participaciones 2018'!G3</f>
        <v>1105000</v>
      </c>
      <c r="D39" s="113">
        <v>1105000</v>
      </c>
      <c r="E39" s="113">
        <f>C39-D39</f>
        <v>0</v>
      </c>
      <c r="H39" s="113">
        <v>1105000</v>
      </c>
      <c r="I39" s="113">
        <f>+D39-H39</f>
        <v>0</v>
      </c>
      <c r="J39" s="113">
        <v>0</v>
      </c>
      <c r="K39" s="113">
        <v>0</v>
      </c>
      <c r="L39" s="164"/>
      <c r="Q39" s="987">
        <v>2017</v>
      </c>
      <c r="R39" s="987"/>
      <c r="S39" s="987">
        <v>2016</v>
      </c>
      <c r="T39" s="987"/>
      <c r="U39" s="987" t="s">
        <v>239</v>
      </c>
      <c r="V39" s="987"/>
    </row>
    <row r="40" spans="2:24" ht="15">
      <c r="B40" s="147" t="s">
        <v>88</v>
      </c>
      <c r="C40" s="113">
        <f>'Participaciones 2018'!G4</f>
        <v>877313.05</v>
      </c>
      <c r="D40" s="113">
        <v>877313</v>
      </c>
      <c r="E40" s="113">
        <f>C40-D40</f>
        <v>5.0000000046566129E-2</v>
      </c>
      <c r="H40" s="113">
        <v>646013</v>
      </c>
      <c r="I40" s="113">
        <f t="shared" ref="I40:I45" si="9">+D40-H40</f>
        <v>231300</v>
      </c>
      <c r="J40" s="113">
        <v>0</v>
      </c>
      <c r="K40" s="113">
        <v>0</v>
      </c>
      <c r="L40" s="164"/>
      <c r="N40" s="113" t="s">
        <v>50</v>
      </c>
      <c r="Q40" s="104">
        <v>1104950</v>
      </c>
      <c r="R40" s="118">
        <f>+Q40/$Q$42</f>
        <v>0.99995475113122168</v>
      </c>
      <c r="S40" s="104">
        <v>1104950</v>
      </c>
      <c r="T40" s="118">
        <f>+S40/$S$42</f>
        <v>0.99995475113122168</v>
      </c>
      <c r="U40" s="104">
        <f>+Q40-S40</f>
        <v>0</v>
      </c>
      <c r="V40" s="118">
        <f>+R40-T40</f>
        <v>0</v>
      </c>
    </row>
    <row r="41" spans="2:24" ht="15">
      <c r="B41" s="147" t="s">
        <v>17</v>
      </c>
      <c r="C41" s="113">
        <f>'Participaciones 2018'!G5</f>
        <v>0</v>
      </c>
      <c r="D41" s="113">
        <v>0</v>
      </c>
      <c r="E41" s="113">
        <f t="shared" ref="E41:E46" si="10">C41-D41</f>
        <v>0</v>
      </c>
      <c r="I41" s="113">
        <f t="shared" si="9"/>
        <v>0</v>
      </c>
      <c r="J41" s="113">
        <f t="shared" ref="J41:J46" si="11">+I41*$J$38</f>
        <v>0</v>
      </c>
      <c r="K41" s="113">
        <f t="shared" ref="K41:K46" si="12">+I41*$K$38</f>
        <v>0</v>
      </c>
      <c r="N41" s="113" t="s">
        <v>52</v>
      </c>
      <c r="Q41" s="121">
        <v>50</v>
      </c>
      <c r="R41" s="118">
        <f>+Q41/$Q$42</f>
        <v>4.5248868778280542E-5</v>
      </c>
      <c r="S41" s="121">
        <v>50</v>
      </c>
      <c r="T41" s="118">
        <f>+S41/$S$42</f>
        <v>4.5248868778280542E-5</v>
      </c>
      <c r="U41" s="104">
        <f>+Q41-S41</f>
        <v>0</v>
      </c>
      <c r="V41" s="118">
        <f>+R41-T41</f>
        <v>0</v>
      </c>
    </row>
    <row r="42" spans="2:24">
      <c r="B42" s="147" t="s">
        <v>19</v>
      </c>
      <c r="C42" s="113">
        <f>'Participaciones 2018'!G6</f>
        <v>0</v>
      </c>
      <c r="D42" s="113">
        <v>0</v>
      </c>
      <c r="E42" s="113">
        <f t="shared" si="10"/>
        <v>0</v>
      </c>
      <c r="I42" s="113">
        <f t="shared" si="9"/>
        <v>0</v>
      </c>
      <c r="J42" s="113">
        <f t="shared" si="11"/>
        <v>0</v>
      </c>
      <c r="K42" s="113">
        <f t="shared" si="12"/>
        <v>0</v>
      </c>
      <c r="Q42" s="104">
        <f>SUM(Q40:Q41)</f>
        <v>1105000</v>
      </c>
      <c r="R42" s="105"/>
      <c r="S42" s="104">
        <f>SUM(S40:S41)</f>
        <v>1105000</v>
      </c>
      <c r="T42" s="105"/>
      <c r="U42" s="104">
        <f>SUM(U40:U41)</f>
        <v>0</v>
      </c>
      <c r="V42" s="105"/>
    </row>
    <row r="43" spans="2:24">
      <c r="B43" s="147" t="s">
        <v>18</v>
      </c>
      <c r="C43" s="113">
        <f>'Participaciones 2018'!G7</f>
        <v>0</v>
      </c>
      <c r="D43" s="113">
        <v>0</v>
      </c>
      <c r="E43" s="113">
        <f t="shared" si="10"/>
        <v>0</v>
      </c>
      <c r="I43" s="113">
        <f t="shared" si="9"/>
        <v>0</v>
      </c>
      <c r="J43" s="113">
        <f t="shared" si="11"/>
        <v>0</v>
      </c>
      <c r="K43" s="113">
        <f t="shared" si="12"/>
        <v>0</v>
      </c>
    </row>
    <row r="44" spans="2:24">
      <c r="B44" s="147" t="s">
        <v>392</v>
      </c>
      <c r="C44" s="113">
        <f>'Participaciones 2018'!G8</f>
        <v>0</v>
      </c>
      <c r="D44" s="113">
        <v>0</v>
      </c>
      <c r="E44" s="113">
        <f t="shared" si="10"/>
        <v>0</v>
      </c>
      <c r="I44" s="113">
        <f t="shared" si="9"/>
        <v>0</v>
      </c>
      <c r="J44" s="113">
        <f t="shared" si="11"/>
        <v>0</v>
      </c>
      <c r="K44" s="113">
        <f t="shared" si="12"/>
        <v>0</v>
      </c>
    </row>
    <row r="45" spans="2:24" ht="19.5">
      <c r="B45" s="147" t="s">
        <v>21</v>
      </c>
      <c r="C45" s="113">
        <f>'Participaciones 2018'!G11-C46</f>
        <v>2399.7400000000343</v>
      </c>
      <c r="D45" s="113">
        <f>'ESF - ERI'!U55</f>
        <v>-16937</v>
      </c>
      <c r="E45" s="113">
        <f t="shared" si="10"/>
        <v>19336.740000000034</v>
      </c>
      <c r="H45" s="113">
        <v>-85803</v>
      </c>
      <c r="I45" s="113">
        <f t="shared" si="9"/>
        <v>68866</v>
      </c>
      <c r="J45" s="113">
        <f t="shared" si="11"/>
        <v>68862.883891402715</v>
      </c>
      <c r="K45" s="113">
        <f t="shared" si="12"/>
        <v>3.1161085972850677</v>
      </c>
      <c r="M45" s="176" t="s">
        <v>244</v>
      </c>
    </row>
    <row r="46" spans="2:24">
      <c r="B46" s="147" t="s">
        <v>43</v>
      </c>
      <c r="C46" s="166">
        <f>'Planilla Final 2018'!D72</f>
        <v>47654.149999999965</v>
      </c>
      <c r="D46" s="166">
        <f>'ESF - ERI'!U56</f>
        <v>19337</v>
      </c>
      <c r="E46" s="166">
        <f t="shared" si="10"/>
        <v>28317.149999999965</v>
      </c>
      <c r="F46" s="166"/>
      <c r="G46" s="166"/>
      <c r="H46" s="166">
        <v>-113288</v>
      </c>
      <c r="I46" s="166">
        <f>+D46-H46</f>
        <v>132625</v>
      </c>
      <c r="J46" s="113">
        <f t="shared" si="11"/>
        <v>132618.99886877826</v>
      </c>
      <c r="K46" s="113">
        <f t="shared" si="12"/>
        <v>6.001131221719457</v>
      </c>
      <c r="L46" s="167"/>
    </row>
    <row r="48" spans="2:24" ht="15">
      <c r="B48" s="163" t="s">
        <v>241</v>
      </c>
      <c r="C48" s="162">
        <f>SUM(C39:C46)</f>
        <v>2032366.94</v>
      </c>
      <c r="D48" s="162">
        <f>SUM(D39:D46)</f>
        <v>1984713</v>
      </c>
      <c r="E48" s="162">
        <f t="shared" ref="E48:E50" si="13">C48-D48</f>
        <v>47653.939999999944</v>
      </c>
      <c r="F48" s="162"/>
      <c r="G48" s="162"/>
      <c r="H48" s="162">
        <f>SUM(H39:H47)</f>
        <v>1551922</v>
      </c>
      <c r="I48" s="162">
        <f>SUM(I39:I46)</f>
        <v>432791</v>
      </c>
      <c r="J48" s="162"/>
      <c r="K48" s="162"/>
      <c r="L48" s="162"/>
    </row>
    <row r="49" spans="2:22" ht="15">
      <c r="B49" s="147" t="s">
        <v>245</v>
      </c>
      <c r="D49" s="162">
        <v>0</v>
      </c>
      <c r="E49" s="162">
        <f t="shared" si="13"/>
        <v>0</v>
      </c>
      <c r="F49" s="162"/>
      <c r="G49" s="162"/>
      <c r="H49" s="162">
        <v>0</v>
      </c>
      <c r="I49" s="162"/>
      <c r="J49" s="162"/>
      <c r="K49" s="162"/>
      <c r="L49" s="162"/>
      <c r="N49" s="113" t="s">
        <v>265</v>
      </c>
    </row>
    <row r="50" spans="2:22" ht="15">
      <c r="B50" s="147" t="s">
        <v>246</v>
      </c>
      <c r="C50" s="177">
        <f>-C40</f>
        <v>-877313.05</v>
      </c>
      <c r="D50" s="177">
        <f>-D40</f>
        <v>-877313</v>
      </c>
      <c r="E50" s="177">
        <f t="shared" si="13"/>
        <v>-5.0000000046566129E-2</v>
      </c>
      <c r="F50" s="177"/>
      <c r="G50" s="177"/>
      <c r="H50" s="177">
        <f>-H40</f>
        <v>-646013</v>
      </c>
      <c r="J50" s="162"/>
      <c r="K50" s="162"/>
      <c r="L50" s="162"/>
    </row>
    <row r="51" spans="2:22" ht="15">
      <c r="C51" s="749"/>
      <c r="D51" s="749"/>
      <c r="E51" s="749"/>
      <c r="F51" s="749"/>
      <c r="G51" s="749"/>
      <c r="H51" s="749"/>
      <c r="J51" s="162"/>
      <c r="K51" s="162"/>
      <c r="L51" s="162"/>
    </row>
    <row r="52" spans="2:22" ht="15">
      <c r="B52" s="163" t="s">
        <v>247</v>
      </c>
      <c r="C52" s="162">
        <f>SUM(C48:C50)</f>
        <v>1155053.8899999999</v>
      </c>
      <c r="D52" s="162">
        <f>SUM(D48:D50)</f>
        <v>1107400</v>
      </c>
      <c r="E52" s="162">
        <f>SUM(E42:E49)</f>
        <v>95307.829999999944</v>
      </c>
      <c r="F52" s="162"/>
      <c r="G52" s="162"/>
      <c r="H52" s="162">
        <f>SUM(H48:H50)</f>
        <v>905909</v>
      </c>
      <c r="I52" s="113">
        <f t="shared" ref="I52:I53" si="14">+D52-H52</f>
        <v>201491</v>
      </c>
      <c r="J52" s="162"/>
      <c r="K52" s="162"/>
      <c r="L52" s="162"/>
    </row>
    <row r="53" spans="2:22" ht="15">
      <c r="B53" s="168" t="s">
        <v>589</v>
      </c>
      <c r="C53" s="162">
        <f>+(C52)*$F$38</f>
        <v>0</v>
      </c>
      <c r="D53" s="162">
        <f>+(D52)*$J$38</f>
        <v>1107349.8914027149</v>
      </c>
      <c r="E53" s="162">
        <f>C53-D53</f>
        <v>-1107349.8914027149</v>
      </c>
      <c r="F53" s="162"/>
      <c r="G53" s="162"/>
      <c r="H53" s="162">
        <f>+(H52)*$J$38</f>
        <v>905868.00864253391</v>
      </c>
      <c r="I53" s="113">
        <f t="shared" si="14"/>
        <v>201481.88276018098</v>
      </c>
      <c r="J53" s="162"/>
      <c r="K53" s="162"/>
      <c r="L53" s="162"/>
    </row>
    <row r="54" spans="2:22" ht="15">
      <c r="B54" s="168" t="s">
        <v>242</v>
      </c>
      <c r="C54" s="162">
        <f>+C52*$G$38</f>
        <v>0</v>
      </c>
      <c r="D54" s="162">
        <f>+D52*$K$38</f>
        <v>50.108597285067873</v>
      </c>
      <c r="E54" s="162">
        <f t="shared" ref="E54:E56" si="15">C54-D54</f>
        <v>-50.108597285067873</v>
      </c>
      <c r="F54" s="162"/>
      <c r="G54" s="162"/>
      <c r="H54" s="162">
        <f>+H52*$K$38</f>
        <v>40.991357466063349</v>
      </c>
      <c r="I54" s="162">
        <f>+D54-H54</f>
        <v>9.1172398190045243</v>
      </c>
    </row>
    <row r="55" spans="2:22" ht="15">
      <c r="B55" s="168" t="s">
        <v>15</v>
      </c>
      <c r="C55" s="162">
        <f>SUM(C53:C54)</f>
        <v>0</v>
      </c>
      <c r="D55" s="162">
        <f>SUM(D53:D54)</f>
        <v>1107400</v>
      </c>
      <c r="E55" s="162">
        <f t="shared" si="15"/>
        <v>-1107400</v>
      </c>
      <c r="F55" s="162"/>
      <c r="G55" s="162"/>
      <c r="H55" s="162">
        <f>SUM(H53:H54)</f>
        <v>905909</v>
      </c>
    </row>
    <row r="56" spans="2:22" ht="15">
      <c r="C56" s="113">
        <f>C52-C55</f>
        <v>1155053.8899999999</v>
      </c>
      <c r="D56" s="113">
        <f>D52-D55</f>
        <v>0</v>
      </c>
      <c r="E56" s="162">
        <f t="shared" si="15"/>
        <v>1155053.8899999999</v>
      </c>
      <c r="H56" s="113">
        <f>H52-H55</f>
        <v>0</v>
      </c>
    </row>
    <row r="57" spans="2:22" ht="15">
      <c r="C57" s="113"/>
      <c r="E57" s="162"/>
    </row>
    <row r="58" spans="2:22" ht="15">
      <c r="F58" s="162" t="s">
        <v>235</v>
      </c>
      <c r="G58" s="162" t="s">
        <v>236</v>
      </c>
      <c r="J58" s="162" t="s">
        <v>235</v>
      </c>
      <c r="K58" s="162" t="s">
        <v>236</v>
      </c>
    </row>
    <row r="59" spans="2:22" ht="15">
      <c r="B59" s="163" t="s">
        <v>248</v>
      </c>
      <c r="C59" s="164" t="s">
        <v>643</v>
      </c>
      <c r="D59" s="164" t="s">
        <v>397</v>
      </c>
      <c r="E59" s="164" t="s">
        <v>239</v>
      </c>
      <c r="F59" s="164"/>
      <c r="G59" s="164"/>
      <c r="H59" s="164" t="s">
        <v>238</v>
      </c>
      <c r="I59" s="164" t="s">
        <v>239</v>
      </c>
      <c r="J59" s="595">
        <f>+R61</f>
        <v>0.68</v>
      </c>
      <c r="K59" s="165">
        <f>+R62</f>
        <v>0.32</v>
      </c>
      <c r="L59" s="164"/>
    </row>
    <row r="60" spans="2:22" ht="15">
      <c r="B60" s="147" t="s">
        <v>8</v>
      </c>
      <c r="C60" s="113">
        <f>'Participaciones 2018'!I3</f>
        <v>10000</v>
      </c>
      <c r="D60" s="113">
        <v>10000</v>
      </c>
      <c r="E60" s="113">
        <f>C60-D60</f>
        <v>0</v>
      </c>
      <c r="H60" s="113">
        <v>10000</v>
      </c>
      <c r="I60" s="113">
        <f>+D60-H60</f>
        <v>0</v>
      </c>
      <c r="J60" s="113">
        <f t="shared" ref="J60:J65" si="16">+I60*$J$59</f>
        <v>0</v>
      </c>
      <c r="K60" s="113">
        <f t="shared" ref="K60:K65" si="17">+I60*$K$59</f>
        <v>0</v>
      </c>
      <c r="Q60" s="987">
        <v>2017</v>
      </c>
      <c r="R60" s="987"/>
      <c r="S60" s="987">
        <v>2016</v>
      </c>
      <c r="T60" s="987"/>
      <c r="U60" s="987" t="s">
        <v>239</v>
      </c>
      <c r="V60" s="987"/>
    </row>
    <row r="61" spans="2:22" ht="15">
      <c r="B61" s="147" t="s">
        <v>88</v>
      </c>
      <c r="C61" s="113">
        <f>'Participaciones 2018'!I4</f>
        <v>0</v>
      </c>
      <c r="D61" s="113">
        <v>0</v>
      </c>
      <c r="E61" s="113">
        <f>C61-D61</f>
        <v>0</v>
      </c>
      <c r="H61" s="113">
        <v>0</v>
      </c>
      <c r="I61" s="113">
        <f t="shared" ref="I61:I67" si="18">+D61-H61</f>
        <v>0</v>
      </c>
      <c r="J61" s="113">
        <f t="shared" si="16"/>
        <v>0</v>
      </c>
      <c r="K61" s="113">
        <f t="shared" si="17"/>
        <v>0</v>
      </c>
      <c r="N61" s="113" t="s">
        <v>50</v>
      </c>
      <c r="Q61" s="104">
        <v>6800</v>
      </c>
      <c r="R61" s="118">
        <f>+Q61/$Q$63</f>
        <v>0.68</v>
      </c>
      <c r="S61" s="104">
        <v>6800</v>
      </c>
      <c r="T61" s="118">
        <f>+S61/$S$63</f>
        <v>0.68</v>
      </c>
      <c r="U61" s="104">
        <f>+Q61-S61</f>
        <v>0</v>
      </c>
      <c r="V61" s="118">
        <f>+R61-T61</f>
        <v>0</v>
      </c>
    </row>
    <row r="62" spans="2:22" ht="15">
      <c r="B62" s="147" t="s">
        <v>17</v>
      </c>
      <c r="C62" s="113">
        <f>'Participaciones 2018'!I5</f>
        <v>74426.570000000007</v>
      </c>
      <c r="D62" s="113">
        <f>'ESF - ERI'!V50</f>
        <v>74426</v>
      </c>
      <c r="E62" s="113">
        <f t="shared" ref="E62:E67" si="19">C62-D62</f>
        <v>0.57000000000698492</v>
      </c>
      <c r="H62" s="113">
        <v>74426.570000000007</v>
      </c>
      <c r="I62" s="113">
        <f t="shared" si="18"/>
        <v>-0.57000000000698492</v>
      </c>
      <c r="J62" s="113">
        <f t="shared" si="16"/>
        <v>-0.38760000000474976</v>
      </c>
      <c r="K62" s="113">
        <f t="shared" si="17"/>
        <v>-0.18240000000223519</v>
      </c>
      <c r="N62" s="113" t="s">
        <v>52</v>
      </c>
      <c r="Q62" s="121">
        <v>3200</v>
      </c>
      <c r="R62" s="118">
        <f>+Q62/$Q$63</f>
        <v>0.32</v>
      </c>
      <c r="S62" s="121">
        <v>3200</v>
      </c>
      <c r="T62" s="118">
        <f>+S62/$S$63</f>
        <v>0.32</v>
      </c>
      <c r="U62" s="104">
        <f>+Q62-S62</f>
        <v>0</v>
      </c>
      <c r="V62" s="118">
        <f>+R62-T62</f>
        <v>0</v>
      </c>
    </row>
    <row r="63" spans="2:22">
      <c r="B63" s="147" t="s">
        <v>19</v>
      </c>
      <c r="C63" s="113">
        <f>'Participaciones 2018'!I6</f>
        <v>0</v>
      </c>
      <c r="D63" s="113">
        <v>0</v>
      </c>
      <c r="E63" s="113">
        <f t="shared" si="19"/>
        <v>0</v>
      </c>
      <c r="I63" s="113">
        <f t="shared" si="18"/>
        <v>0</v>
      </c>
      <c r="J63" s="113">
        <f t="shared" si="16"/>
        <v>0</v>
      </c>
      <c r="K63" s="113">
        <f t="shared" si="17"/>
        <v>0</v>
      </c>
      <c r="Q63" s="104">
        <f>SUM(Q61:Q62)</f>
        <v>10000</v>
      </c>
      <c r="R63" s="105"/>
      <c r="S63" s="104">
        <f>SUM(S61:S62)</f>
        <v>10000</v>
      </c>
      <c r="T63" s="105"/>
      <c r="U63" s="104">
        <f>SUM(U61:U62)</f>
        <v>0</v>
      </c>
      <c r="V63" s="105"/>
    </row>
    <row r="64" spans="2:22">
      <c r="B64" s="147" t="s">
        <v>18</v>
      </c>
      <c r="C64" s="113">
        <f>'Participaciones 2018'!I7</f>
        <v>0</v>
      </c>
      <c r="D64" s="113">
        <v>0</v>
      </c>
      <c r="E64" s="113">
        <f t="shared" si="19"/>
        <v>0</v>
      </c>
      <c r="I64" s="113">
        <f t="shared" si="18"/>
        <v>0</v>
      </c>
      <c r="J64" s="113">
        <f t="shared" si="16"/>
        <v>0</v>
      </c>
      <c r="K64" s="113">
        <f t="shared" si="17"/>
        <v>0</v>
      </c>
    </row>
    <row r="65" spans="2:22">
      <c r="B65" s="147" t="s">
        <v>392</v>
      </c>
      <c r="C65" s="113">
        <f>'Participaciones 2018'!I8</f>
        <v>0</v>
      </c>
      <c r="D65" s="113">
        <v>0</v>
      </c>
      <c r="E65" s="113">
        <f t="shared" si="19"/>
        <v>0</v>
      </c>
      <c r="I65" s="113">
        <f t="shared" si="18"/>
        <v>0</v>
      </c>
      <c r="J65" s="113">
        <f t="shared" si="16"/>
        <v>0</v>
      </c>
      <c r="K65" s="113">
        <f t="shared" si="17"/>
        <v>0</v>
      </c>
    </row>
    <row r="66" spans="2:22" ht="19.5">
      <c r="B66" s="147" t="s">
        <v>21</v>
      </c>
      <c r="C66" s="113">
        <f>'Participaciones 2018'!I11</f>
        <v>34763.730000000003</v>
      </c>
      <c r="D66" s="113">
        <f>'ESF - ERI'!V55</f>
        <v>911628</v>
      </c>
      <c r="E66" s="113">
        <f t="shared" si="19"/>
        <v>-876864.27</v>
      </c>
      <c r="H66" s="113">
        <v>989917</v>
      </c>
      <c r="I66" s="113">
        <f t="shared" si="18"/>
        <v>-78289</v>
      </c>
      <c r="J66" s="113">
        <f>+I66*$J$59</f>
        <v>-53236.520000000004</v>
      </c>
      <c r="K66" s="113">
        <f>+I66*$K$59</f>
        <v>-25052.48</v>
      </c>
      <c r="M66" s="176" t="s">
        <v>249</v>
      </c>
      <c r="R66" s="113">
        <f>228012-128950-6829+71048+1931</f>
        <v>165212</v>
      </c>
    </row>
    <row r="67" spans="2:22">
      <c r="B67" s="147" t="s">
        <v>43</v>
      </c>
      <c r="C67" s="748">
        <f>'Planilla Final 2018'!E72</f>
        <v>0</v>
      </c>
      <c r="D67" s="166">
        <f>'ESF - ERI'!V56</f>
        <v>-15891</v>
      </c>
      <c r="E67" s="166">
        <f t="shared" si="19"/>
        <v>15891</v>
      </c>
      <c r="F67" s="166"/>
      <c r="G67" s="166"/>
      <c r="H67" s="166">
        <v>-56384</v>
      </c>
      <c r="I67" s="166">
        <f t="shared" si="18"/>
        <v>40493</v>
      </c>
      <c r="J67" s="113">
        <f>+I67*$J$59</f>
        <v>27535.24</v>
      </c>
      <c r="K67" s="113">
        <f>+I67*$K$59</f>
        <v>12957.76</v>
      </c>
      <c r="L67" s="167"/>
    </row>
    <row r="69" spans="2:22" ht="15">
      <c r="B69" s="163" t="s">
        <v>241</v>
      </c>
      <c r="C69" s="162">
        <f>SUM(C60:C68)</f>
        <v>119190.30000000002</v>
      </c>
      <c r="D69" s="162">
        <f>SUM(D60:D68)</f>
        <v>980163</v>
      </c>
      <c r="E69" s="162">
        <f>SUM(E59:E66)</f>
        <v>-876863.7</v>
      </c>
      <c r="F69" s="162"/>
      <c r="G69" s="162"/>
      <c r="H69" s="162">
        <f>SUM(H60:H68)</f>
        <v>1017959.5700000001</v>
      </c>
      <c r="I69" s="162">
        <f>SUM(I60:I67)</f>
        <v>-37796.570000000007</v>
      </c>
      <c r="J69" s="162"/>
      <c r="K69" s="162"/>
      <c r="L69" s="162"/>
    </row>
    <row r="70" spans="2:22" ht="15">
      <c r="B70" s="168" t="s">
        <v>589</v>
      </c>
      <c r="C70" s="162">
        <f>+(C69)*$F$59</f>
        <v>0</v>
      </c>
      <c r="D70" s="162">
        <f>+(D69)*$J$59</f>
        <v>666510.84000000008</v>
      </c>
      <c r="E70" s="162">
        <f>C70-D70</f>
        <v>-666510.84000000008</v>
      </c>
      <c r="F70" s="162"/>
      <c r="G70" s="162"/>
      <c r="H70" s="162">
        <f>+(H69)*$J$59</f>
        <v>692212.50760000013</v>
      </c>
      <c r="I70" s="162">
        <f t="shared" ref="I70" si="20">+D70-H70</f>
        <v>-25701.667600000044</v>
      </c>
      <c r="J70" s="162"/>
      <c r="K70" s="162"/>
      <c r="L70" s="162"/>
    </row>
    <row r="71" spans="2:22" ht="15">
      <c r="B71" s="168" t="s">
        <v>242</v>
      </c>
      <c r="C71" s="162">
        <f>+C69*$G$59</f>
        <v>0</v>
      </c>
      <c r="D71" s="162">
        <f>+D69*$K$59</f>
        <v>313652.16000000003</v>
      </c>
      <c r="E71" s="162">
        <f t="shared" ref="E71:E73" si="21">C71-D71</f>
        <v>-313652.16000000003</v>
      </c>
      <c r="F71" s="162"/>
      <c r="G71" s="162"/>
      <c r="H71" s="162">
        <f>+H69*$K$59</f>
        <v>325747.06240000005</v>
      </c>
      <c r="I71" s="162">
        <f>+D71-H71</f>
        <v>-12094.902400000021</v>
      </c>
    </row>
    <row r="72" spans="2:22" ht="15">
      <c r="B72" s="168" t="s">
        <v>15</v>
      </c>
      <c r="C72" s="162">
        <f>SUM(C70:C71)</f>
        <v>0</v>
      </c>
      <c r="D72" s="162">
        <f>SUM(D70:D71)</f>
        <v>980163.00000000012</v>
      </c>
      <c r="E72" s="162">
        <f t="shared" si="21"/>
        <v>-980163.00000000012</v>
      </c>
      <c r="F72" s="162"/>
      <c r="G72" s="162"/>
      <c r="H72" s="162">
        <f>SUM(H70:H71)</f>
        <v>1017959.5700000002</v>
      </c>
      <c r="I72" s="162">
        <f t="shared" ref="I72" si="22">+D72-H72</f>
        <v>-37796.570000000065</v>
      </c>
    </row>
    <row r="73" spans="2:22" ht="15">
      <c r="B73" s="168"/>
      <c r="C73" s="113">
        <f>C69-C72</f>
        <v>119190.30000000002</v>
      </c>
      <c r="D73" s="113">
        <f>D69-D72</f>
        <v>0</v>
      </c>
      <c r="E73" s="162">
        <f t="shared" si="21"/>
        <v>119190.30000000002</v>
      </c>
      <c r="H73" s="113">
        <f>H69-H72</f>
        <v>0</v>
      </c>
      <c r="I73" s="162"/>
    </row>
    <row r="74" spans="2:22" ht="15">
      <c r="B74" s="168"/>
      <c r="C74" s="113"/>
      <c r="E74" s="162"/>
      <c r="I74" s="162"/>
    </row>
    <row r="75" spans="2:22" ht="15">
      <c r="F75" s="162" t="s">
        <v>235</v>
      </c>
      <c r="G75" s="162" t="s">
        <v>236</v>
      </c>
      <c r="H75" s="144"/>
      <c r="J75" s="162" t="s">
        <v>235</v>
      </c>
      <c r="K75" s="162" t="s">
        <v>236</v>
      </c>
    </row>
    <row r="76" spans="2:22" ht="15">
      <c r="B76" s="163" t="s">
        <v>250</v>
      </c>
      <c r="C76" s="164" t="s">
        <v>643</v>
      </c>
      <c r="D76" s="164" t="s">
        <v>397</v>
      </c>
      <c r="E76" s="164" t="s">
        <v>239</v>
      </c>
      <c r="F76" s="164"/>
      <c r="G76" s="164"/>
      <c r="H76" s="164" t="s">
        <v>238</v>
      </c>
      <c r="I76" s="164" t="s">
        <v>239</v>
      </c>
      <c r="J76" s="595">
        <f>+R78</f>
        <v>0.5</v>
      </c>
      <c r="K76" s="165">
        <f>+R79</f>
        <v>0.5</v>
      </c>
      <c r="L76" s="164"/>
    </row>
    <row r="77" spans="2:22" ht="15">
      <c r="B77" s="147" t="s">
        <v>8</v>
      </c>
      <c r="C77" s="113">
        <f>'Participaciones 2018'!K3</f>
        <v>1000</v>
      </c>
      <c r="D77" s="113">
        <v>1000</v>
      </c>
      <c r="E77" s="113">
        <f>C77-D77</f>
        <v>0</v>
      </c>
      <c r="H77" s="113">
        <v>1000</v>
      </c>
      <c r="I77" s="113">
        <f>+D77-H77</f>
        <v>0</v>
      </c>
      <c r="J77" s="113">
        <f>+I77*$J$76</f>
        <v>0</v>
      </c>
      <c r="K77" s="113">
        <f>+I77*$K$76</f>
        <v>0</v>
      </c>
      <c r="Q77" s="987">
        <v>2017</v>
      </c>
      <c r="R77" s="987"/>
      <c r="S77" s="987">
        <v>2016</v>
      </c>
      <c r="T77" s="987"/>
      <c r="U77" s="987" t="s">
        <v>239</v>
      </c>
      <c r="V77" s="987"/>
    </row>
    <row r="78" spans="2:22" ht="15">
      <c r="B78" s="147" t="s">
        <v>88</v>
      </c>
      <c r="C78" s="113">
        <f>'Participaciones 2018'!K4</f>
        <v>49015</v>
      </c>
      <c r="D78" s="113">
        <v>49015</v>
      </c>
      <c r="E78" s="113">
        <f>C78-D78</f>
        <v>0</v>
      </c>
      <c r="H78" s="113">
        <v>49015</v>
      </c>
      <c r="I78" s="113">
        <f t="shared" ref="I78:I84" si="23">+D78-H78</f>
        <v>0</v>
      </c>
      <c r="J78" s="113">
        <f t="shared" ref="J78:J84" si="24">+I78*$J$76</f>
        <v>0</v>
      </c>
      <c r="K78" s="113">
        <f t="shared" ref="K78:K84" si="25">+I78*$K$76</f>
        <v>0</v>
      </c>
      <c r="N78" s="113" t="s">
        <v>50</v>
      </c>
      <c r="Q78" s="104">
        <v>500</v>
      </c>
      <c r="R78" s="118">
        <f>+Q78/$Q$80</f>
        <v>0.5</v>
      </c>
      <c r="S78" s="104">
        <v>500</v>
      </c>
      <c r="T78" s="118">
        <f>+S78/$S$80</f>
        <v>0.5</v>
      </c>
      <c r="U78" s="104">
        <f>+Q78-S78</f>
        <v>0</v>
      </c>
      <c r="V78" s="118">
        <f>+R78-T78</f>
        <v>0</v>
      </c>
    </row>
    <row r="79" spans="2:22" ht="15">
      <c r="B79" s="147" t="s">
        <v>17</v>
      </c>
      <c r="C79" s="113">
        <f>'Participaciones 2018'!K5</f>
        <v>500</v>
      </c>
      <c r="D79" s="113">
        <v>500</v>
      </c>
      <c r="E79" s="113">
        <f t="shared" ref="E79:E84" si="26">C79-D79</f>
        <v>0</v>
      </c>
      <c r="H79" s="113">
        <v>500</v>
      </c>
      <c r="I79" s="113">
        <f t="shared" si="23"/>
        <v>0</v>
      </c>
      <c r="J79" s="113">
        <f t="shared" si="24"/>
        <v>0</v>
      </c>
      <c r="K79" s="113">
        <f t="shared" si="25"/>
        <v>0</v>
      </c>
      <c r="N79" s="113" t="s">
        <v>52</v>
      </c>
      <c r="Q79" s="121">
        <v>500</v>
      </c>
      <c r="R79" s="118">
        <f>+Q79/$Q$80</f>
        <v>0.5</v>
      </c>
      <c r="S79" s="121">
        <v>500</v>
      </c>
      <c r="T79" s="118">
        <f>+S79/$S$80</f>
        <v>0.5</v>
      </c>
      <c r="U79" s="104">
        <f>+Q79-S79</f>
        <v>0</v>
      </c>
      <c r="V79" s="118">
        <f>+R79-T79</f>
        <v>0</v>
      </c>
    </row>
    <row r="80" spans="2:22">
      <c r="B80" s="147" t="s">
        <v>19</v>
      </c>
      <c r="C80" s="113">
        <f>'Participaciones 2018'!K6</f>
        <v>0</v>
      </c>
      <c r="D80" s="113">
        <v>0</v>
      </c>
      <c r="E80" s="113">
        <f t="shared" si="26"/>
        <v>0</v>
      </c>
      <c r="H80" s="113">
        <v>0</v>
      </c>
      <c r="I80" s="113">
        <f t="shared" si="23"/>
        <v>0</v>
      </c>
      <c r="J80" s="113">
        <f t="shared" si="24"/>
        <v>0</v>
      </c>
      <c r="K80" s="113">
        <f t="shared" si="25"/>
        <v>0</v>
      </c>
      <c r="Q80" s="104">
        <f>SUM(Q78:Q79)</f>
        <v>1000</v>
      </c>
      <c r="R80" s="105"/>
      <c r="S80" s="104">
        <f>SUM(S78:S79)</f>
        <v>1000</v>
      </c>
      <c r="T80" s="105"/>
      <c r="U80" s="104">
        <f>SUM(U78:U79)</f>
        <v>0</v>
      </c>
      <c r="V80" s="105"/>
    </row>
    <row r="81" spans="2:12">
      <c r="B81" s="147" t="s">
        <v>18</v>
      </c>
      <c r="C81" s="113">
        <f>'Participaciones 2018'!K7</f>
        <v>0</v>
      </c>
      <c r="D81" s="113">
        <v>0</v>
      </c>
      <c r="E81" s="113">
        <f t="shared" si="26"/>
        <v>0</v>
      </c>
      <c r="H81" s="113">
        <v>0</v>
      </c>
      <c r="I81" s="113">
        <f t="shared" si="23"/>
        <v>0</v>
      </c>
      <c r="J81" s="113">
        <f t="shared" si="24"/>
        <v>0</v>
      </c>
      <c r="K81" s="113">
        <f t="shared" si="25"/>
        <v>0</v>
      </c>
    </row>
    <row r="82" spans="2:12">
      <c r="B82" s="147" t="s">
        <v>392</v>
      </c>
      <c r="C82" s="113">
        <f>'Participaciones 2018'!K8</f>
        <v>0</v>
      </c>
      <c r="D82" s="113">
        <v>0</v>
      </c>
      <c r="E82" s="113">
        <f t="shared" si="26"/>
        <v>0</v>
      </c>
      <c r="H82" s="113">
        <v>82150.45</v>
      </c>
      <c r="I82" s="113">
        <f t="shared" si="23"/>
        <v>-82150.45</v>
      </c>
      <c r="J82" s="113">
        <f t="shared" si="24"/>
        <v>-41075.224999999999</v>
      </c>
      <c r="K82" s="113">
        <f t="shared" si="25"/>
        <v>-41075.224999999999</v>
      </c>
    </row>
    <row r="83" spans="2:12">
      <c r="B83" s="147" t="s">
        <v>21</v>
      </c>
      <c r="C83" s="113">
        <f>'Participaciones 2018'!K11-C84</f>
        <v>-981648.99</v>
      </c>
      <c r="D83" s="113">
        <f>'ESF - ERI'!W55</f>
        <v>-488265</v>
      </c>
      <c r="E83" s="113">
        <f t="shared" si="26"/>
        <v>-493383.99</v>
      </c>
      <c r="H83" s="113">
        <f>129138.35-489726.7199375</f>
        <v>-360588.36993749999</v>
      </c>
      <c r="I83" s="113">
        <f t="shared" si="23"/>
        <v>-127676.63006250001</v>
      </c>
      <c r="J83" s="113">
        <f t="shared" si="24"/>
        <v>-63838.315031250007</v>
      </c>
      <c r="K83" s="113">
        <f t="shared" si="25"/>
        <v>-63838.315031250007</v>
      </c>
    </row>
    <row r="84" spans="2:12">
      <c r="B84" s="147" t="s">
        <v>43</v>
      </c>
      <c r="C84" s="166">
        <f>'Planilla Final 2018'!F72</f>
        <v>-159381</v>
      </c>
      <c r="D84" s="166">
        <f>'ESF - ERI'!W56</f>
        <v>-493384</v>
      </c>
      <c r="E84" s="166">
        <f t="shared" si="26"/>
        <v>334003</v>
      </c>
      <c r="F84" s="166"/>
      <c r="G84" s="166"/>
      <c r="H84" s="166">
        <v>-209826.66</v>
      </c>
      <c r="I84" s="166">
        <f t="shared" si="23"/>
        <v>-283557.33999999997</v>
      </c>
      <c r="J84" s="113">
        <f t="shared" si="24"/>
        <v>-141778.66999999998</v>
      </c>
      <c r="K84" s="113">
        <f t="shared" si="25"/>
        <v>-141778.66999999998</v>
      </c>
      <c r="L84" s="167"/>
    </row>
    <row r="86" spans="2:12" ht="15">
      <c r="B86" s="163" t="s">
        <v>241</v>
      </c>
      <c r="C86" s="162">
        <f>SUM(C77:C85)</f>
        <v>-1090514.99</v>
      </c>
      <c r="D86" s="162">
        <f>SUM(D77:D85)</f>
        <v>-931134</v>
      </c>
      <c r="E86" s="162">
        <f t="shared" ref="E86:E87" si="27">C86-D86</f>
        <v>-159380.99</v>
      </c>
      <c r="F86" s="162"/>
      <c r="G86" s="162"/>
      <c r="H86" s="162">
        <f>SUM(H77:H85)</f>
        <v>-437749.57993749995</v>
      </c>
      <c r="I86" s="162">
        <f>SUM(I77:I84)</f>
        <v>-493384.42006249999</v>
      </c>
      <c r="J86" s="162"/>
      <c r="K86" s="162"/>
      <c r="L86" s="162"/>
    </row>
    <row r="87" spans="2:12" ht="15">
      <c r="B87" s="147" t="s">
        <v>246</v>
      </c>
      <c r="C87" s="177">
        <f>-C78</f>
        <v>-49015</v>
      </c>
      <c r="D87" s="177">
        <f>-D78</f>
        <v>-49015</v>
      </c>
      <c r="E87" s="177">
        <f t="shared" si="27"/>
        <v>0</v>
      </c>
      <c r="F87" s="177"/>
      <c r="G87" s="177"/>
      <c r="H87" s="177">
        <f>-H78</f>
        <v>-49015</v>
      </c>
      <c r="J87" s="162"/>
      <c r="K87" s="162"/>
      <c r="L87" s="162"/>
    </row>
    <row r="88" spans="2:12" ht="15">
      <c r="C88" s="749"/>
      <c r="D88" s="749"/>
      <c r="E88" s="749"/>
      <c r="F88" s="749"/>
      <c r="G88" s="749"/>
      <c r="H88" s="749"/>
      <c r="J88" s="162"/>
      <c r="K88" s="162"/>
      <c r="L88" s="162"/>
    </row>
    <row r="89" spans="2:12" ht="15">
      <c r="B89" s="163" t="s">
        <v>247</v>
      </c>
      <c r="C89" s="162">
        <f>SUM(C85:C87)</f>
        <v>-1139529.99</v>
      </c>
      <c r="D89" s="162">
        <f>SUM(D85:D87)</f>
        <v>-980149</v>
      </c>
      <c r="E89" s="162">
        <f>SUM(E79:E86)</f>
        <v>-318761.98</v>
      </c>
      <c r="F89" s="162"/>
      <c r="G89" s="162"/>
      <c r="H89" s="162">
        <f>SUM(H85:H87)</f>
        <v>-486764.57993749995</v>
      </c>
      <c r="I89" s="113">
        <f t="shared" ref="I89:I90" si="28">+D89-H89</f>
        <v>-493384.42006250005</v>
      </c>
      <c r="J89" s="162"/>
      <c r="K89" s="162"/>
      <c r="L89" s="162"/>
    </row>
    <row r="90" spans="2:12" ht="15">
      <c r="B90" s="168" t="s">
        <v>589</v>
      </c>
      <c r="C90" s="162">
        <f>+(C89)*$F$76</f>
        <v>0</v>
      </c>
      <c r="D90" s="162">
        <f>+(D89)*$J$76</f>
        <v>-490074.5</v>
      </c>
      <c r="E90" s="162">
        <f>C90-D90</f>
        <v>490074.5</v>
      </c>
      <c r="F90" s="162"/>
      <c r="G90" s="162"/>
      <c r="H90" s="162">
        <f>+(H89)*$J$76</f>
        <v>-243382.28996874997</v>
      </c>
      <c r="I90" s="162">
        <f t="shared" si="28"/>
        <v>-246692.21003125003</v>
      </c>
      <c r="J90" s="162"/>
      <c r="K90" s="162"/>
      <c r="L90" s="162"/>
    </row>
    <row r="91" spans="2:12" ht="15">
      <c r="B91" s="168" t="s">
        <v>242</v>
      </c>
      <c r="C91" s="162">
        <f>+C89*$G$76</f>
        <v>0</v>
      </c>
      <c r="D91" s="162">
        <f>+D89*$K$76</f>
        <v>-490074.5</v>
      </c>
      <c r="E91" s="162">
        <f t="shared" ref="E91:E93" si="29">C91-D91</f>
        <v>490074.5</v>
      </c>
      <c r="F91" s="162"/>
      <c r="G91" s="162"/>
      <c r="H91" s="162">
        <f>+H89*$K$76</f>
        <v>-243382.28996874997</v>
      </c>
      <c r="I91" s="162">
        <f>+D91-H91</f>
        <v>-246692.21003125003</v>
      </c>
    </row>
    <row r="92" spans="2:12" ht="15">
      <c r="B92" s="168" t="s">
        <v>15</v>
      </c>
      <c r="C92" s="162">
        <f>SUM(C90:C91)</f>
        <v>0</v>
      </c>
      <c r="D92" s="162">
        <f>SUM(D90:D91)</f>
        <v>-980149</v>
      </c>
      <c r="E92" s="162">
        <f t="shared" si="29"/>
        <v>980149</v>
      </c>
      <c r="F92" s="162"/>
      <c r="G92" s="162"/>
      <c r="H92" s="162">
        <f>SUM(H90:H91)</f>
        <v>-486764.57993749995</v>
      </c>
      <c r="I92" s="162">
        <f t="shared" ref="I92" si="30">+D92-H92</f>
        <v>-493384.42006250005</v>
      </c>
    </row>
    <row r="93" spans="2:12" ht="15">
      <c r="B93" s="168"/>
      <c r="C93" s="113">
        <f>C89-C92</f>
        <v>-1139529.99</v>
      </c>
      <c r="D93" s="113">
        <f>D89-D92</f>
        <v>0</v>
      </c>
      <c r="E93" s="162">
        <f t="shared" si="29"/>
        <v>-1139529.99</v>
      </c>
      <c r="H93" s="113">
        <f>H89-H92</f>
        <v>0</v>
      </c>
      <c r="I93" s="162"/>
    </row>
    <row r="94" spans="2:12" ht="15">
      <c r="B94" s="168"/>
      <c r="C94" s="113"/>
      <c r="E94" s="162"/>
      <c r="I94" s="162"/>
    </row>
    <row r="95" spans="2:12" ht="15">
      <c r="F95" s="162" t="s">
        <v>235</v>
      </c>
      <c r="G95" s="162" t="s">
        <v>236</v>
      </c>
      <c r="J95" s="162" t="s">
        <v>235</v>
      </c>
      <c r="K95" s="162" t="s">
        <v>236</v>
      </c>
    </row>
    <row r="96" spans="2:12" ht="15">
      <c r="B96" s="163" t="s">
        <v>251</v>
      </c>
      <c r="C96" s="164" t="s">
        <v>643</v>
      </c>
      <c r="D96" s="164" t="s">
        <v>397</v>
      </c>
      <c r="E96" s="164" t="s">
        <v>239</v>
      </c>
      <c r="F96" s="164"/>
      <c r="G96" s="164"/>
      <c r="H96" s="164" t="s">
        <v>238</v>
      </c>
      <c r="I96" s="164" t="s">
        <v>239</v>
      </c>
      <c r="J96" s="595">
        <f>+R98</f>
        <v>0.75</v>
      </c>
      <c r="K96" s="165">
        <f>+R99</f>
        <v>0.25</v>
      </c>
      <c r="L96" s="164"/>
    </row>
    <row r="97" spans="2:22" ht="15">
      <c r="B97" s="147" t="s">
        <v>8</v>
      </c>
      <c r="C97" s="113">
        <f>'Participaciones 2018'!M3</f>
        <v>1000</v>
      </c>
      <c r="D97" s="113">
        <v>1000</v>
      </c>
      <c r="E97" s="113">
        <f>C97-D97</f>
        <v>0</v>
      </c>
      <c r="H97" s="113">
        <v>1000</v>
      </c>
      <c r="I97" s="113">
        <f>+D97-H97</f>
        <v>0</v>
      </c>
      <c r="J97" s="113">
        <f>+I97*$J$96</f>
        <v>0</v>
      </c>
      <c r="K97" s="113">
        <f>+I97*$K$96</f>
        <v>0</v>
      </c>
      <c r="Q97" s="987">
        <v>2017</v>
      </c>
      <c r="R97" s="987"/>
      <c r="S97" s="987">
        <v>2016</v>
      </c>
      <c r="T97" s="987"/>
      <c r="U97" s="987" t="s">
        <v>239</v>
      </c>
      <c r="V97" s="987"/>
    </row>
    <row r="98" spans="2:22" ht="15">
      <c r="B98" s="147" t="s">
        <v>88</v>
      </c>
      <c r="C98" s="113">
        <f>'Participaciones 2018'!M4</f>
        <v>330450</v>
      </c>
      <c r="D98" s="113">
        <v>330450</v>
      </c>
      <c r="E98" s="113">
        <f>C98-D98</f>
        <v>0</v>
      </c>
      <c r="H98" s="113">
        <v>330450</v>
      </c>
      <c r="I98" s="113">
        <f t="shared" ref="I98:I104" si="31">+D98-H98</f>
        <v>0</v>
      </c>
      <c r="J98" s="113">
        <f t="shared" ref="J98:J104" si="32">+I98*$J$96</f>
        <v>0</v>
      </c>
      <c r="K98" s="113">
        <f t="shared" ref="K98:K104" si="33">+I98*$K$96</f>
        <v>0</v>
      </c>
      <c r="N98" s="113" t="s">
        <v>50</v>
      </c>
      <c r="Q98" s="104">
        <v>750</v>
      </c>
      <c r="R98" s="118">
        <f>+Q98/$Q$100</f>
        <v>0.75</v>
      </c>
      <c r="S98" s="104">
        <v>750</v>
      </c>
      <c r="T98" s="118">
        <f>+S98/$S$100</f>
        <v>0.75</v>
      </c>
      <c r="U98" s="104">
        <f>+Q98-S98</f>
        <v>0</v>
      </c>
      <c r="V98" s="118">
        <f>+R98-T98</f>
        <v>0</v>
      </c>
    </row>
    <row r="99" spans="2:22" ht="15">
      <c r="B99" s="147" t="s">
        <v>17</v>
      </c>
      <c r="C99" s="113">
        <f>'Participaciones 2018'!M5</f>
        <v>0</v>
      </c>
      <c r="D99" s="113">
        <v>109633</v>
      </c>
      <c r="E99" s="113">
        <f t="shared" ref="E99:E104" si="34">C99-D99</f>
        <v>-109633</v>
      </c>
      <c r="H99" s="113">
        <v>109633.48</v>
      </c>
      <c r="I99" s="113">
        <f t="shared" si="31"/>
        <v>-0.47999999999592546</v>
      </c>
      <c r="J99" s="113">
        <f t="shared" si="32"/>
        <v>-0.3599999999969441</v>
      </c>
      <c r="K99" s="113">
        <f t="shared" si="33"/>
        <v>-0.11999999999898137</v>
      </c>
      <c r="N99" s="113" t="s">
        <v>52</v>
      </c>
      <c r="Q99" s="121">
        <v>250</v>
      </c>
      <c r="R99" s="118">
        <f>+Q99/$Q$100</f>
        <v>0.25</v>
      </c>
      <c r="S99" s="121">
        <v>250</v>
      </c>
      <c r="T99" s="118">
        <f>+S99/$S$100</f>
        <v>0.25</v>
      </c>
      <c r="U99" s="104">
        <f>+Q99-S99</f>
        <v>0</v>
      </c>
      <c r="V99" s="118">
        <f>+R99-T99</f>
        <v>0</v>
      </c>
    </row>
    <row r="100" spans="2:22">
      <c r="B100" s="147" t="s">
        <v>19</v>
      </c>
      <c r="C100" s="113">
        <f>'Participaciones 2018'!M6</f>
        <v>0</v>
      </c>
      <c r="D100" s="113">
        <v>0</v>
      </c>
      <c r="E100" s="113">
        <f t="shared" si="34"/>
        <v>0</v>
      </c>
      <c r="H100" s="113">
        <v>0</v>
      </c>
      <c r="I100" s="113">
        <f t="shared" si="31"/>
        <v>0</v>
      </c>
      <c r="J100" s="113">
        <f t="shared" si="32"/>
        <v>0</v>
      </c>
      <c r="K100" s="113">
        <f t="shared" si="33"/>
        <v>0</v>
      </c>
      <c r="Q100" s="104">
        <f>SUM(Q98:Q99)</f>
        <v>1000</v>
      </c>
      <c r="R100" s="105"/>
      <c r="S100" s="104">
        <f>SUM(S98:S99)</f>
        <v>1000</v>
      </c>
      <c r="T100" s="105"/>
      <c r="U100" s="104">
        <f>SUM(U98:U99)</f>
        <v>0</v>
      </c>
      <c r="V100" s="105"/>
    </row>
    <row r="101" spans="2:22">
      <c r="B101" s="147" t="s">
        <v>18</v>
      </c>
      <c r="C101" s="113">
        <f>'Participaciones 2018'!M7</f>
        <v>109633</v>
      </c>
      <c r="D101" s="113">
        <v>0</v>
      </c>
      <c r="E101" s="113">
        <f t="shared" si="34"/>
        <v>109633</v>
      </c>
      <c r="H101" s="113">
        <v>0</v>
      </c>
      <c r="I101" s="113">
        <f t="shared" si="31"/>
        <v>0</v>
      </c>
      <c r="J101" s="113">
        <f t="shared" si="32"/>
        <v>0</v>
      </c>
      <c r="K101" s="113">
        <f t="shared" si="33"/>
        <v>0</v>
      </c>
    </row>
    <row r="102" spans="2:22">
      <c r="B102" s="147" t="s">
        <v>392</v>
      </c>
      <c r="C102" s="113">
        <f>'Participaciones 2018'!M8</f>
        <v>0</v>
      </c>
      <c r="D102" s="113">
        <v>0</v>
      </c>
      <c r="E102" s="113">
        <f t="shared" si="34"/>
        <v>0</v>
      </c>
      <c r="H102" s="113">
        <v>0</v>
      </c>
      <c r="I102" s="113">
        <f t="shared" si="31"/>
        <v>0</v>
      </c>
      <c r="J102" s="113">
        <f t="shared" si="32"/>
        <v>0</v>
      </c>
      <c r="K102" s="113">
        <f t="shared" si="33"/>
        <v>0</v>
      </c>
    </row>
    <row r="103" spans="2:22">
      <c r="B103" s="147" t="s">
        <v>21</v>
      </c>
      <c r="C103" s="309">
        <f>'Participaciones 2018'!M11</f>
        <v>-80844</v>
      </c>
      <c r="D103" s="113">
        <f>'ESF - ERI'!X55</f>
        <v>-53896</v>
      </c>
      <c r="E103" s="113">
        <f t="shared" si="34"/>
        <v>-26948</v>
      </c>
      <c r="H103" s="113">
        <f>-26948.34-13474.17</f>
        <v>-40422.51</v>
      </c>
      <c r="I103" s="113">
        <f t="shared" si="31"/>
        <v>-13473.489999999998</v>
      </c>
      <c r="J103" s="113">
        <f t="shared" si="32"/>
        <v>-10105.117499999998</v>
      </c>
      <c r="K103" s="113">
        <f t="shared" si="33"/>
        <v>-3368.3724999999995</v>
      </c>
    </row>
    <row r="104" spans="2:22">
      <c r="B104" s="147" t="s">
        <v>43</v>
      </c>
      <c r="C104" s="166">
        <f>'Planilla Final 2018'!G72</f>
        <v>0</v>
      </c>
      <c r="D104" s="166">
        <f>'ESF - ERI'!X56</f>
        <v>-13474</v>
      </c>
      <c r="E104" s="166">
        <f t="shared" si="34"/>
        <v>13474</v>
      </c>
      <c r="F104" s="166"/>
      <c r="G104" s="166"/>
      <c r="H104" s="166">
        <v>-13474</v>
      </c>
      <c r="I104" s="166">
        <f t="shared" si="31"/>
        <v>0</v>
      </c>
      <c r="J104" s="113">
        <f t="shared" si="32"/>
        <v>0</v>
      </c>
      <c r="K104" s="113">
        <f t="shared" si="33"/>
        <v>0</v>
      </c>
      <c r="L104" s="167"/>
    </row>
    <row r="106" spans="2:22" ht="15">
      <c r="B106" s="163" t="s">
        <v>241</v>
      </c>
      <c r="C106" s="162">
        <f>SUM(C97:C105)</f>
        <v>360239</v>
      </c>
      <c r="D106" s="162">
        <f>SUM(D97:D105)</f>
        <v>373713</v>
      </c>
      <c r="E106" s="162">
        <f t="shared" ref="E106:E107" si="35">C106-D106</f>
        <v>-13474</v>
      </c>
      <c r="F106" s="162"/>
      <c r="G106" s="162"/>
      <c r="H106" s="162">
        <f>SUM(H97:H105)</f>
        <v>387186.97</v>
      </c>
      <c r="I106" s="162">
        <f>SUM(I97:I104)</f>
        <v>-13473.969999999994</v>
      </c>
      <c r="J106" s="162"/>
      <c r="K106" s="162"/>
      <c r="L106" s="162"/>
    </row>
    <row r="107" spans="2:22" ht="15">
      <c r="B107" s="147" t="s">
        <v>246</v>
      </c>
      <c r="C107" s="177">
        <f>-C98</f>
        <v>-330450</v>
      </c>
      <c r="D107" s="177">
        <f>-D98</f>
        <v>-330450</v>
      </c>
      <c r="E107" s="177">
        <f t="shared" si="35"/>
        <v>0</v>
      </c>
      <c r="F107" s="177"/>
      <c r="G107" s="177"/>
      <c r="H107" s="177">
        <f>-H98</f>
        <v>-330450</v>
      </c>
      <c r="J107" s="162"/>
      <c r="K107" s="162"/>
      <c r="L107" s="162"/>
    </row>
    <row r="108" spans="2:22" ht="15">
      <c r="C108" s="749"/>
      <c r="D108" s="749"/>
      <c r="E108" s="749"/>
      <c r="F108" s="749"/>
      <c r="G108" s="749"/>
      <c r="H108" s="749"/>
      <c r="J108" s="162"/>
      <c r="K108" s="162"/>
      <c r="L108" s="162"/>
    </row>
    <row r="109" spans="2:22" ht="15">
      <c r="B109" s="163" t="s">
        <v>247</v>
      </c>
      <c r="C109" s="162">
        <f>SUM(C105:C107)</f>
        <v>29789</v>
      </c>
      <c r="D109" s="162">
        <f>SUM(D105:D107)</f>
        <v>43263</v>
      </c>
      <c r="E109" s="162">
        <f>SUM(E98:E105)</f>
        <v>-13474</v>
      </c>
      <c r="F109" s="162"/>
      <c r="G109" s="162"/>
      <c r="H109" s="162">
        <f>SUM(H105:H107)</f>
        <v>56736.969999999972</v>
      </c>
      <c r="I109" s="113">
        <f t="shared" ref="I109:I110" si="36">+D109-H109</f>
        <v>-13473.969999999972</v>
      </c>
      <c r="J109" s="162"/>
      <c r="K109" s="162"/>
      <c r="L109" s="162"/>
    </row>
    <row r="110" spans="2:22" ht="15">
      <c r="B110" s="168" t="s">
        <v>589</v>
      </c>
      <c r="C110" s="162">
        <f>+(C109)*$J$96</f>
        <v>22341.75</v>
      </c>
      <c r="D110" s="162">
        <f>+(D109)*$J$96</f>
        <v>32447.25</v>
      </c>
      <c r="E110" s="162">
        <f>C110-D110</f>
        <v>-10105.5</v>
      </c>
      <c r="F110" s="162"/>
      <c r="G110" s="162"/>
      <c r="H110" s="162">
        <f>+(H109)*$J$96</f>
        <v>42552.727499999979</v>
      </c>
      <c r="I110" s="162">
        <f t="shared" si="36"/>
        <v>-10105.477499999979</v>
      </c>
      <c r="J110" s="162"/>
      <c r="K110" s="162"/>
      <c r="L110" s="162"/>
    </row>
    <row r="111" spans="2:22" ht="15">
      <c r="B111" s="168" t="s">
        <v>242</v>
      </c>
      <c r="C111" s="162">
        <f>+C109*$K$96</f>
        <v>7447.25</v>
      </c>
      <c r="D111" s="162">
        <f>+D109*$K$96</f>
        <v>10815.75</v>
      </c>
      <c r="E111" s="162">
        <f t="shared" ref="E111:E113" si="37">C111-D111</f>
        <v>-3368.5</v>
      </c>
      <c r="F111" s="162"/>
      <c r="G111" s="162"/>
      <c r="H111" s="162">
        <f>+H109*$K$96</f>
        <v>14184.242499999993</v>
      </c>
      <c r="I111" s="162">
        <f>+D111-H111</f>
        <v>-3368.492499999993</v>
      </c>
    </row>
    <row r="112" spans="2:22" ht="15">
      <c r="B112" s="168" t="s">
        <v>15</v>
      </c>
      <c r="C112" s="162">
        <f>SUM(C110:C111)</f>
        <v>29789</v>
      </c>
      <c r="D112" s="162">
        <f>SUM(D110:D111)</f>
        <v>43263</v>
      </c>
      <c r="E112" s="162">
        <f t="shared" si="37"/>
        <v>-13474</v>
      </c>
      <c r="F112" s="162"/>
      <c r="G112" s="162"/>
      <c r="H112" s="162">
        <f>SUM(H110:H111)</f>
        <v>56736.969999999972</v>
      </c>
      <c r="I112" s="162">
        <f t="shared" ref="I112" si="38">+D112-H112</f>
        <v>-13473.969999999972</v>
      </c>
    </row>
    <row r="113" spans="2:22" ht="15">
      <c r="B113" s="168"/>
      <c r="C113" s="113">
        <f>C109-C112</f>
        <v>0</v>
      </c>
      <c r="D113" s="113">
        <f>D109-D112</f>
        <v>0</v>
      </c>
      <c r="E113" s="162">
        <f t="shared" si="37"/>
        <v>0</v>
      </c>
      <c r="H113" s="113">
        <f>H109-H112</f>
        <v>0</v>
      </c>
    </row>
    <row r="114" spans="2:22" ht="15">
      <c r="B114" s="168"/>
      <c r="C114" s="168"/>
    </row>
    <row r="115" spans="2:22" ht="15">
      <c r="F115" s="162" t="s">
        <v>235</v>
      </c>
      <c r="G115" s="162" t="s">
        <v>236</v>
      </c>
      <c r="J115" s="162" t="s">
        <v>235</v>
      </c>
      <c r="K115" s="162" t="s">
        <v>236</v>
      </c>
    </row>
    <row r="116" spans="2:22" ht="15">
      <c r="B116" s="163" t="s">
        <v>253</v>
      </c>
      <c r="C116" s="164" t="s">
        <v>643</v>
      </c>
      <c r="D116" s="164" t="s">
        <v>397</v>
      </c>
      <c r="E116" s="164" t="s">
        <v>239</v>
      </c>
      <c r="F116" s="164"/>
      <c r="G116" s="164"/>
      <c r="H116" s="164" t="s">
        <v>238</v>
      </c>
      <c r="I116" s="164" t="s">
        <v>239</v>
      </c>
      <c r="J116" s="595">
        <f>+R118</f>
        <v>0.92800000000000005</v>
      </c>
      <c r="K116" s="165">
        <f>+R119</f>
        <v>7.1999999999999995E-2</v>
      </c>
      <c r="L116" s="164"/>
    </row>
    <row r="117" spans="2:22" ht="15">
      <c r="B117" s="147" t="s">
        <v>8</v>
      </c>
      <c r="C117" s="113">
        <v>5000</v>
      </c>
      <c r="D117" s="113">
        <v>5000</v>
      </c>
      <c r="E117" s="113">
        <f>C117-D117</f>
        <v>0</v>
      </c>
      <c r="H117" s="113">
        <v>5000</v>
      </c>
      <c r="I117" s="113">
        <f>+D117-H117</f>
        <v>0</v>
      </c>
      <c r="J117" s="113">
        <f>+I117*$J$116</f>
        <v>0</v>
      </c>
      <c r="K117" s="113">
        <f>+I117*$K$116</f>
        <v>0</v>
      </c>
      <c r="Q117" s="987">
        <v>2017</v>
      </c>
      <c r="R117" s="987"/>
      <c r="S117" s="987">
        <v>2016</v>
      </c>
      <c r="T117" s="987"/>
      <c r="U117" s="987" t="s">
        <v>239</v>
      </c>
      <c r="V117" s="987"/>
    </row>
    <row r="118" spans="2:22" ht="15">
      <c r="B118" s="147" t="s">
        <v>88</v>
      </c>
      <c r="C118" s="113">
        <v>0</v>
      </c>
      <c r="D118" s="113">
        <v>0</v>
      </c>
      <c r="E118" s="113">
        <f>C118-D118</f>
        <v>0</v>
      </c>
      <c r="H118" s="113">
        <v>0</v>
      </c>
      <c r="I118" s="113">
        <f t="shared" ref="I118:I124" si="39">+D118-H118</f>
        <v>0</v>
      </c>
      <c r="J118" s="113">
        <f t="shared" ref="J118:J124" si="40">+I118*$J$116</f>
        <v>0</v>
      </c>
      <c r="K118" s="113">
        <f t="shared" ref="K118:K124" si="41">+I118*$K$116</f>
        <v>0</v>
      </c>
      <c r="N118" s="113" t="s">
        <v>50</v>
      </c>
      <c r="Q118" s="104">
        <v>4640</v>
      </c>
      <c r="R118" s="118">
        <f>+Q118/$Q$120</f>
        <v>0.92800000000000005</v>
      </c>
      <c r="S118" s="104">
        <v>4640</v>
      </c>
      <c r="T118" s="118">
        <f>+S118/$S$120</f>
        <v>0.92800000000000005</v>
      </c>
      <c r="U118" s="104">
        <f>+Q118-S118</f>
        <v>0</v>
      </c>
      <c r="V118" s="118">
        <f>+R118-T118</f>
        <v>0</v>
      </c>
    </row>
    <row r="119" spans="2:22" ht="15">
      <c r="B119" s="147" t="s">
        <v>17</v>
      </c>
      <c r="C119" s="113">
        <v>0</v>
      </c>
      <c r="D119" s="113">
        <v>0</v>
      </c>
      <c r="E119" s="113">
        <f t="shared" ref="E119:E124" si="42">C119-D119</f>
        <v>0</v>
      </c>
      <c r="H119" s="113">
        <v>0</v>
      </c>
      <c r="I119" s="113">
        <f t="shared" si="39"/>
        <v>0</v>
      </c>
      <c r="J119" s="113">
        <f t="shared" si="40"/>
        <v>0</v>
      </c>
      <c r="K119" s="113">
        <f t="shared" si="41"/>
        <v>0</v>
      </c>
      <c r="N119" s="113" t="s">
        <v>52</v>
      </c>
      <c r="Q119" s="121">
        <v>360</v>
      </c>
      <c r="R119" s="118">
        <f>+Q119/$Q$120</f>
        <v>7.1999999999999995E-2</v>
      </c>
      <c r="S119" s="121">
        <v>360</v>
      </c>
      <c r="T119" s="118">
        <f>+S119/$S$120</f>
        <v>7.1999999999999995E-2</v>
      </c>
      <c r="U119" s="104">
        <f>+Q119-S119</f>
        <v>0</v>
      </c>
      <c r="V119" s="118">
        <f>+R119-T119</f>
        <v>0</v>
      </c>
    </row>
    <row r="120" spans="2:22">
      <c r="B120" s="147" t="s">
        <v>19</v>
      </c>
      <c r="C120" s="113">
        <v>0</v>
      </c>
      <c r="D120" s="113">
        <v>0</v>
      </c>
      <c r="E120" s="113">
        <f t="shared" si="42"/>
        <v>0</v>
      </c>
      <c r="H120" s="113">
        <v>0</v>
      </c>
      <c r="I120" s="113">
        <f t="shared" si="39"/>
        <v>0</v>
      </c>
      <c r="J120" s="113">
        <f t="shared" si="40"/>
        <v>0</v>
      </c>
      <c r="K120" s="113">
        <f t="shared" si="41"/>
        <v>0</v>
      </c>
      <c r="Q120" s="104">
        <f>SUM(Q118:Q119)</f>
        <v>5000</v>
      </c>
      <c r="R120" s="105"/>
      <c r="S120" s="104">
        <f>SUM(S118:S119)</f>
        <v>5000</v>
      </c>
      <c r="T120" s="105"/>
      <c r="U120" s="104">
        <f>SUM(U118:U119)</f>
        <v>0</v>
      </c>
      <c r="V120" s="105"/>
    </row>
    <row r="121" spans="2:22">
      <c r="B121" s="147" t="s">
        <v>18</v>
      </c>
      <c r="C121" s="113">
        <v>1226</v>
      </c>
      <c r="D121" s="113">
        <v>1226</v>
      </c>
      <c r="E121" s="113">
        <f t="shared" si="42"/>
        <v>0</v>
      </c>
      <c r="H121" s="113">
        <v>1226.1199999999999</v>
      </c>
      <c r="I121" s="113">
        <f t="shared" si="39"/>
        <v>-0.11999999999989086</v>
      </c>
      <c r="J121" s="113">
        <f t="shared" si="40"/>
        <v>-0.11135999999989872</v>
      </c>
      <c r="K121" s="113">
        <f t="shared" si="41"/>
        <v>-8.6399999999921418E-3</v>
      </c>
    </row>
    <row r="122" spans="2:22">
      <c r="B122" s="147" t="s">
        <v>392</v>
      </c>
      <c r="C122" s="113">
        <v>0</v>
      </c>
      <c r="D122" s="113">
        <v>0</v>
      </c>
      <c r="E122" s="113">
        <f t="shared" si="42"/>
        <v>0</v>
      </c>
      <c r="H122" s="113">
        <v>0</v>
      </c>
      <c r="I122" s="113">
        <f t="shared" si="39"/>
        <v>0</v>
      </c>
      <c r="J122" s="113">
        <f t="shared" si="40"/>
        <v>0</v>
      </c>
      <c r="K122" s="113">
        <f t="shared" si="41"/>
        <v>0</v>
      </c>
    </row>
    <row r="123" spans="2:22" ht="19.5">
      <c r="B123" s="147" t="s">
        <v>21</v>
      </c>
      <c r="C123" s="113">
        <v>1763</v>
      </c>
      <c r="D123" s="113">
        <v>1763</v>
      </c>
      <c r="E123" s="113">
        <f t="shared" si="42"/>
        <v>0</v>
      </c>
      <c r="H123" s="113">
        <v>1763</v>
      </c>
      <c r="I123" s="113">
        <f t="shared" si="39"/>
        <v>0</v>
      </c>
      <c r="J123" s="113">
        <f t="shared" si="40"/>
        <v>0</v>
      </c>
      <c r="K123" s="113">
        <f t="shared" si="41"/>
        <v>0</v>
      </c>
      <c r="M123" s="176" t="s">
        <v>254</v>
      </c>
    </row>
    <row r="124" spans="2:22">
      <c r="B124" s="147" t="s">
        <v>43</v>
      </c>
      <c r="C124" s="166">
        <v>0</v>
      </c>
      <c r="D124" s="166">
        <v>0</v>
      </c>
      <c r="E124" s="166">
        <f t="shared" si="42"/>
        <v>0</v>
      </c>
      <c r="F124" s="166"/>
      <c r="G124" s="166"/>
      <c r="H124" s="166">
        <v>0</v>
      </c>
      <c r="I124" s="166">
        <f t="shared" si="39"/>
        <v>0</v>
      </c>
      <c r="J124" s="113">
        <f t="shared" si="40"/>
        <v>0</v>
      </c>
      <c r="K124" s="113">
        <f t="shared" si="41"/>
        <v>0</v>
      </c>
      <c r="L124" s="167"/>
    </row>
    <row r="126" spans="2:22" ht="15">
      <c r="B126" s="163" t="s">
        <v>252</v>
      </c>
      <c r="C126" s="162">
        <f>SUM(C117:C125)</f>
        <v>7989</v>
      </c>
      <c r="D126" s="162">
        <f>SUM(D117:D125)</f>
        <v>7989</v>
      </c>
      <c r="E126" s="162">
        <f>SUM(E115:E122)</f>
        <v>0</v>
      </c>
      <c r="F126" s="162"/>
      <c r="G126" s="162"/>
      <c r="H126" s="162">
        <f>SUM(H117:H125)</f>
        <v>7989.12</v>
      </c>
      <c r="I126" s="162">
        <f>SUM(I117:I124)</f>
        <v>-0.11999999999989086</v>
      </c>
      <c r="J126" s="162"/>
      <c r="K126" s="162"/>
      <c r="L126" s="162"/>
    </row>
    <row r="127" spans="2:22" ht="15">
      <c r="B127" s="168" t="s">
        <v>589</v>
      </c>
      <c r="C127" s="162">
        <f>+(C126)*$F$116</f>
        <v>0</v>
      </c>
      <c r="D127" s="162">
        <f>+(D126)*$J$116</f>
        <v>7413.7920000000004</v>
      </c>
      <c r="E127" s="162">
        <f>C127-D127</f>
        <v>-7413.7920000000004</v>
      </c>
      <c r="F127" s="162"/>
      <c r="G127" s="162"/>
      <c r="H127" s="162">
        <f>+(H126)*$J$116</f>
        <v>7413.9033600000002</v>
      </c>
      <c r="I127" s="162">
        <f t="shared" ref="I127" si="43">+D127-H127</f>
        <v>-0.11135999999987689</v>
      </c>
      <c r="J127" s="162"/>
      <c r="K127" s="162"/>
      <c r="L127" s="162"/>
    </row>
    <row r="128" spans="2:22" ht="15">
      <c r="B128" s="168" t="s">
        <v>242</v>
      </c>
      <c r="C128" s="162">
        <f>+C126*$G$116</f>
        <v>0</v>
      </c>
      <c r="D128" s="162">
        <f>+D126*$K$116</f>
        <v>575.20799999999997</v>
      </c>
      <c r="E128" s="162">
        <f t="shared" ref="E128:E130" si="44">C128-D128</f>
        <v>-575.20799999999997</v>
      </c>
      <c r="F128" s="162"/>
      <c r="G128" s="162"/>
      <c r="H128" s="162">
        <f>+H126*$K$116</f>
        <v>575.21663999999998</v>
      </c>
      <c r="I128" s="162">
        <f>+D128-H128</f>
        <v>-8.6400000000139698E-3</v>
      </c>
      <c r="J128" s="162"/>
      <c r="K128" s="162"/>
      <c r="L128" s="162"/>
    </row>
    <row r="129" spans="2:22" ht="15">
      <c r="B129" s="168" t="s">
        <v>15</v>
      </c>
      <c r="C129" s="162">
        <f>SUM(C127:C128)</f>
        <v>0</v>
      </c>
      <c r="D129" s="162">
        <f>SUM(D127:D128)</f>
        <v>7989</v>
      </c>
      <c r="E129" s="162">
        <f t="shared" si="44"/>
        <v>-7989</v>
      </c>
      <c r="F129" s="162"/>
      <c r="G129" s="162"/>
      <c r="H129" s="162">
        <f>SUM(H127:H128)</f>
        <v>7989.12</v>
      </c>
      <c r="I129" s="162">
        <f t="shared" ref="I129" si="45">+D129-H129</f>
        <v>-0.11999999999989086</v>
      </c>
    </row>
    <row r="130" spans="2:22" ht="15">
      <c r="B130" s="168"/>
      <c r="C130" s="113">
        <f>C126-C129</f>
        <v>7989</v>
      </c>
      <c r="D130" s="113">
        <f>D126-D129</f>
        <v>0</v>
      </c>
      <c r="E130" s="162">
        <f t="shared" si="44"/>
        <v>7989</v>
      </c>
      <c r="H130" s="113">
        <f>H126-H129</f>
        <v>0</v>
      </c>
    </row>
    <row r="132" spans="2:22" ht="15">
      <c r="F132" s="162" t="s">
        <v>235</v>
      </c>
      <c r="G132" s="162" t="s">
        <v>236</v>
      </c>
      <c r="J132" s="162" t="s">
        <v>235</v>
      </c>
      <c r="K132" s="162" t="s">
        <v>236</v>
      </c>
    </row>
    <row r="133" spans="2:22" ht="15">
      <c r="B133" s="163" t="s">
        <v>255</v>
      </c>
      <c r="C133" s="164" t="s">
        <v>643</v>
      </c>
      <c r="D133" s="164" t="s">
        <v>397</v>
      </c>
      <c r="E133" s="164" t="s">
        <v>239</v>
      </c>
      <c r="F133" s="164"/>
      <c r="G133" s="164"/>
      <c r="H133" s="164" t="s">
        <v>238</v>
      </c>
      <c r="I133" s="164" t="s">
        <v>239</v>
      </c>
      <c r="J133" s="595">
        <f>+R135</f>
        <v>0.6</v>
      </c>
      <c r="K133" s="165">
        <f>+R136</f>
        <v>0.4</v>
      </c>
      <c r="L133" s="164"/>
    </row>
    <row r="134" spans="2:22" ht="15">
      <c r="B134" s="147" t="s">
        <v>8</v>
      </c>
      <c r="C134" s="113">
        <f>'Participaciones 2018'!Q3</f>
        <v>10000</v>
      </c>
      <c r="D134" s="113">
        <v>10000</v>
      </c>
      <c r="E134" s="113">
        <f>C134-D134</f>
        <v>0</v>
      </c>
      <c r="H134" s="113">
        <v>10000</v>
      </c>
      <c r="I134" s="113">
        <f>+D134-H134</f>
        <v>0</v>
      </c>
      <c r="J134" s="113">
        <f>+I134*$J$133</f>
        <v>0</v>
      </c>
      <c r="K134" s="113">
        <f>+I134*$K$133</f>
        <v>0</v>
      </c>
      <c r="Q134" s="987">
        <v>2017</v>
      </c>
      <c r="R134" s="987"/>
      <c r="S134" s="987">
        <v>2016</v>
      </c>
      <c r="T134" s="987"/>
      <c r="U134" s="987" t="s">
        <v>239</v>
      </c>
      <c r="V134" s="987"/>
    </row>
    <row r="135" spans="2:22" ht="15">
      <c r="B135" s="147" t="s">
        <v>88</v>
      </c>
      <c r="C135" s="113">
        <f>'Participaciones 2018'!Q4</f>
        <v>0</v>
      </c>
      <c r="D135" s="113">
        <v>0</v>
      </c>
      <c r="E135" s="113">
        <f>C135-D135</f>
        <v>0</v>
      </c>
      <c r="H135" s="113">
        <v>0</v>
      </c>
      <c r="I135" s="113">
        <f t="shared" ref="I135:I141" si="46">+D135-H135</f>
        <v>0</v>
      </c>
      <c r="J135" s="113">
        <f t="shared" ref="J135:J141" si="47">+I135*$J$133</f>
        <v>0</v>
      </c>
      <c r="K135" s="113">
        <f t="shared" ref="K135:K141" si="48">+I135*$K$133</f>
        <v>0</v>
      </c>
      <c r="N135" s="113" t="s">
        <v>50</v>
      </c>
      <c r="Q135" s="104">
        <v>6000</v>
      </c>
      <c r="R135" s="118">
        <f>+Q135/$Q$137</f>
        <v>0.6</v>
      </c>
      <c r="S135" s="104">
        <v>6000</v>
      </c>
      <c r="T135" s="118">
        <f>+S135/$S$137</f>
        <v>0.6</v>
      </c>
      <c r="U135" s="104">
        <f>+Q135-S135</f>
        <v>0</v>
      </c>
      <c r="V135" s="118">
        <f>+R135-T135</f>
        <v>0</v>
      </c>
    </row>
    <row r="136" spans="2:22" ht="15">
      <c r="B136" s="147" t="s">
        <v>17</v>
      </c>
      <c r="C136" s="113">
        <f>'Participaciones 2018'!Q5</f>
        <v>0</v>
      </c>
      <c r="D136" s="113">
        <v>0</v>
      </c>
      <c r="E136" s="113">
        <f t="shared" ref="E136:E141" si="49">C136-D136</f>
        <v>0</v>
      </c>
      <c r="H136" s="113">
        <v>0</v>
      </c>
      <c r="I136" s="113">
        <f t="shared" si="46"/>
        <v>0</v>
      </c>
      <c r="J136" s="113">
        <f t="shared" si="47"/>
        <v>0</v>
      </c>
      <c r="K136" s="113">
        <f t="shared" si="48"/>
        <v>0</v>
      </c>
      <c r="N136" s="113" t="s">
        <v>52</v>
      </c>
      <c r="Q136" s="121">
        <v>4000</v>
      </c>
      <c r="R136" s="118">
        <f>+Q136/$Q$137</f>
        <v>0.4</v>
      </c>
      <c r="S136" s="121">
        <v>4000</v>
      </c>
      <c r="T136" s="118">
        <f>+S136/$S$137</f>
        <v>0.4</v>
      </c>
      <c r="U136" s="104">
        <f>+Q136-S136</f>
        <v>0</v>
      </c>
      <c r="V136" s="118">
        <f>+R136-T136</f>
        <v>0</v>
      </c>
    </row>
    <row r="137" spans="2:22">
      <c r="B137" s="147" t="s">
        <v>19</v>
      </c>
      <c r="C137" s="113">
        <f>'Participaciones 2018'!Q6</f>
        <v>0</v>
      </c>
      <c r="D137" s="113">
        <v>0</v>
      </c>
      <c r="E137" s="113">
        <f t="shared" si="49"/>
        <v>0</v>
      </c>
      <c r="H137" s="113">
        <v>0</v>
      </c>
      <c r="I137" s="113">
        <f t="shared" si="46"/>
        <v>0</v>
      </c>
      <c r="J137" s="113">
        <f t="shared" si="47"/>
        <v>0</v>
      </c>
      <c r="K137" s="113">
        <f t="shared" si="48"/>
        <v>0</v>
      </c>
      <c r="Q137" s="104">
        <f>SUM(Q135:Q136)</f>
        <v>10000</v>
      </c>
      <c r="R137" s="105"/>
      <c r="S137" s="104">
        <f>SUM(S135:S136)</f>
        <v>10000</v>
      </c>
      <c r="T137" s="105"/>
      <c r="U137" s="104">
        <f>SUM(U135:U136)</f>
        <v>0</v>
      </c>
      <c r="V137" s="105"/>
    </row>
    <row r="138" spans="2:22">
      <c r="B138" s="147" t="s">
        <v>18</v>
      </c>
      <c r="C138" s="113">
        <f>'Participaciones 2018'!Q7</f>
        <v>0</v>
      </c>
      <c r="D138" s="113">
        <v>0</v>
      </c>
      <c r="E138" s="113">
        <f t="shared" si="49"/>
        <v>0</v>
      </c>
      <c r="H138" s="113">
        <v>0</v>
      </c>
      <c r="I138" s="113">
        <f t="shared" si="46"/>
        <v>0</v>
      </c>
      <c r="J138" s="113">
        <f t="shared" si="47"/>
        <v>0</v>
      </c>
      <c r="K138" s="113">
        <f t="shared" si="48"/>
        <v>0</v>
      </c>
    </row>
    <row r="139" spans="2:22">
      <c r="B139" s="147" t="s">
        <v>392</v>
      </c>
      <c r="C139" s="113">
        <f>'Participaciones 2018'!Q8</f>
        <v>0</v>
      </c>
      <c r="D139" s="113">
        <v>0</v>
      </c>
      <c r="E139" s="113">
        <f t="shared" si="49"/>
        <v>0</v>
      </c>
      <c r="H139" s="113">
        <v>0</v>
      </c>
      <c r="I139" s="113">
        <f t="shared" si="46"/>
        <v>0</v>
      </c>
      <c r="J139" s="113">
        <f t="shared" si="47"/>
        <v>0</v>
      </c>
      <c r="K139" s="113">
        <f t="shared" si="48"/>
        <v>0</v>
      </c>
    </row>
    <row r="140" spans="2:22">
      <c r="B140" s="147" t="s">
        <v>21</v>
      </c>
      <c r="C140" s="113">
        <f>'Participaciones 2018'!Q11</f>
        <v>0</v>
      </c>
      <c r="D140" s="113">
        <v>0</v>
      </c>
      <c r="E140" s="113">
        <f t="shared" si="49"/>
        <v>0</v>
      </c>
      <c r="H140" s="113">
        <v>0</v>
      </c>
      <c r="I140" s="113">
        <f t="shared" si="46"/>
        <v>0</v>
      </c>
      <c r="J140" s="113">
        <f t="shared" si="47"/>
        <v>0</v>
      </c>
      <c r="K140" s="113">
        <f t="shared" si="48"/>
        <v>0</v>
      </c>
    </row>
    <row r="141" spans="2:22">
      <c r="B141" s="147" t="s">
        <v>43</v>
      </c>
      <c r="C141" s="166">
        <f>'Planilla Final 2018'!I72</f>
        <v>0</v>
      </c>
      <c r="D141" s="166">
        <v>0</v>
      </c>
      <c r="E141" s="166">
        <f t="shared" si="49"/>
        <v>0</v>
      </c>
      <c r="F141" s="166"/>
      <c r="G141" s="166"/>
      <c r="H141" s="166">
        <v>0</v>
      </c>
      <c r="I141" s="166">
        <f t="shared" si="46"/>
        <v>0</v>
      </c>
      <c r="J141" s="113">
        <f t="shared" si="47"/>
        <v>0</v>
      </c>
      <c r="K141" s="113">
        <f t="shared" si="48"/>
        <v>0</v>
      </c>
      <c r="L141" s="167"/>
    </row>
    <row r="143" spans="2:22" ht="15">
      <c r="B143" s="163" t="s">
        <v>252</v>
      </c>
      <c r="C143" s="162">
        <f>SUM(C134:C142)</f>
        <v>10000</v>
      </c>
      <c r="D143" s="162">
        <f>SUM(D134:D142)</f>
        <v>10000</v>
      </c>
      <c r="E143" s="162">
        <f>SUM(E132:E139)</f>
        <v>0</v>
      </c>
      <c r="F143" s="162"/>
      <c r="G143" s="162"/>
      <c r="H143" s="162">
        <f>SUM(H134:H142)</f>
        <v>10000</v>
      </c>
      <c r="I143" s="162">
        <f>SUM(I134:I141)</f>
        <v>0</v>
      </c>
      <c r="J143" s="162"/>
      <c r="K143" s="162"/>
      <c r="L143" s="162"/>
    </row>
    <row r="144" spans="2:22" ht="15">
      <c r="B144" s="168" t="s">
        <v>589</v>
      </c>
      <c r="C144" s="162">
        <f>+(C143)*$F$133</f>
        <v>0</v>
      </c>
      <c r="D144" s="162">
        <f>+(D143)*$J$133</f>
        <v>6000</v>
      </c>
      <c r="E144" s="162">
        <f>C144-D144</f>
        <v>-6000</v>
      </c>
      <c r="F144" s="162"/>
      <c r="G144" s="162"/>
      <c r="H144" s="162">
        <f>+(H143)*$J$133</f>
        <v>6000</v>
      </c>
      <c r="I144" s="162">
        <f t="shared" ref="I144:I146" si="50">+D144-H144</f>
        <v>0</v>
      </c>
      <c r="J144" s="162"/>
      <c r="K144" s="162"/>
      <c r="L144" s="162"/>
    </row>
    <row r="145" spans="2:22" ht="15">
      <c r="B145" s="168" t="s">
        <v>242</v>
      </c>
      <c r="C145" s="162">
        <f>+C143*$G$133</f>
        <v>0</v>
      </c>
      <c r="D145" s="162">
        <f>+D143*$K$133</f>
        <v>4000</v>
      </c>
      <c r="E145" s="162">
        <f t="shared" ref="E145:E147" si="51">C145-D145</f>
        <v>-4000</v>
      </c>
      <c r="F145" s="162"/>
      <c r="G145" s="162"/>
      <c r="H145" s="162">
        <f>+H143*$K$133</f>
        <v>4000</v>
      </c>
      <c r="I145" s="162">
        <f t="shared" si="50"/>
        <v>0</v>
      </c>
    </row>
    <row r="146" spans="2:22" ht="15">
      <c r="B146" s="168" t="s">
        <v>15</v>
      </c>
      <c r="C146" s="162">
        <f>SUM(C144:C145)</f>
        <v>0</v>
      </c>
      <c r="D146" s="162">
        <f>SUM(D144:D145)</f>
        <v>10000</v>
      </c>
      <c r="E146" s="162">
        <f t="shared" si="51"/>
        <v>-10000</v>
      </c>
      <c r="F146" s="162"/>
      <c r="G146" s="162"/>
      <c r="H146" s="162">
        <f>SUM(H144:H145)</f>
        <v>10000</v>
      </c>
      <c r="I146" s="162">
        <f t="shared" si="50"/>
        <v>0</v>
      </c>
    </row>
    <row r="147" spans="2:22" ht="15">
      <c r="B147" s="168"/>
      <c r="C147" s="113">
        <f>C143-C146</f>
        <v>10000</v>
      </c>
      <c r="D147" s="113">
        <f>D143-D146</f>
        <v>0</v>
      </c>
      <c r="E147" s="162">
        <f t="shared" si="51"/>
        <v>10000</v>
      </c>
      <c r="H147" s="113">
        <f>H143-H146</f>
        <v>0</v>
      </c>
    </row>
    <row r="148" spans="2:22" ht="15">
      <c r="B148" s="168"/>
      <c r="C148" s="168"/>
      <c r="D148" s="162"/>
      <c r="E148" s="162"/>
      <c r="F148" s="162"/>
      <c r="G148" s="162"/>
      <c r="H148" s="162"/>
      <c r="I148" s="162"/>
    </row>
    <row r="149" spans="2:22" ht="15">
      <c r="F149" s="162" t="s">
        <v>235</v>
      </c>
      <c r="G149" s="162" t="s">
        <v>236</v>
      </c>
      <c r="J149" s="162" t="s">
        <v>235</v>
      </c>
      <c r="K149" s="162" t="s">
        <v>236</v>
      </c>
    </row>
    <row r="150" spans="2:22" ht="15">
      <c r="B150" s="163" t="s">
        <v>256</v>
      </c>
      <c r="C150" s="164" t="s">
        <v>643</v>
      </c>
      <c r="D150" s="164" t="s">
        <v>397</v>
      </c>
      <c r="E150" s="164" t="s">
        <v>239</v>
      </c>
      <c r="F150" s="164"/>
      <c r="G150" s="164"/>
      <c r="H150" s="164" t="s">
        <v>238</v>
      </c>
      <c r="I150" s="164" t="s">
        <v>239</v>
      </c>
      <c r="J150" s="595">
        <f>+R152</f>
        <v>0.99995000000000001</v>
      </c>
      <c r="K150" s="165">
        <f>+R153</f>
        <v>5.0000000000000002E-5</v>
      </c>
      <c r="L150" s="164"/>
    </row>
    <row r="151" spans="2:22" ht="15">
      <c r="B151" s="147" t="s">
        <v>8</v>
      </c>
      <c r="C151" s="113">
        <f>'Participaciones 2018'!S3</f>
        <v>800</v>
      </c>
      <c r="D151" s="113">
        <v>800</v>
      </c>
      <c r="E151" s="113">
        <f>C151-D151</f>
        <v>0</v>
      </c>
      <c r="H151" s="113">
        <v>800</v>
      </c>
      <c r="I151" s="113">
        <f>+D151-H151</f>
        <v>0</v>
      </c>
      <c r="J151" s="113">
        <f>+I151*$J$150</f>
        <v>0</v>
      </c>
      <c r="K151" s="113">
        <f>+I151*$K$150</f>
        <v>0</v>
      </c>
      <c r="Q151" s="987">
        <v>2017</v>
      </c>
      <c r="R151" s="987"/>
      <c r="S151" s="987">
        <v>2016</v>
      </c>
      <c r="T151" s="987"/>
      <c r="U151" s="987" t="s">
        <v>239</v>
      </c>
      <c r="V151" s="987"/>
    </row>
    <row r="152" spans="2:22" ht="15">
      <c r="B152" s="147" t="s">
        <v>88</v>
      </c>
      <c r="C152" s="113">
        <f>'Participaciones 2018'!S4</f>
        <v>0</v>
      </c>
      <c r="D152" s="113">
        <v>0</v>
      </c>
      <c r="E152" s="113">
        <f>C152-D152</f>
        <v>0</v>
      </c>
      <c r="H152" s="113">
        <v>0</v>
      </c>
      <c r="I152" s="113">
        <f t="shared" ref="I152:I158" si="52">+D152-H152</f>
        <v>0</v>
      </c>
      <c r="J152" s="113">
        <f t="shared" ref="J152:J158" si="53">+I152*$J$150</f>
        <v>0</v>
      </c>
      <c r="K152" s="113">
        <f t="shared" ref="K152:K158" si="54">+I152*$K$150</f>
        <v>0</v>
      </c>
      <c r="N152" s="113" t="s">
        <v>50</v>
      </c>
      <c r="Q152" s="104">
        <v>799.96</v>
      </c>
      <c r="R152" s="118">
        <f>+Q152/$Q$154</f>
        <v>0.99995000000000001</v>
      </c>
      <c r="S152" s="104">
        <v>799.96</v>
      </c>
      <c r="T152" s="118">
        <f>+S152/$S$154</f>
        <v>0.99995000000000001</v>
      </c>
      <c r="U152" s="104">
        <f>+Q152-S152</f>
        <v>0</v>
      </c>
      <c r="V152" s="118">
        <f>+R152-T152</f>
        <v>0</v>
      </c>
    </row>
    <row r="153" spans="2:22" ht="15">
      <c r="B153" s="147" t="s">
        <v>17</v>
      </c>
      <c r="C153" s="113">
        <f>'Participaciones 2018'!S5</f>
        <v>0</v>
      </c>
      <c r="D153" s="113">
        <v>0</v>
      </c>
      <c r="E153" s="113">
        <f t="shared" ref="E153:E158" si="55">C153-D153</f>
        <v>0</v>
      </c>
      <c r="H153" s="113">
        <v>0</v>
      </c>
      <c r="I153" s="113">
        <f t="shared" si="52"/>
        <v>0</v>
      </c>
      <c r="J153" s="113">
        <f t="shared" si="53"/>
        <v>0</v>
      </c>
      <c r="K153" s="113">
        <f t="shared" si="54"/>
        <v>0</v>
      </c>
      <c r="N153" s="113" t="s">
        <v>52</v>
      </c>
      <c r="Q153" s="121">
        <v>0.04</v>
      </c>
      <c r="R153" s="118">
        <f>+Q153/$Q$154</f>
        <v>5.0000000000000002E-5</v>
      </c>
      <c r="S153" s="121">
        <v>0.04</v>
      </c>
      <c r="T153" s="118">
        <f>+S153/$S$154</f>
        <v>5.0000000000000002E-5</v>
      </c>
      <c r="U153" s="104">
        <f>+Q153-S153</f>
        <v>0</v>
      </c>
      <c r="V153" s="118">
        <f>+R153-T153</f>
        <v>0</v>
      </c>
    </row>
    <row r="154" spans="2:22">
      <c r="B154" s="147" t="s">
        <v>19</v>
      </c>
      <c r="C154" s="113">
        <f>'Participaciones 2018'!S6</f>
        <v>0</v>
      </c>
      <c r="D154" s="113">
        <v>0</v>
      </c>
      <c r="E154" s="113">
        <f t="shared" si="55"/>
        <v>0</v>
      </c>
      <c r="H154" s="113">
        <v>0</v>
      </c>
      <c r="I154" s="113">
        <f t="shared" si="52"/>
        <v>0</v>
      </c>
      <c r="J154" s="113">
        <f t="shared" si="53"/>
        <v>0</v>
      </c>
      <c r="K154" s="113">
        <f t="shared" si="54"/>
        <v>0</v>
      </c>
      <c r="Q154" s="104">
        <f>SUM(Q152:Q153)</f>
        <v>800</v>
      </c>
      <c r="R154" s="105"/>
      <c r="S154" s="104">
        <f>SUM(S152:S153)</f>
        <v>800</v>
      </c>
      <c r="T154" s="105"/>
      <c r="U154" s="104">
        <f>SUM(U152:U153)</f>
        <v>0</v>
      </c>
      <c r="V154" s="105"/>
    </row>
    <row r="155" spans="2:22">
      <c r="B155" s="147" t="s">
        <v>18</v>
      </c>
      <c r="C155" s="113">
        <f>'Participaciones 2018'!S7</f>
        <v>340</v>
      </c>
      <c r="D155" s="113">
        <v>340.17</v>
      </c>
      <c r="E155" s="113">
        <f t="shared" si="55"/>
        <v>-0.17000000000001592</v>
      </c>
      <c r="H155" s="113">
        <v>340.17</v>
      </c>
      <c r="I155" s="113">
        <f t="shared" si="52"/>
        <v>0</v>
      </c>
      <c r="J155" s="113">
        <f t="shared" si="53"/>
        <v>0</v>
      </c>
      <c r="K155" s="113">
        <f t="shared" si="54"/>
        <v>0</v>
      </c>
    </row>
    <row r="156" spans="2:22">
      <c r="B156" s="147" t="s">
        <v>392</v>
      </c>
      <c r="C156" s="113">
        <f>'Participaciones 2018'!S8</f>
        <v>0</v>
      </c>
      <c r="D156" s="113">
        <v>0</v>
      </c>
      <c r="E156" s="113">
        <f t="shared" si="55"/>
        <v>0</v>
      </c>
      <c r="H156" s="113">
        <v>0</v>
      </c>
      <c r="I156" s="113">
        <f t="shared" si="52"/>
        <v>0</v>
      </c>
      <c r="J156" s="113">
        <f t="shared" si="53"/>
        <v>0</v>
      </c>
      <c r="K156" s="113">
        <f t="shared" si="54"/>
        <v>0</v>
      </c>
    </row>
    <row r="157" spans="2:22">
      <c r="B157" s="147" t="s">
        <v>21</v>
      </c>
      <c r="C157" s="113">
        <f>'Participaciones 2018'!S9</f>
        <v>0</v>
      </c>
      <c r="D157" s="113">
        <v>0</v>
      </c>
      <c r="E157" s="113">
        <f t="shared" si="55"/>
        <v>0</v>
      </c>
      <c r="H157" s="113">
        <v>0</v>
      </c>
      <c r="I157" s="113">
        <f t="shared" si="52"/>
        <v>0</v>
      </c>
      <c r="J157" s="113">
        <f t="shared" si="53"/>
        <v>0</v>
      </c>
      <c r="K157" s="113">
        <f t="shared" si="54"/>
        <v>0</v>
      </c>
    </row>
    <row r="158" spans="2:22">
      <c r="B158" s="147" t="s">
        <v>43</v>
      </c>
      <c r="C158" s="166">
        <f>'Planilla Final 2018'!J72</f>
        <v>0</v>
      </c>
      <c r="D158" s="166">
        <v>0</v>
      </c>
      <c r="E158" s="166">
        <f t="shared" si="55"/>
        <v>0</v>
      </c>
      <c r="F158" s="166"/>
      <c r="G158" s="166"/>
      <c r="H158" s="166">
        <v>0</v>
      </c>
      <c r="I158" s="166">
        <f t="shared" si="52"/>
        <v>0</v>
      </c>
      <c r="J158" s="113">
        <f t="shared" si="53"/>
        <v>0</v>
      </c>
      <c r="K158" s="113">
        <f t="shared" si="54"/>
        <v>0</v>
      </c>
      <c r="L158" s="167"/>
    </row>
    <row r="160" spans="2:22" ht="15">
      <c r="B160" s="163" t="s">
        <v>252</v>
      </c>
      <c r="C160" s="162">
        <f>SUM(C151:C159)</f>
        <v>1140</v>
      </c>
      <c r="D160" s="162">
        <f>SUM(D151:D159)</f>
        <v>1140.17</v>
      </c>
      <c r="E160" s="162">
        <f>SUM(E149:E156)</f>
        <v>-0.17000000000001592</v>
      </c>
      <c r="F160" s="162"/>
      <c r="G160" s="162"/>
      <c r="H160" s="162">
        <f>SUM(H151:H159)</f>
        <v>1140.17</v>
      </c>
      <c r="I160" s="162">
        <f>SUM(I151:I158)</f>
        <v>0</v>
      </c>
      <c r="J160" s="162"/>
      <c r="K160" s="162"/>
      <c r="L160" s="162"/>
    </row>
    <row r="161" spans="2:22" ht="15">
      <c r="B161" s="168" t="s">
        <v>589</v>
      </c>
      <c r="C161" s="162">
        <f>+(C160)*$F$150</f>
        <v>0</v>
      </c>
      <c r="D161" s="162">
        <f>+(D160)*$J$150</f>
        <v>1140.1129915000001</v>
      </c>
      <c r="E161" s="162">
        <f>C161-D161</f>
        <v>-1140.1129915000001</v>
      </c>
      <c r="F161" s="162"/>
      <c r="G161" s="162"/>
      <c r="H161" s="162">
        <f>+(H160)*$J$150</f>
        <v>1140.1129915000001</v>
      </c>
      <c r="I161" s="162"/>
      <c r="J161" s="162"/>
      <c r="K161" s="162"/>
      <c r="L161" s="162"/>
    </row>
    <row r="162" spans="2:22" ht="15">
      <c r="B162" s="168" t="s">
        <v>242</v>
      </c>
      <c r="C162" s="596">
        <f>+C160*$G$150</f>
        <v>0</v>
      </c>
      <c r="D162" s="596">
        <f>+D160*$K$150</f>
        <v>5.7008500000000004E-2</v>
      </c>
      <c r="E162" s="162">
        <f t="shared" ref="E162:E164" si="56">C162-D162</f>
        <v>-5.7008500000000004E-2</v>
      </c>
      <c r="F162" s="596"/>
      <c r="G162" s="596"/>
      <c r="H162" s="596">
        <f>+H160*$K$150</f>
        <v>5.7008500000000004E-2</v>
      </c>
      <c r="I162" s="162">
        <f>+D162-H162</f>
        <v>0</v>
      </c>
    </row>
    <row r="163" spans="2:22" ht="15">
      <c r="B163" s="168" t="s">
        <v>15</v>
      </c>
      <c r="C163" s="162">
        <f>SUM(C161:C162)</f>
        <v>0</v>
      </c>
      <c r="D163" s="162">
        <f>SUM(D161:D162)</f>
        <v>1140.17</v>
      </c>
      <c r="E163" s="162">
        <f t="shared" si="56"/>
        <v>-1140.17</v>
      </c>
      <c r="F163" s="162"/>
      <c r="G163" s="162"/>
      <c r="H163" s="162">
        <f>SUM(H161:H162)</f>
        <v>1140.17</v>
      </c>
      <c r="I163" s="162">
        <f t="shared" ref="I163" si="57">+D163-H163</f>
        <v>0</v>
      </c>
    </row>
    <row r="164" spans="2:22" ht="15">
      <c r="B164" s="168"/>
      <c r="C164" s="113">
        <f>C160-C163</f>
        <v>1140</v>
      </c>
      <c r="D164" s="113">
        <f>D160-D163</f>
        <v>0</v>
      </c>
      <c r="E164" s="162">
        <f t="shared" si="56"/>
        <v>1140</v>
      </c>
      <c r="H164" s="113">
        <f>H160-H163</f>
        <v>0</v>
      </c>
    </row>
    <row r="165" spans="2:22" ht="15">
      <c r="B165" s="168"/>
      <c r="C165" s="113"/>
      <c r="E165" s="162"/>
    </row>
    <row r="166" spans="2:22" ht="15">
      <c r="F166" s="162" t="s">
        <v>235</v>
      </c>
      <c r="G166" s="162" t="s">
        <v>236</v>
      </c>
      <c r="J166" s="162" t="s">
        <v>235</v>
      </c>
      <c r="K166" s="162" t="s">
        <v>236</v>
      </c>
    </row>
    <row r="167" spans="2:22" ht="15">
      <c r="B167" s="163" t="s">
        <v>257</v>
      </c>
      <c r="C167" s="164" t="s">
        <v>643</v>
      </c>
      <c r="D167" s="164" t="s">
        <v>397</v>
      </c>
      <c r="E167" s="164" t="s">
        <v>239</v>
      </c>
      <c r="F167" s="164"/>
      <c r="G167" s="164"/>
      <c r="H167" s="164" t="s">
        <v>238</v>
      </c>
      <c r="I167" s="164" t="s">
        <v>239</v>
      </c>
      <c r="J167" s="595">
        <f>+R169</f>
        <v>0.92500000000000004</v>
      </c>
      <c r="K167" s="165">
        <f>+R170</f>
        <v>7.4999999999999997E-2</v>
      </c>
      <c r="L167" s="164"/>
    </row>
    <row r="168" spans="2:22" ht="15">
      <c r="B168" s="147" t="s">
        <v>8</v>
      </c>
      <c r="C168" s="113">
        <f>'Participaciones 2018'!U3</f>
        <v>800</v>
      </c>
      <c r="D168" s="113">
        <v>800</v>
      </c>
      <c r="E168" s="113">
        <f>C168-D168</f>
        <v>0</v>
      </c>
      <c r="H168" s="113">
        <v>800</v>
      </c>
      <c r="I168" s="113">
        <f>+D168-H168</f>
        <v>0</v>
      </c>
      <c r="J168" s="113">
        <f>+I168*$J$167</f>
        <v>0</v>
      </c>
      <c r="K168" s="113">
        <f>+I168*$K$167</f>
        <v>0</v>
      </c>
      <c r="Q168" s="987">
        <v>2017</v>
      </c>
      <c r="R168" s="987"/>
      <c r="S168" s="987">
        <v>2016</v>
      </c>
      <c r="T168" s="987"/>
      <c r="U168" s="987" t="s">
        <v>239</v>
      </c>
      <c r="V168" s="987"/>
    </row>
    <row r="169" spans="2:22" ht="15">
      <c r="B169" s="147" t="s">
        <v>88</v>
      </c>
      <c r="C169" s="113">
        <f>'Participaciones 2018'!U4</f>
        <v>1833417.66</v>
      </c>
      <c r="D169" s="113">
        <f>'ESF - ERI'!AB49</f>
        <v>1833417</v>
      </c>
      <c r="E169" s="113">
        <f>C169-D169</f>
        <v>0.65999999991618097</v>
      </c>
      <c r="H169" s="113">
        <v>0</v>
      </c>
      <c r="I169" s="113">
        <f t="shared" ref="I169:I175" si="58">+D169-H169</f>
        <v>1833417</v>
      </c>
      <c r="J169" s="113">
        <f t="shared" ref="J169:J175" si="59">+I169*$J$167</f>
        <v>1695910.7250000001</v>
      </c>
      <c r="K169" s="113">
        <f t="shared" ref="K169:K175" si="60">+I169*$K$167</f>
        <v>137506.27499999999</v>
      </c>
      <c r="N169" s="113" t="s">
        <v>50</v>
      </c>
      <c r="Q169" s="104">
        <v>740</v>
      </c>
      <c r="R169" s="118">
        <f>+Q169/$Q$171</f>
        <v>0.92500000000000004</v>
      </c>
      <c r="S169" s="104">
        <v>740</v>
      </c>
      <c r="T169" s="118">
        <f>+S169/$S$171</f>
        <v>0.92500000000000004</v>
      </c>
      <c r="U169" s="104">
        <f>+Q169-S169</f>
        <v>0</v>
      </c>
      <c r="V169" s="118">
        <f>+R169-T169</f>
        <v>0</v>
      </c>
    </row>
    <row r="170" spans="2:22" ht="15">
      <c r="B170" s="147" t="s">
        <v>17</v>
      </c>
      <c r="C170" s="113">
        <f>'Participaciones 2018'!U5</f>
        <v>0</v>
      </c>
      <c r="D170" s="113">
        <v>0</v>
      </c>
      <c r="E170" s="113">
        <f t="shared" ref="E170:E175" si="61">C170-D170</f>
        <v>0</v>
      </c>
      <c r="H170" s="113">
        <v>0</v>
      </c>
      <c r="I170" s="113">
        <f t="shared" si="58"/>
        <v>0</v>
      </c>
      <c r="J170" s="113">
        <f t="shared" si="59"/>
        <v>0</v>
      </c>
      <c r="K170" s="113">
        <f t="shared" si="60"/>
        <v>0</v>
      </c>
      <c r="N170" s="113" t="s">
        <v>52</v>
      </c>
      <c r="Q170" s="121">
        <v>60</v>
      </c>
      <c r="R170" s="118">
        <f>+Q170/$Q$171</f>
        <v>7.4999999999999997E-2</v>
      </c>
      <c r="S170" s="121">
        <v>60</v>
      </c>
      <c r="T170" s="118">
        <f>+S170/$S$171</f>
        <v>7.4999999999999997E-2</v>
      </c>
      <c r="U170" s="104">
        <f>+Q170-S170</f>
        <v>0</v>
      </c>
      <c r="V170" s="118">
        <f>+R170-T170</f>
        <v>0</v>
      </c>
    </row>
    <row r="171" spans="2:22">
      <c r="B171" s="147" t="s">
        <v>19</v>
      </c>
      <c r="C171" s="113">
        <f>'Participaciones 2018'!U6</f>
        <v>0</v>
      </c>
      <c r="D171" s="113">
        <v>0</v>
      </c>
      <c r="E171" s="113">
        <f t="shared" si="61"/>
        <v>0</v>
      </c>
      <c r="H171" s="113">
        <v>0</v>
      </c>
      <c r="I171" s="113">
        <f t="shared" si="58"/>
        <v>0</v>
      </c>
      <c r="J171" s="113">
        <f t="shared" si="59"/>
        <v>0</v>
      </c>
      <c r="K171" s="113">
        <f t="shared" si="60"/>
        <v>0</v>
      </c>
      <c r="Q171" s="104">
        <f>SUM(Q169:Q170)</f>
        <v>800</v>
      </c>
      <c r="R171" s="105"/>
      <c r="S171" s="104">
        <f>SUM(S169:S170)</f>
        <v>800</v>
      </c>
      <c r="T171" s="105"/>
      <c r="U171" s="104">
        <f>SUM(U169:U170)</f>
        <v>0</v>
      </c>
      <c r="V171" s="105"/>
    </row>
    <row r="172" spans="2:22">
      <c r="B172" s="147" t="s">
        <v>18</v>
      </c>
      <c r="C172" s="113">
        <f>'Participaciones 2018'!U7</f>
        <v>0</v>
      </c>
      <c r="D172" s="113">
        <v>0</v>
      </c>
      <c r="E172" s="113">
        <f t="shared" si="61"/>
        <v>0</v>
      </c>
      <c r="H172" s="113">
        <v>0</v>
      </c>
      <c r="I172" s="113">
        <f t="shared" si="58"/>
        <v>0</v>
      </c>
      <c r="J172" s="113">
        <f t="shared" si="59"/>
        <v>0</v>
      </c>
      <c r="K172" s="113">
        <f t="shared" si="60"/>
        <v>0</v>
      </c>
    </row>
    <row r="173" spans="2:22">
      <c r="B173" s="147" t="s">
        <v>392</v>
      </c>
      <c r="C173" s="113">
        <f>'Participaciones 2018'!U8</f>
        <v>0</v>
      </c>
      <c r="D173" s="113">
        <v>0</v>
      </c>
      <c r="E173" s="113">
        <f t="shared" si="61"/>
        <v>0</v>
      </c>
      <c r="H173" s="113">
        <v>0</v>
      </c>
      <c r="I173" s="113">
        <f t="shared" si="58"/>
        <v>0</v>
      </c>
      <c r="J173" s="113">
        <f t="shared" si="59"/>
        <v>0</v>
      </c>
      <c r="K173" s="113">
        <f t="shared" si="60"/>
        <v>0</v>
      </c>
    </row>
    <row r="174" spans="2:22">
      <c r="B174" s="147" t="s">
        <v>21</v>
      </c>
      <c r="C174" s="309">
        <f>'Participaciones 2018'!U11-C175</f>
        <v>-412661.86</v>
      </c>
      <c r="D174" s="113">
        <f>'ESF - ERI'!AB55</f>
        <v>-15422</v>
      </c>
      <c r="E174" s="113">
        <f t="shared" si="61"/>
        <v>-397239.86</v>
      </c>
      <c r="H174" s="113">
        <v>0</v>
      </c>
      <c r="I174" s="113">
        <f t="shared" si="58"/>
        <v>-15422</v>
      </c>
      <c r="J174" s="113">
        <f t="shared" si="59"/>
        <v>-14265.35</v>
      </c>
      <c r="K174" s="113">
        <f t="shared" si="60"/>
        <v>-1156.6499999999999</v>
      </c>
    </row>
    <row r="175" spans="2:22">
      <c r="B175" s="147" t="s">
        <v>43</v>
      </c>
      <c r="C175" s="166">
        <f>'Planilla Final 2018'!K72</f>
        <v>-600165.37</v>
      </c>
      <c r="D175" s="166">
        <f>'ESF - ERI'!AB56</f>
        <v>-344143</v>
      </c>
      <c r="E175" s="166">
        <f t="shared" si="61"/>
        <v>-256022.37</v>
      </c>
      <c r="F175" s="166"/>
      <c r="G175" s="166"/>
      <c r="H175" s="166">
        <v>-15422</v>
      </c>
      <c r="I175" s="166">
        <f t="shared" si="58"/>
        <v>-328721</v>
      </c>
      <c r="J175" s="113">
        <f t="shared" si="59"/>
        <v>-304066.92499999999</v>
      </c>
      <c r="K175" s="113">
        <f t="shared" si="60"/>
        <v>-24654.075000000001</v>
      </c>
      <c r="L175" s="167"/>
    </row>
    <row r="177" spans="2:20" ht="15">
      <c r="B177" s="163" t="s">
        <v>252</v>
      </c>
      <c r="C177" s="162">
        <f>SUM(C168:C176)</f>
        <v>821390.42999999982</v>
      </c>
      <c r="D177" s="162">
        <f>SUM(D168:D176)</f>
        <v>1474652</v>
      </c>
      <c r="E177" s="162">
        <f>SUM(E166:E173)</f>
        <v>0.65999999991618097</v>
      </c>
      <c r="F177" s="162"/>
      <c r="G177" s="162"/>
      <c r="H177" s="162">
        <f>SUM(H168:H176)</f>
        <v>-14622</v>
      </c>
      <c r="I177" s="162">
        <f>SUM(I168:I175)</f>
        <v>1489274</v>
      </c>
      <c r="J177" s="162"/>
      <c r="K177" s="162"/>
      <c r="L177" s="162"/>
    </row>
    <row r="178" spans="2:20" ht="15">
      <c r="B178" s="168" t="s">
        <v>589</v>
      </c>
      <c r="C178" s="162">
        <f>+(C177)*$F$167</f>
        <v>0</v>
      </c>
      <c r="D178" s="162">
        <f>+(D177)*$J$167</f>
        <v>1364053.1</v>
      </c>
      <c r="E178" s="162">
        <f>C178-D178</f>
        <v>-1364053.1</v>
      </c>
      <c r="F178" s="162"/>
      <c r="G178" s="162"/>
      <c r="H178" s="162">
        <f>+(H177)*$J$167</f>
        <v>-13525.35</v>
      </c>
      <c r="I178" s="162">
        <f t="shared" ref="I178" si="62">+D178-H178</f>
        <v>1377578.4500000002</v>
      </c>
      <c r="J178" s="162"/>
      <c r="K178" s="162"/>
      <c r="L178" s="162"/>
    </row>
    <row r="179" spans="2:20" ht="15">
      <c r="B179" s="168" t="s">
        <v>242</v>
      </c>
      <c r="C179" s="162">
        <f>+C177*$G$167</f>
        <v>0</v>
      </c>
      <c r="D179" s="162">
        <f>+D177*$K$167</f>
        <v>110598.9</v>
      </c>
      <c r="E179" s="162">
        <f t="shared" ref="E179:E181" si="63">C179-D179</f>
        <v>-110598.9</v>
      </c>
      <c r="F179" s="162"/>
      <c r="G179" s="162"/>
      <c r="H179" s="162">
        <f>+H177*$K$167</f>
        <v>-1096.6499999999999</v>
      </c>
      <c r="I179" s="162">
        <f>+D179-H179</f>
        <v>111695.54999999999</v>
      </c>
    </row>
    <row r="180" spans="2:20" ht="15">
      <c r="B180" s="168" t="s">
        <v>15</v>
      </c>
      <c r="C180" s="162">
        <f>SUM(C178:C179)</f>
        <v>0</v>
      </c>
      <c r="D180" s="162">
        <f>SUM(D178:D179)</f>
        <v>1474652</v>
      </c>
      <c r="E180" s="162">
        <f t="shared" si="63"/>
        <v>-1474652</v>
      </c>
      <c r="F180" s="162"/>
      <c r="G180" s="162"/>
      <c r="H180" s="162">
        <f>SUM(H178:H179)</f>
        <v>-14622</v>
      </c>
      <c r="I180" s="162">
        <f t="shared" ref="I180" si="64">+D180-H180</f>
        <v>1489274</v>
      </c>
    </row>
    <row r="181" spans="2:20" ht="15">
      <c r="B181" s="168"/>
      <c r="C181" s="113">
        <f>C177-C180</f>
        <v>821390.42999999982</v>
      </c>
      <c r="D181" s="113">
        <f>D177-D180</f>
        <v>0</v>
      </c>
      <c r="E181" s="162">
        <f t="shared" si="63"/>
        <v>821390.42999999982</v>
      </c>
      <c r="H181" s="113">
        <f>H177-H180</f>
        <v>0</v>
      </c>
    </row>
    <row r="183" spans="2:20" ht="15">
      <c r="F183" s="162" t="s">
        <v>235</v>
      </c>
      <c r="G183" s="162" t="s">
        <v>236</v>
      </c>
      <c r="J183" s="162" t="s">
        <v>235</v>
      </c>
      <c r="K183" s="162" t="s">
        <v>236</v>
      </c>
    </row>
    <row r="184" spans="2:20" ht="15">
      <c r="B184" s="163" t="s">
        <v>261</v>
      </c>
      <c r="C184" s="164" t="s">
        <v>643</v>
      </c>
      <c r="D184" s="164" t="s">
        <v>397</v>
      </c>
      <c r="E184" s="164" t="s">
        <v>239</v>
      </c>
      <c r="F184" s="164"/>
      <c r="G184" s="164"/>
      <c r="H184" s="164" t="s">
        <v>238</v>
      </c>
      <c r="I184" s="164" t="s">
        <v>239</v>
      </c>
      <c r="J184" s="595">
        <f>+R186</f>
        <v>0.98</v>
      </c>
      <c r="K184" s="165">
        <f>+R187</f>
        <v>0.02</v>
      </c>
      <c r="L184" s="164"/>
    </row>
    <row r="185" spans="2:20" ht="15">
      <c r="B185" s="147" t="s">
        <v>8</v>
      </c>
      <c r="C185" s="113">
        <f>'Participaciones 2018'!W3</f>
        <v>3661400</v>
      </c>
      <c r="D185" s="113">
        <v>3661400</v>
      </c>
      <c r="E185" s="113">
        <f>C185-D185</f>
        <v>0</v>
      </c>
      <c r="H185" s="113">
        <v>3661400</v>
      </c>
      <c r="I185" s="113">
        <f>+D185-H185</f>
        <v>0</v>
      </c>
      <c r="J185" s="113">
        <f t="shared" ref="J185:J192" si="65">+I185*$J$184</f>
        <v>0</v>
      </c>
      <c r="K185" s="113">
        <f>+I185*$K$184</f>
        <v>0</v>
      </c>
      <c r="Q185" s="987">
        <v>2017</v>
      </c>
      <c r="R185" s="987"/>
      <c r="S185" s="987">
        <v>2016</v>
      </c>
      <c r="T185" s="987"/>
    </row>
    <row r="186" spans="2:20" ht="15">
      <c r="B186" s="147" t="s">
        <v>88</v>
      </c>
      <c r="C186" s="113">
        <f>'Participaciones 2018'!W4</f>
        <v>406799.86000000004</v>
      </c>
      <c r="D186" s="113">
        <v>406800</v>
      </c>
      <c r="E186" s="113">
        <f>C186-D186</f>
        <v>-0.13999999995576218</v>
      </c>
      <c r="H186" s="113">
        <v>112799</v>
      </c>
      <c r="I186" s="113">
        <f t="shared" ref="I186:I192" si="66">+D186-H186</f>
        <v>294001</v>
      </c>
      <c r="J186" s="113">
        <f t="shared" si="65"/>
        <v>288120.98</v>
      </c>
      <c r="K186" s="113">
        <f t="shared" ref="K186:K192" si="67">+I186*$K$184</f>
        <v>5880.02</v>
      </c>
      <c r="N186" s="113" t="s">
        <v>50</v>
      </c>
      <c r="Q186" s="154">
        <v>3588172</v>
      </c>
      <c r="R186" s="118">
        <f>Q186/Q188</f>
        <v>0.98</v>
      </c>
      <c r="S186" s="154">
        <v>3588172</v>
      </c>
      <c r="T186" s="118">
        <f>S186/S188</f>
        <v>0.98</v>
      </c>
    </row>
    <row r="187" spans="2:20" ht="15">
      <c r="B187" s="147" t="s">
        <v>17</v>
      </c>
      <c r="C187" s="113">
        <f>'Participaciones 2018'!W5</f>
        <v>0</v>
      </c>
      <c r="D187" s="113">
        <v>0</v>
      </c>
      <c r="E187" s="113">
        <f t="shared" ref="E187:E192" si="68">C187-D187</f>
        <v>0</v>
      </c>
      <c r="H187" s="113">
        <v>0</v>
      </c>
      <c r="I187" s="113">
        <f t="shared" si="66"/>
        <v>0</v>
      </c>
      <c r="J187" s="113">
        <f t="shared" si="65"/>
        <v>0</v>
      </c>
      <c r="K187" s="113">
        <f t="shared" si="67"/>
        <v>0</v>
      </c>
      <c r="N187" s="113" t="s">
        <v>52</v>
      </c>
      <c r="Q187" s="155">
        <f>3661400-Q186</f>
        <v>73228</v>
      </c>
      <c r="R187" s="118">
        <f>Q187/Q188</f>
        <v>0.02</v>
      </c>
      <c r="S187" s="155">
        <f>3661400-S186</f>
        <v>73228</v>
      </c>
      <c r="T187" s="118">
        <f>S187/S188</f>
        <v>0.02</v>
      </c>
    </row>
    <row r="188" spans="2:20">
      <c r="B188" s="147" t="s">
        <v>19</v>
      </c>
      <c r="C188" s="113">
        <f>'Participaciones 2018'!W6</f>
        <v>0</v>
      </c>
      <c r="D188" s="113">
        <v>0</v>
      </c>
      <c r="E188" s="113">
        <f t="shared" si="68"/>
        <v>0</v>
      </c>
      <c r="H188" s="113">
        <v>0</v>
      </c>
      <c r="I188" s="113">
        <f t="shared" si="66"/>
        <v>0</v>
      </c>
      <c r="J188" s="113">
        <f t="shared" si="65"/>
        <v>0</v>
      </c>
      <c r="K188" s="113">
        <f t="shared" si="67"/>
        <v>0</v>
      </c>
      <c r="Q188" s="154">
        <f>SUM(Q186:Q187)</f>
        <v>3661400</v>
      </c>
      <c r="R188" s="105"/>
      <c r="S188" s="154">
        <f>SUM(S186:S187)</f>
        <v>3661400</v>
      </c>
      <c r="T188" s="105"/>
    </row>
    <row r="189" spans="2:20">
      <c r="B189" s="147" t="s">
        <v>18</v>
      </c>
      <c r="C189" s="113">
        <f>'Participaciones 2018'!W7</f>
        <v>0</v>
      </c>
      <c r="D189" s="113">
        <v>274690</v>
      </c>
      <c r="E189" s="113">
        <f t="shared" si="68"/>
        <v>-274690</v>
      </c>
      <c r="H189" s="113">
        <v>0</v>
      </c>
      <c r="I189" s="113">
        <f t="shared" si="66"/>
        <v>274690</v>
      </c>
      <c r="J189" s="113">
        <f t="shared" si="65"/>
        <v>269196.2</v>
      </c>
      <c r="K189" s="113">
        <f t="shared" si="67"/>
        <v>5493.8</v>
      </c>
    </row>
    <row r="190" spans="2:20">
      <c r="B190" s="147" t="s">
        <v>392</v>
      </c>
      <c r="C190" s="113">
        <f>'Participaciones 2018'!W8</f>
        <v>274690.03999999998</v>
      </c>
      <c r="D190" s="113">
        <v>-56932</v>
      </c>
      <c r="E190" s="113">
        <f t="shared" si="68"/>
        <v>331622.03999999998</v>
      </c>
      <c r="H190" s="113">
        <v>-56932</v>
      </c>
      <c r="I190" s="113">
        <f t="shared" si="66"/>
        <v>0</v>
      </c>
      <c r="J190" s="113">
        <f t="shared" si="65"/>
        <v>0</v>
      </c>
      <c r="K190" s="113">
        <f t="shared" si="67"/>
        <v>0</v>
      </c>
    </row>
    <row r="191" spans="2:20">
      <c r="B191" s="147" t="s">
        <v>21</v>
      </c>
      <c r="C191" s="113">
        <f>'Participaciones 2018'!W11-C192</f>
        <v>-4445670</v>
      </c>
      <c r="D191" s="113">
        <v>-3886526</v>
      </c>
      <c r="E191" s="113">
        <f t="shared" si="68"/>
        <v>-559144</v>
      </c>
      <c r="H191" s="113">
        <v>-3026105</v>
      </c>
      <c r="I191" s="113">
        <f t="shared" si="66"/>
        <v>-860421</v>
      </c>
      <c r="J191" s="113">
        <f t="shared" si="65"/>
        <v>-843212.58</v>
      </c>
      <c r="K191" s="113">
        <f t="shared" si="67"/>
        <v>-17208.420000000002</v>
      </c>
    </row>
    <row r="192" spans="2:20">
      <c r="B192" s="147" t="s">
        <v>43</v>
      </c>
      <c r="C192" s="166">
        <f>'Planilla Final 2018'!L72</f>
        <v>-391523.87</v>
      </c>
      <c r="D192" s="166">
        <v>-502401</v>
      </c>
      <c r="E192" s="166">
        <f t="shared" si="68"/>
        <v>110877.13</v>
      </c>
      <c r="F192" s="166"/>
      <c r="G192" s="166"/>
      <c r="H192" s="166">
        <v>-494302</v>
      </c>
      <c r="I192" s="166">
        <f t="shared" si="66"/>
        <v>-8099</v>
      </c>
      <c r="J192" s="113">
        <f t="shared" si="65"/>
        <v>-7937.0199999999995</v>
      </c>
      <c r="K192" s="113">
        <f t="shared" si="67"/>
        <v>-161.97999999999999</v>
      </c>
      <c r="L192" s="167"/>
    </row>
    <row r="194" spans="2:18" ht="15">
      <c r="B194" s="163" t="s">
        <v>252</v>
      </c>
      <c r="C194" s="162">
        <f t="shared" ref="C194:D194" si="69">SUM(C185:C192)</f>
        <v>-494303.97000000055</v>
      </c>
      <c r="D194" s="162">
        <f t="shared" si="69"/>
        <v>-102969</v>
      </c>
      <c r="E194" s="162">
        <f>SUM(E185:E192)</f>
        <v>-391334.97</v>
      </c>
      <c r="F194" s="162"/>
      <c r="G194" s="162"/>
      <c r="H194" s="162">
        <f>SUM(H185:H193)</f>
        <v>196860</v>
      </c>
      <c r="I194" s="162">
        <f>SUM(I185:I192)</f>
        <v>-299829</v>
      </c>
      <c r="J194" s="162"/>
      <c r="K194" s="162"/>
      <c r="L194" s="162"/>
    </row>
    <row r="195" spans="2:18">
      <c r="B195" s="169" t="s">
        <v>262</v>
      </c>
      <c r="C195" s="166">
        <f>C194-C186</f>
        <v>-901103.83000000054</v>
      </c>
      <c r="D195" s="166">
        <f>D194-D186</f>
        <v>-509769</v>
      </c>
      <c r="E195" s="166">
        <f>E194-E186</f>
        <v>-391334.83</v>
      </c>
      <c r="F195" s="166"/>
      <c r="G195" s="166"/>
      <c r="H195" s="166">
        <f>H194-H186</f>
        <v>84061</v>
      </c>
      <c r="I195" s="166" t="s">
        <v>268</v>
      </c>
    </row>
    <row r="196" spans="2:18">
      <c r="B196" s="113"/>
      <c r="C196" s="113"/>
    </row>
    <row r="197" spans="2:18" ht="15">
      <c r="B197" s="168" t="s">
        <v>589</v>
      </c>
      <c r="C197" s="162">
        <f>+(C195)*$F$184</f>
        <v>0</v>
      </c>
      <c r="D197" s="113">
        <f>D195*$J$184</f>
        <v>-499573.62</v>
      </c>
      <c r="E197" s="162">
        <f>C197-D197</f>
        <v>499573.62</v>
      </c>
      <c r="H197" s="113">
        <f>'Inversiones 2018'!L9</f>
        <v>351500</v>
      </c>
      <c r="K197" s="113">
        <f>H195-H198</f>
        <v>82379.78</v>
      </c>
    </row>
    <row r="198" spans="2:18" ht="15">
      <c r="B198" s="168" t="s">
        <v>242</v>
      </c>
      <c r="C198" s="177">
        <f>+C195*$G$184</f>
        <v>0</v>
      </c>
      <c r="D198" s="166">
        <f>D195*$K$184</f>
        <v>-10195.380000000001</v>
      </c>
      <c r="E198" s="177">
        <f t="shared" ref="E198:E200" si="70">C198-D198</f>
        <v>10195.380000000001</v>
      </c>
      <c r="F198" s="166"/>
      <c r="G198" s="166"/>
      <c r="H198" s="166">
        <f>H195*$K$184</f>
        <v>1681.22</v>
      </c>
      <c r="I198" s="309">
        <f>H198*2</f>
        <v>3362.44</v>
      </c>
      <c r="K198" s="113">
        <f>H197-K197</f>
        <v>269120.21999999997</v>
      </c>
      <c r="L198" s="169"/>
    </row>
    <row r="199" spans="2:18" ht="15">
      <c r="B199" s="168" t="s">
        <v>15</v>
      </c>
      <c r="C199" s="113">
        <f>SUM(C197:C198)</f>
        <v>0</v>
      </c>
      <c r="D199" s="113">
        <f>SUM(D197:D198)</f>
        <v>-509769</v>
      </c>
      <c r="E199" s="162">
        <f t="shared" si="70"/>
        <v>509769</v>
      </c>
      <c r="H199" s="113">
        <f>SUM(H197:H198)</f>
        <v>353181.22</v>
      </c>
    </row>
    <row r="200" spans="2:18" ht="15">
      <c r="B200" s="169" t="s">
        <v>264</v>
      </c>
      <c r="C200" s="166">
        <f>C195</f>
        <v>-901103.83000000054</v>
      </c>
      <c r="D200" s="166">
        <f>D195</f>
        <v>-509769</v>
      </c>
      <c r="E200" s="177">
        <f t="shared" si="70"/>
        <v>-391334.83000000054</v>
      </c>
      <c r="F200" s="166"/>
      <c r="G200" s="166"/>
      <c r="H200" s="166">
        <f>H195</f>
        <v>84061</v>
      </c>
    </row>
    <row r="201" spans="2:18" ht="15">
      <c r="B201" s="113" t="s">
        <v>166</v>
      </c>
      <c r="C201" s="113">
        <f>C199-C200</f>
        <v>901103.83000000054</v>
      </c>
      <c r="D201" s="113">
        <f>D199-D200</f>
        <v>0</v>
      </c>
      <c r="E201" s="113">
        <f>E199-E200</f>
        <v>901103.83000000054</v>
      </c>
      <c r="H201" s="113">
        <f>H199-H200</f>
        <v>269120.21999999997</v>
      </c>
      <c r="I201" s="162" t="s">
        <v>157</v>
      </c>
      <c r="K201" s="147"/>
    </row>
    <row r="204" spans="2:18" ht="15">
      <c r="F204" s="162" t="s">
        <v>235</v>
      </c>
      <c r="G204" s="162" t="s">
        <v>236</v>
      </c>
      <c r="J204" s="162" t="s">
        <v>235</v>
      </c>
      <c r="K204" s="162" t="s">
        <v>236</v>
      </c>
    </row>
    <row r="205" spans="2:18" ht="15">
      <c r="B205" s="163" t="s">
        <v>289</v>
      </c>
      <c r="C205" s="164" t="s">
        <v>643</v>
      </c>
      <c r="D205" s="164" t="s">
        <v>397</v>
      </c>
      <c r="E205" s="164" t="s">
        <v>239</v>
      </c>
      <c r="F205" s="164"/>
      <c r="G205" s="164"/>
      <c r="H205" s="164" t="s">
        <v>238</v>
      </c>
      <c r="I205" s="164" t="s">
        <v>239</v>
      </c>
      <c r="J205" s="595">
        <f>+R207</f>
        <v>1</v>
      </c>
      <c r="K205" s="165">
        <f>+R208</f>
        <v>0</v>
      </c>
      <c r="L205" s="164"/>
    </row>
    <row r="206" spans="2:18" ht="15">
      <c r="B206" s="147" t="s">
        <v>8</v>
      </c>
      <c r="C206" s="113">
        <f>'Participaciones 2018'!Y3</f>
        <v>0</v>
      </c>
      <c r="D206" s="113">
        <v>10000</v>
      </c>
      <c r="E206" s="113">
        <f>C206-D206</f>
        <v>-10000</v>
      </c>
      <c r="H206" s="113">
        <v>10000</v>
      </c>
      <c r="I206" s="113">
        <f>+D206-H206</f>
        <v>0</v>
      </c>
      <c r="J206" s="113">
        <f>+I206*$J$205</f>
        <v>0</v>
      </c>
      <c r="K206" s="113">
        <f>+I206*$K$205</f>
        <v>0</v>
      </c>
      <c r="Q206" s="987">
        <v>2017</v>
      </c>
      <c r="R206" s="987"/>
    </row>
    <row r="207" spans="2:18" ht="15">
      <c r="B207" s="147" t="s">
        <v>88</v>
      </c>
      <c r="C207" s="113">
        <f>'Participaciones 2018'!Y4</f>
        <v>0</v>
      </c>
      <c r="D207" s="113">
        <v>0</v>
      </c>
      <c r="E207" s="113">
        <f>C207-D207</f>
        <v>0</v>
      </c>
      <c r="H207" s="113">
        <v>0</v>
      </c>
      <c r="I207" s="113">
        <f t="shared" ref="I207:I213" si="71">+D207-H207</f>
        <v>0</v>
      </c>
      <c r="J207" s="113">
        <f t="shared" ref="J207:J213" si="72">+I207*$J$205</f>
        <v>0</v>
      </c>
      <c r="K207" s="113">
        <f t="shared" ref="K207:K213" si="73">+I207*$K$205</f>
        <v>0</v>
      </c>
      <c r="N207" s="113" t="s">
        <v>50</v>
      </c>
      <c r="Q207" s="154">
        <v>10000</v>
      </c>
      <c r="R207" s="118">
        <f>Q207/Q209</f>
        <v>1</v>
      </c>
    </row>
    <row r="208" spans="2:18" ht="15">
      <c r="B208" s="147" t="s">
        <v>17</v>
      </c>
      <c r="C208" s="113">
        <f>'Participaciones 2018'!Y5</f>
        <v>0</v>
      </c>
      <c r="D208" s="113">
        <v>0</v>
      </c>
      <c r="E208" s="113">
        <f t="shared" ref="E208:E213" si="74">C208-D208</f>
        <v>0</v>
      </c>
      <c r="H208" s="113">
        <v>0</v>
      </c>
      <c r="I208" s="113">
        <f t="shared" si="71"/>
        <v>0</v>
      </c>
      <c r="J208" s="113">
        <f t="shared" si="72"/>
        <v>0</v>
      </c>
      <c r="K208" s="113">
        <f t="shared" si="73"/>
        <v>0</v>
      </c>
      <c r="N208" s="113" t="s">
        <v>52</v>
      </c>
      <c r="Q208" s="155">
        <v>0</v>
      </c>
      <c r="R208" s="118">
        <f>Q208/Q209</f>
        <v>0</v>
      </c>
    </row>
    <row r="209" spans="2:19">
      <c r="B209" s="147" t="s">
        <v>19</v>
      </c>
      <c r="C209" s="113">
        <f>'Participaciones 2018'!Y6</f>
        <v>0</v>
      </c>
      <c r="D209" s="113">
        <v>0</v>
      </c>
      <c r="E209" s="113">
        <f t="shared" si="74"/>
        <v>0</v>
      </c>
      <c r="H209" s="113">
        <v>0</v>
      </c>
      <c r="I209" s="113">
        <f t="shared" si="71"/>
        <v>0</v>
      </c>
      <c r="J209" s="113">
        <f t="shared" si="72"/>
        <v>0</v>
      </c>
      <c r="K209" s="113">
        <f t="shared" si="73"/>
        <v>0</v>
      </c>
      <c r="Q209" s="154">
        <v>10000</v>
      </c>
      <c r="R209" s="105"/>
    </row>
    <row r="210" spans="2:19">
      <c r="B210" s="147" t="s">
        <v>18</v>
      </c>
      <c r="C210" s="113">
        <f>'Participaciones 2018'!Y7</f>
        <v>0</v>
      </c>
      <c r="D210" s="113">
        <v>0</v>
      </c>
      <c r="E210" s="113">
        <f t="shared" si="74"/>
        <v>0</v>
      </c>
      <c r="H210" s="113">
        <v>0</v>
      </c>
      <c r="I210" s="113">
        <f t="shared" si="71"/>
        <v>0</v>
      </c>
      <c r="J210" s="113">
        <f t="shared" si="72"/>
        <v>0</v>
      </c>
      <c r="K210" s="113">
        <f t="shared" si="73"/>
        <v>0</v>
      </c>
    </row>
    <row r="211" spans="2:19">
      <c r="B211" s="147" t="s">
        <v>392</v>
      </c>
      <c r="C211" s="113">
        <f>'Participaciones 2018'!Y8</f>
        <v>0</v>
      </c>
      <c r="D211" s="113">
        <v>0</v>
      </c>
      <c r="E211" s="113">
        <f t="shared" si="74"/>
        <v>0</v>
      </c>
      <c r="H211" s="113">
        <v>0</v>
      </c>
      <c r="I211" s="113">
        <f t="shared" si="71"/>
        <v>0</v>
      </c>
      <c r="J211" s="113">
        <f t="shared" si="72"/>
        <v>0</v>
      </c>
      <c r="K211" s="113">
        <f t="shared" si="73"/>
        <v>0</v>
      </c>
    </row>
    <row r="212" spans="2:19">
      <c r="B212" s="147" t="s">
        <v>21</v>
      </c>
      <c r="C212" s="113">
        <f>'Participaciones 2018'!Y11-C213</f>
        <v>-632530</v>
      </c>
      <c r="D212" s="113">
        <f>'ESF - ERI'!AD55</f>
        <v>-144335</v>
      </c>
      <c r="E212" s="113">
        <f t="shared" si="74"/>
        <v>-488195</v>
      </c>
      <c r="H212" s="113">
        <v>0</v>
      </c>
      <c r="I212" s="113">
        <f t="shared" si="71"/>
        <v>-144335</v>
      </c>
      <c r="J212" s="113">
        <f t="shared" si="72"/>
        <v>-144335</v>
      </c>
      <c r="K212" s="113">
        <f t="shared" si="73"/>
        <v>0</v>
      </c>
    </row>
    <row r="213" spans="2:19">
      <c r="B213" s="147" t="s">
        <v>43</v>
      </c>
      <c r="C213" s="166">
        <f>'Planilla Final 2018'!M72</f>
        <v>192970</v>
      </c>
      <c r="D213" s="166">
        <f>'ESF - ERI'!AD56</f>
        <v>-395559</v>
      </c>
      <c r="E213" s="166">
        <f t="shared" si="74"/>
        <v>588529</v>
      </c>
      <c r="F213" s="166"/>
      <c r="G213" s="166"/>
      <c r="H213" s="166">
        <v>-126652</v>
      </c>
      <c r="I213" s="166">
        <f t="shared" si="71"/>
        <v>-268907</v>
      </c>
      <c r="J213" s="113">
        <f t="shared" si="72"/>
        <v>-268907</v>
      </c>
      <c r="K213" s="113">
        <f t="shared" si="73"/>
        <v>0</v>
      </c>
      <c r="L213" s="167"/>
    </row>
    <row r="215" spans="2:19" ht="15">
      <c r="B215" s="163" t="s">
        <v>252</v>
      </c>
      <c r="C215" s="162">
        <f>SUM(C206:C214)</f>
        <v>-439560</v>
      </c>
      <c r="D215" s="162">
        <f>SUM(D206:D214)</f>
        <v>-529894</v>
      </c>
      <c r="E215" s="162">
        <f>SUM(E204:E211)</f>
        <v>-10000</v>
      </c>
      <c r="F215" s="162"/>
      <c r="G215" s="162"/>
      <c r="H215" s="162">
        <f>SUM(H206:H214)</f>
        <v>-116652</v>
      </c>
      <c r="I215" s="162">
        <f>SUM(I206:I213)</f>
        <v>-413242</v>
      </c>
      <c r="J215" s="162"/>
      <c r="K215" s="162"/>
      <c r="L215" s="162"/>
    </row>
    <row r="216" spans="2:19" ht="15">
      <c r="B216" s="168" t="s">
        <v>589</v>
      </c>
      <c r="C216" s="162">
        <f>+(C215)*$F$205</f>
        <v>0</v>
      </c>
      <c r="D216" s="162">
        <f>+(D215)*$J$167</f>
        <v>-490151.95</v>
      </c>
      <c r="E216" s="162">
        <f>C216-D216</f>
        <v>490151.95</v>
      </c>
      <c r="F216" s="162"/>
      <c r="G216" s="162"/>
      <c r="H216" s="162">
        <f>+(H215)*$J$167</f>
        <v>-107903.1</v>
      </c>
      <c r="I216" s="162">
        <f t="shared" ref="I216" si="75">+D216-H216</f>
        <v>-382248.85</v>
      </c>
    </row>
    <row r="217" spans="2:19" ht="15">
      <c r="B217" s="168" t="s">
        <v>242</v>
      </c>
      <c r="C217" s="162">
        <f>+C215*$G$205</f>
        <v>0</v>
      </c>
      <c r="D217" s="162">
        <f>+D215*$K$167</f>
        <v>-39742.049999999996</v>
      </c>
      <c r="E217" s="162">
        <f t="shared" ref="E217:E219" si="76">C217-D217</f>
        <v>39742.049999999996</v>
      </c>
      <c r="F217" s="162"/>
      <c r="G217" s="162"/>
      <c r="H217" s="162">
        <f>+H215*$K$167</f>
        <v>-8748.9</v>
      </c>
      <c r="I217" s="162">
        <f>+D217-H217</f>
        <v>-30993.149999999994</v>
      </c>
    </row>
    <row r="218" spans="2:19" ht="15">
      <c r="B218" s="168" t="s">
        <v>15</v>
      </c>
      <c r="C218" s="162">
        <f>SUM(C216:C217)</f>
        <v>0</v>
      </c>
      <c r="D218" s="162">
        <f>SUM(D216:D217)</f>
        <v>-529894</v>
      </c>
      <c r="E218" s="162">
        <f t="shared" si="76"/>
        <v>529894</v>
      </c>
      <c r="F218" s="162"/>
      <c r="G218" s="162"/>
      <c r="H218" s="162">
        <f>SUM(H216:H217)</f>
        <v>-116652</v>
      </c>
      <c r="I218" s="162">
        <f t="shared" ref="I218" si="77">+D218-H218</f>
        <v>-413242</v>
      </c>
    </row>
    <row r="219" spans="2:19" ht="15">
      <c r="B219" s="168"/>
      <c r="C219" s="113">
        <f>C215-C218</f>
        <v>-439560</v>
      </c>
      <c r="D219" s="113">
        <f>D215-D218</f>
        <v>0</v>
      </c>
      <c r="E219" s="162">
        <f t="shared" si="76"/>
        <v>-439560</v>
      </c>
      <c r="H219" s="113">
        <f>H215-H218</f>
        <v>0</v>
      </c>
    </row>
    <row r="223" spans="2:19" ht="15">
      <c r="B223" s="163" t="s">
        <v>588</v>
      </c>
      <c r="C223" s="162">
        <f t="shared" ref="C223:D225" si="78">+C32+C53+C70+C90+C110+C127+C144+C161+C178+G197+C197+C216</f>
        <v>22341.75</v>
      </c>
      <c r="D223" s="162">
        <f t="shared" si="78"/>
        <v>34706940.098594218</v>
      </c>
      <c r="E223" s="162">
        <f t="shared" ref="E223:E225" si="79">C223-D223</f>
        <v>-34684598.348594218</v>
      </c>
      <c r="F223" s="162"/>
      <c r="G223" s="162"/>
      <c r="H223" s="162">
        <f>+H32+H53+H70+H90+H110+H127+H144+H161+H178+H197+H216</f>
        <v>34855847.217725277</v>
      </c>
      <c r="I223" s="113">
        <f t="shared" ref="I223:I226" si="80">+D223-H223</f>
        <v>-148907.11913105845</v>
      </c>
      <c r="N223" s="113" t="s">
        <v>50</v>
      </c>
      <c r="Q223" s="162">
        <f>+Q23+Q28+Q40+Q61+Q78+Q98+Q118+Q135+Q152+Q169+Q186+Q207</f>
        <v>36644382.960000001</v>
      </c>
      <c r="S223" s="162">
        <f>+S23+S28+S40+S61+S78+S98+S118+S135+S152+S169+S186+S207</f>
        <v>37131561.960000001</v>
      </c>
    </row>
    <row r="224" spans="2:19" ht="15">
      <c r="B224" s="163" t="s">
        <v>269</v>
      </c>
      <c r="C224" s="162">
        <f t="shared" si="78"/>
        <v>7447.25</v>
      </c>
      <c r="D224" s="162">
        <f t="shared" si="78"/>
        <v>10773197.291405784</v>
      </c>
      <c r="E224" s="162">
        <f t="shared" si="79"/>
        <v>-10765750.041405784</v>
      </c>
      <c r="F224" s="162"/>
      <c r="G224" s="162"/>
      <c r="H224" s="162">
        <f>+H33+H54+H71+H91+H111+H128+H145+H162+H179+H198+H217</f>
        <v>11152518.252337215</v>
      </c>
      <c r="I224" s="113">
        <f t="shared" si="80"/>
        <v>-379320.9609314315</v>
      </c>
      <c r="N224" s="113" t="s">
        <v>52</v>
      </c>
      <c r="Q224" s="162">
        <f>+Q24+Q29+Q41+Q62+Q79+Q99+Q119+Q136+Q153+Q170+Q187+Q208</f>
        <v>10505669.039999999</v>
      </c>
      <c r="S224" s="162">
        <f>+S24+S29+S41+S62+S79+S99+S119+S136+S153+S170+S187+S208</f>
        <v>10505669.039999999</v>
      </c>
    </row>
    <row r="225" spans="2:19" ht="15">
      <c r="B225" s="163" t="s">
        <v>590</v>
      </c>
      <c r="C225" s="162">
        <f t="shared" si="78"/>
        <v>29789</v>
      </c>
      <c r="D225" s="162">
        <f t="shared" si="78"/>
        <v>45480137.390000001</v>
      </c>
      <c r="E225" s="162">
        <f t="shared" si="79"/>
        <v>-45450348.390000001</v>
      </c>
      <c r="F225" s="162"/>
      <c r="G225" s="162"/>
      <c r="H225" s="162">
        <f>+H34+H55+H72+H92+H112+H129+H146+H163+H180+H199+H218</f>
        <v>46008365.470062494</v>
      </c>
      <c r="I225" s="113">
        <f t="shared" si="80"/>
        <v>-528228.08006249368</v>
      </c>
      <c r="Q225" s="113">
        <f>SUM(Q223:Q224)</f>
        <v>47150052</v>
      </c>
      <c r="S225" s="113">
        <f>SUM(S223:S224)</f>
        <v>47637231</v>
      </c>
    </row>
    <row r="226" spans="2:19" ht="15">
      <c r="B226" s="163" t="s">
        <v>591</v>
      </c>
      <c r="C226" s="597">
        <f>C223+C224-C225</f>
        <v>0</v>
      </c>
      <c r="D226" s="597">
        <f>D223+D224-D225</f>
        <v>0</v>
      </c>
      <c r="E226" s="597">
        <f>E223+E224-E225</f>
        <v>0</v>
      </c>
      <c r="F226" s="597"/>
      <c r="G226" s="597"/>
      <c r="H226" s="597">
        <f>H223+H224-H225</f>
        <v>0</v>
      </c>
      <c r="I226" s="113">
        <f t="shared" si="80"/>
        <v>0</v>
      </c>
    </row>
    <row r="227" spans="2:19">
      <c r="Q227" s="404">
        <v>44513438</v>
      </c>
    </row>
    <row r="228" spans="2:19">
      <c r="Q228" s="474">
        <v>6468792</v>
      </c>
    </row>
    <row r="229" spans="2:19">
      <c r="D229" s="147"/>
      <c r="E229" s="147"/>
      <c r="F229" s="147"/>
      <c r="G229" s="147"/>
      <c r="Q229" s="113">
        <f>Q227-Q228</f>
        <v>38044646</v>
      </c>
      <c r="R229" s="147">
        <v>38835024.049999997</v>
      </c>
      <c r="S229" s="175">
        <f>R229-Q229</f>
        <v>790378.04999999702</v>
      </c>
    </row>
    <row r="230" spans="2:19">
      <c r="Q230" s="113">
        <f>Q223-Q229</f>
        <v>-1400263.0399999991</v>
      </c>
    </row>
  </sheetData>
  <mergeCells count="34">
    <mergeCell ref="U22:V22"/>
    <mergeCell ref="Q27:R27"/>
    <mergeCell ref="S27:T27"/>
    <mergeCell ref="U27:V27"/>
    <mergeCell ref="U77:V77"/>
    <mergeCell ref="U97:V97"/>
    <mergeCell ref="Q39:R39"/>
    <mergeCell ref="S39:T39"/>
    <mergeCell ref="U39:V39"/>
    <mergeCell ref="Q60:R60"/>
    <mergeCell ref="S60:T60"/>
    <mergeCell ref="U60:V60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O22:P22"/>
    <mergeCell ref="Q185:R185"/>
    <mergeCell ref="S185:T185"/>
    <mergeCell ref="Q206:R206"/>
    <mergeCell ref="Q151:R151"/>
    <mergeCell ref="S151:T151"/>
    <mergeCell ref="Q77:R77"/>
    <mergeCell ref="S77:T77"/>
    <mergeCell ref="Q22:R22"/>
    <mergeCell ref="S22:T22"/>
    <mergeCell ref="Q97:R97"/>
    <mergeCell ref="S97:T9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F36"/>
  <sheetViews>
    <sheetView topLeftCell="A17" workbookViewId="0">
      <selection activeCell="E36" sqref="E36"/>
    </sheetView>
  </sheetViews>
  <sheetFormatPr defaultColWidth="11.42578125" defaultRowHeight="15"/>
  <cols>
    <col min="1" max="1" width="11.42578125" style="134"/>
    <col min="2" max="2" width="39.42578125" style="134" bestFit="1" customWidth="1"/>
    <col min="3" max="3" width="18.85546875" style="134" bestFit="1" customWidth="1"/>
    <col min="4" max="16384" width="11.42578125" style="134"/>
  </cols>
  <sheetData>
    <row r="1" spans="1:6">
      <c r="A1" s="26" t="s">
        <v>569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78773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78773</v>
      </c>
      <c r="F5" s="96" t="s">
        <v>570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264134</v>
      </c>
      <c r="E7" s="52"/>
      <c r="F7" s="96" t="s">
        <v>570</v>
      </c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264134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89587</v>
      </c>
      <c r="E10" s="52"/>
      <c r="F10" s="96" t="s">
        <v>570</v>
      </c>
    </row>
    <row r="11" spans="1:6" s="96" customFormat="1">
      <c r="A11" s="27"/>
      <c r="B11" s="40" t="s">
        <v>73</v>
      </c>
      <c r="C11" s="52" t="s">
        <v>204</v>
      </c>
      <c r="D11" s="55"/>
      <c r="E11" s="52">
        <v>0</v>
      </c>
    </row>
    <row r="12" spans="1:6" s="96" customFormat="1">
      <c r="A12" s="27"/>
      <c r="B12" s="40" t="s">
        <v>6</v>
      </c>
      <c r="C12" s="52" t="s">
        <v>204</v>
      </c>
      <c r="D12" s="55"/>
      <c r="E12" s="52">
        <v>0</v>
      </c>
    </row>
    <row r="13" spans="1:6">
      <c r="A13" s="27"/>
      <c r="B13" s="40" t="s">
        <v>90</v>
      </c>
      <c r="C13" s="76"/>
      <c r="D13" s="55"/>
      <c r="E13" s="52">
        <f>+D10</f>
        <v>89587</v>
      </c>
    </row>
    <row r="14" spans="1:6">
      <c r="A14" s="27"/>
      <c r="B14" s="40"/>
      <c r="C14" s="76"/>
      <c r="D14" s="55"/>
      <c r="E14" s="52"/>
    </row>
    <row r="15" spans="1:6">
      <c r="A15" s="27"/>
      <c r="B15" s="316" t="s">
        <v>291</v>
      </c>
      <c r="C15" s="76" t="s">
        <v>151</v>
      </c>
      <c r="D15" s="52">
        <v>34807</v>
      </c>
      <c r="E15" s="52"/>
      <c r="F15" s="134" t="s">
        <v>570</v>
      </c>
    </row>
    <row r="16" spans="1:6">
      <c r="A16" s="27"/>
      <c r="B16" s="40" t="s">
        <v>292</v>
      </c>
      <c r="C16" s="76" t="s">
        <v>288</v>
      </c>
      <c r="D16" s="55"/>
      <c r="E16" s="52">
        <f>D15</f>
        <v>34807</v>
      </c>
    </row>
    <row r="17" spans="1:6">
      <c r="A17" s="27"/>
      <c r="B17" s="40"/>
      <c r="C17" s="76"/>
      <c r="D17" s="55"/>
      <c r="E17" s="52"/>
    </row>
    <row r="18" spans="1:6">
      <c r="A18" s="27"/>
      <c r="B18" s="39" t="s">
        <v>293</v>
      </c>
      <c r="C18" s="76" t="s">
        <v>151</v>
      </c>
      <c r="D18" s="55">
        <v>1713071</v>
      </c>
      <c r="E18" s="52"/>
      <c r="F18" s="134" t="s">
        <v>570</v>
      </c>
    </row>
    <row r="19" spans="1:6">
      <c r="A19" s="27"/>
      <c r="B19" s="40" t="s">
        <v>90</v>
      </c>
      <c r="C19" s="76" t="s">
        <v>260</v>
      </c>
      <c r="D19" s="55"/>
      <c r="E19" s="52">
        <f>+D18</f>
        <v>1713071</v>
      </c>
    </row>
    <row r="20" spans="1:6">
      <c r="A20" s="27"/>
      <c r="B20" s="40"/>
      <c r="C20" s="76"/>
      <c r="D20" s="55"/>
      <c r="E20" s="52"/>
    </row>
    <row r="21" spans="1:6">
      <c r="A21" s="27"/>
      <c r="B21" s="39" t="s">
        <v>571</v>
      </c>
      <c r="C21" s="76" t="s">
        <v>204</v>
      </c>
      <c r="D21" s="55">
        <v>154175</v>
      </c>
      <c r="E21" s="52"/>
      <c r="F21" s="134" t="s">
        <v>570</v>
      </c>
    </row>
    <row r="22" spans="1:6">
      <c r="A22" s="27"/>
      <c r="B22" s="40" t="s">
        <v>572</v>
      </c>
      <c r="C22" s="76" t="s">
        <v>151</v>
      </c>
      <c r="D22" s="55"/>
      <c r="E22" s="52">
        <f>+D21</f>
        <v>154175</v>
      </c>
    </row>
    <row r="23" spans="1:6">
      <c r="A23" s="27"/>
      <c r="B23" s="40"/>
      <c r="C23" s="76"/>
      <c r="D23" s="55"/>
      <c r="E23" s="52"/>
    </row>
    <row r="24" spans="1:6">
      <c r="A24" s="27"/>
      <c r="B24" s="39" t="s">
        <v>571</v>
      </c>
      <c r="C24" s="76" t="s">
        <v>260</v>
      </c>
      <c r="D24" s="55">
        <v>57043</v>
      </c>
      <c r="E24" s="52"/>
      <c r="F24" s="134" t="s">
        <v>570</v>
      </c>
    </row>
    <row r="25" spans="1:6">
      <c r="A25" s="27"/>
      <c r="B25" s="40" t="s">
        <v>572</v>
      </c>
      <c r="C25" s="76" t="s">
        <v>151</v>
      </c>
      <c r="D25" s="55"/>
      <c r="E25" s="52">
        <f>+D24</f>
        <v>57043</v>
      </c>
    </row>
    <row r="26" spans="1:6">
      <c r="A26" s="27"/>
      <c r="B26" s="40"/>
      <c r="C26" s="76"/>
      <c r="D26" s="55"/>
      <c r="E26" s="52"/>
    </row>
    <row r="27" spans="1:6">
      <c r="A27" s="27"/>
      <c r="B27" s="39" t="s">
        <v>293</v>
      </c>
      <c r="C27" s="76" t="s">
        <v>150</v>
      </c>
      <c r="D27" s="55">
        <v>669255</v>
      </c>
      <c r="E27" s="52"/>
      <c r="F27" s="134" t="s">
        <v>570</v>
      </c>
    </row>
    <row r="28" spans="1:6">
      <c r="A28" s="27"/>
      <c r="B28" s="39" t="s">
        <v>573</v>
      </c>
      <c r="C28" s="76" t="s">
        <v>151</v>
      </c>
      <c r="D28" s="55"/>
      <c r="E28" s="52">
        <f>+D27-E29</f>
        <v>658399</v>
      </c>
    </row>
    <row r="29" spans="1:6">
      <c r="A29" s="27"/>
      <c r="B29" s="41" t="s">
        <v>381</v>
      </c>
      <c r="C29" s="79" t="s">
        <v>151</v>
      </c>
      <c r="D29" s="56"/>
      <c r="E29" s="57">
        <v>10856</v>
      </c>
    </row>
    <row r="30" spans="1:6">
      <c r="A30" s="27"/>
      <c r="B30" s="27"/>
      <c r="C30" s="72"/>
      <c r="D30" s="58">
        <f>SUM(D4:D29)</f>
        <v>3060845</v>
      </c>
      <c r="E30" s="58">
        <f>SUM(E4:E29)</f>
        <v>3060845</v>
      </c>
    </row>
    <row r="32" spans="1:6">
      <c r="B32" s="317" t="s">
        <v>574</v>
      </c>
      <c r="C32" s="581"/>
      <c r="D32" s="582" t="s">
        <v>26</v>
      </c>
      <c r="E32" s="582" t="s">
        <v>27</v>
      </c>
    </row>
    <row r="33" spans="2:5">
      <c r="B33" s="583" t="s">
        <v>293</v>
      </c>
      <c r="C33" s="584"/>
      <c r="D33" s="585">
        <f>D4+D18+D27+D7+D10+D15+D21+D24</f>
        <v>3060845</v>
      </c>
      <c r="E33" s="311"/>
    </row>
    <row r="34" spans="2:5">
      <c r="B34" s="586" t="s">
        <v>90</v>
      </c>
      <c r="C34" s="584"/>
      <c r="D34" s="311"/>
      <c r="E34" s="585">
        <f>E5+E19+E16+E13+E8+E22+E25+E28</f>
        <v>3049989</v>
      </c>
    </row>
    <row r="35" spans="2:5">
      <c r="B35" s="587" t="s">
        <v>381</v>
      </c>
      <c r="C35" s="588"/>
      <c r="D35" s="589"/>
      <c r="E35" s="590">
        <f>E29</f>
        <v>10856</v>
      </c>
    </row>
    <row r="36" spans="2:5">
      <c r="D36" s="89">
        <f>SUM(D33:D35)</f>
        <v>3060845</v>
      </c>
      <c r="E36" s="89">
        <f>SUM(E33:E35)</f>
        <v>3060845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G41"/>
  <sheetViews>
    <sheetView topLeftCell="A4" workbookViewId="0">
      <pane ySplit="1" topLeftCell="A7" activePane="bottomLeft" state="frozen"/>
      <selection activeCell="A4" sqref="A4"/>
      <selection pane="bottomLeft" activeCell="E10" sqref="E10"/>
    </sheetView>
  </sheetViews>
  <sheetFormatPr defaultColWidth="11.42578125" defaultRowHeight="15"/>
  <cols>
    <col min="1" max="1" width="16.140625" style="134" customWidth="1"/>
    <col min="2" max="2" width="34.42578125" style="134" bestFit="1" customWidth="1"/>
    <col min="3" max="3" width="22.85546875" style="134" customWidth="1"/>
    <col min="4" max="4" width="16.7109375" style="134" customWidth="1"/>
    <col min="5" max="5" width="17.7109375" style="134" customWidth="1"/>
    <col min="6" max="16384" width="11.42578125" style="134"/>
  </cols>
  <sheetData>
    <row r="1" spans="1:6">
      <c r="A1" s="153" t="s">
        <v>666</v>
      </c>
    </row>
    <row r="2" spans="1:6">
      <c r="A2" s="153" t="s">
        <v>667</v>
      </c>
    </row>
    <row r="4" spans="1:6">
      <c r="A4" s="27"/>
      <c r="B4" s="37" t="s">
        <v>0</v>
      </c>
      <c r="C4" s="73" t="s">
        <v>45</v>
      </c>
      <c r="D4" s="83" t="s">
        <v>1</v>
      </c>
      <c r="E4" s="83" t="s">
        <v>2</v>
      </c>
    </row>
    <row r="5" spans="1:6" s="96" customFormat="1">
      <c r="A5" s="27"/>
      <c r="B5" s="39" t="s">
        <v>155</v>
      </c>
      <c r="C5" s="52" t="s">
        <v>182</v>
      </c>
      <c r="D5" s="54">
        <v>0</v>
      </c>
      <c r="E5" s="730">
        <v>32707</v>
      </c>
    </row>
    <row r="6" spans="1:6" s="96" customFormat="1">
      <c r="A6" s="591"/>
      <c r="B6" s="39" t="s">
        <v>283</v>
      </c>
      <c r="C6" s="52" t="s">
        <v>182</v>
      </c>
      <c r="D6" s="311"/>
      <c r="E6" s="310">
        <v>2278797</v>
      </c>
    </row>
    <row r="7" spans="1:6" s="96" customFormat="1">
      <c r="A7" s="591" t="s">
        <v>575</v>
      </c>
      <c r="B7" s="39" t="s">
        <v>404</v>
      </c>
      <c r="C7" s="52" t="s">
        <v>258</v>
      </c>
      <c r="D7" s="311"/>
      <c r="E7" s="310">
        <v>636371</v>
      </c>
    </row>
    <row r="8" spans="1:6" s="96" customFormat="1">
      <c r="A8" s="591" t="s">
        <v>576</v>
      </c>
      <c r="B8" s="39" t="s">
        <v>283</v>
      </c>
      <c r="C8" s="312" t="s">
        <v>258</v>
      </c>
      <c r="D8" s="311"/>
      <c r="E8" s="310">
        <v>1698536</v>
      </c>
    </row>
    <row r="9" spans="1:6" s="96" customFormat="1">
      <c r="A9" s="591" t="s">
        <v>577</v>
      </c>
      <c r="B9" s="39" t="s">
        <v>5</v>
      </c>
      <c r="C9" s="52" t="s">
        <v>219</v>
      </c>
      <c r="D9" s="311"/>
      <c r="E9" s="310">
        <v>87009</v>
      </c>
    </row>
    <row r="10" spans="1:6" s="96" customFormat="1">
      <c r="A10" s="591" t="s">
        <v>578</v>
      </c>
      <c r="B10" s="39" t="s">
        <v>5</v>
      </c>
      <c r="C10" s="52" t="s">
        <v>218</v>
      </c>
      <c r="D10" s="311"/>
      <c r="E10" s="310">
        <v>0</v>
      </c>
      <c r="F10" s="96" t="s">
        <v>664</v>
      </c>
    </row>
    <row r="11" spans="1:6" s="96" customFormat="1">
      <c r="A11" s="591" t="s">
        <v>579</v>
      </c>
      <c r="B11" s="39" t="s">
        <v>5</v>
      </c>
      <c r="C11" s="52" t="s">
        <v>218</v>
      </c>
      <c r="D11" s="311"/>
      <c r="E11" s="310">
        <v>282467</v>
      </c>
    </row>
    <row r="12" spans="1:6" s="96" customFormat="1">
      <c r="A12" s="591" t="s">
        <v>580</v>
      </c>
      <c r="B12" s="39" t="s">
        <v>665</v>
      </c>
      <c r="C12" s="312" t="s">
        <v>218</v>
      </c>
      <c r="D12" s="311"/>
      <c r="E12" s="310">
        <v>129109</v>
      </c>
    </row>
    <row r="13" spans="1:6" s="96" customFormat="1">
      <c r="A13" s="591" t="s">
        <v>576</v>
      </c>
      <c r="B13" s="39" t="s">
        <v>283</v>
      </c>
      <c r="C13" s="312" t="s">
        <v>148</v>
      </c>
      <c r="D13" s="311"/>
      <c r="E13" s="310">
        <v>2883186</v>
      </c>
    </row>
    <row r="14" spans="1:6" s="96" customFormat="1">
      <c r="A14" s="591" t="s">
        <v>575</v>
      </c>
      <c r="B14" s="39" t="s">
        <v>5</v>
      </c>
      <c r="C14" s="52" t="s">
        <v>148</v>
      </c>
      <c r="D14" s="311"/>
      <c r="E14" s="310">
        <f>-E13+D20+D19</f>
        <v>1309624</v>
      </c>
    </row>
    <row r="15" spans="1:6" s="96" customFormat="1">
      <c r="A15" s="591"/>
      <c r="B15" s="39" t="s">
        <v>74</v>
      </c>
      <c r="C15" s="312" t="s">
        <v>182</v>
      </c>
      <c r="D15" s="311"/>
      <c r="E15" s="310">
        <v>865104</v>
      </c>
    </row>
    <row r="16" spans="1:6" s="96" customFormat="1">
      <c r="A16" s="27"/>
      <c r="B16" s="42" t="s">
        <v>7</v>
      </c>
      <c r="C16" s="93" t="s">
        <v>581</v>
      </c>
      <c r="D16" s="57">
        <v>0</v>
      </c>
      <c r="E16" s="589"/>
      <c r="F16" s="96" t="s">
        <v>661</v>
      </c>
    </row>
    <row r="17" spans="1:7" s="96" customFormat="1">
      <c r="A17" s="27" t="s">
        <v>260</v>
      </c>
      <c r="B17" s="39" t="s">
        <v>422</v>
      </c>
      <c r="C17" s="312" t="s">
        <v>217</v>
      </c>
      <c r="D17" s="54">
        <v>282467</v>
      </c>
      <c r="E17" s="311"/>
    </row>
    <row r="18" spans="1:7" s="96" customFormat="1">
      <c r="A18" s="27" t="s">
        <v>260</v>
      </c>
      <c r="B18" s="39" t="s">
        <v>284</v>
      </c>
      <c r="C18" s="52" t="s">
        <v>217</v>
      </c>
      <c r="D18" s="55">
        <f>658889-529780</f>
        <v>129109</v>
      </c>
      <c r="E18" s="52"/>
    </row>
    <row r="19" spans="1:7" s="96" customFormat="1">
      <c r="A19" s="27" t="s">
        <v>204</v>
      </c>
      <c r="B19" s="39" t="s">
        <v>153</v>
      </c>
      <c r="C19" s="52" t="s">
        <v>217</v>
      </c>
      <c r="D19" s="55">
        <v>147634</v>
      </c>
      <c r="E19" s="52"/>
    </row>
    <row r="20" spans="1:7" s="96" customFormat="1">
      <c r="A20" s="27" t="s">
        <v>204</v>
      </c>
      <c r="B20" s="39" t="s">
        <v>405</v>
      </c>
      <c r="C20" s="52" t="s">
        <v>217</v>
      </c>
      <c r="D20" s="55">
        <v>4045176</v>
      </c>
      <c r="E20" s="52"/>
    </row>
    <row r="21" spans="1:7" s="96" customFormat="1">
      <c r="A21" s="27" t="s">
        <v>582</v>
      </c>
      <c r="B21" s="39" t="s">
        <v>584</v>
      </c>
      <c r="C21" s="52" t="s">
        <v>217</v>
      </c>
      <c r="D21" s="55">
        <v>2278797</v>
      </c>
      <c r="E21" s="52"/>
    </row>
    <row r="22" spans="1:7" s="96" customFormat="1">
      <c r="A22" s="27" t="s">
        <v>582</v>
      </c>
      <c r="B22" s="39" t="s">
        <v>583</v>
      </c>
      <c r="C22" s="52" t="s">
        <v>217</v>
      </c>
      <c r="D22" s="55">
        <v>865104</v>
      </c>
      <c r="E22" s="52"/>
    </row>
    <row r="23" spans="1:7" s="96" customFormat="1">
      <c r="A23" s="27" t="s">
        <v>582</v>
      </c>
      <c r="B23" s="39" t="s">
        <v>583</v>
      </c>
      <c r="C23" s="52" t="s">
        <v>217</v>
      </c>
      <c r="D23" s="55">
        <v>3965967</v>
      </c>
      <c r="E23" s="52"/>
    </row>
    <row r="24" spans="1:7" s="96" customFormat="1">
      <c r="A24" s="27" t="s">
        <v>582</v>
      </c>
      <c r="B24" s="42" t="s">
        <v>155</v>
      </c>
      <c r="C24" s="57" t="s">
        <v>217</v>
      </c>
      <c r="D24" s="56"/>
      <c r="E24" s="57">
        <v>3965967</v>
      </c>
    </row>
    <row r="25" spans="1:7" s="96" customFormat="1">
      <c r="A25" s="27" t="s">
        <v>582</v>
      </c>
      <c r="B25" s="39" t="s">
        <v>155</v>
      </c>
      <c r="C25" s="52" t="s">
        <v>219</v>
      </c>
      <c r="D25" s="55"/>
      <c r="E25" s="52">
        <v>357514</v>
      </c>
    </row>
    <row r="26" spans="1:7" s="96" customFormat="1">
      <c r="A26" s="623" t="s">
        <v>288</v>
      </c>
      <c r="B26" s="39" t="s">
        <v>7</v>
      </c>
      <c r="C26" s="52" t="s">
        <v>217</v>
      </c>
      <c r="D26" s="55">
        <f>+E9+E25</f>
        <v>444523</v>
      </c>
      <c r="E26" s="52"/>
      <c r="F26" s="96" t="s">
        <v>585</v>
      </c>
    </row>
    <row r="27" spans="1:7" s="96" customFormat="1">
      <c r="A27" s="27" t="s">
        <v>586</v>
      </c>
      <c r="B27" s="39" t="s">
        <v>7</v>
      </c>
      <c r="C27" s="52" t="s">
        <v>217</v>
      </c>
      <c r="D27" s="55">
        <f>+E7</f>
        <v>636371</v>
      </c>
      <c r="E27" s="52"/>
      <c r="F27" s="96" t="s">
        <v>340</v>
      </c>
    </row>
    <row r="28" spans="1:7" s="96" customFormat="1">
      <c r="A28" s="27" t="s">
        <v>586</v>
      </c>
      <c r="B28" s="42" t="s">
        <v>587</v>
      </c>
      <c r="C28" s="57" t="s">
        <v>217</v>
      </c>
      <c r="D28" s="56">
        <f>+E8</f>
        <v>1698536</v>
      </c>
      <c r="E28" s="57"/>
      <c r="F28" s="323"/>
    </row>
    <row r="29" spans="1:7">
      <c r="A29" s="27"/>
      <c r="B29" s="27"/>
      <c r="C29" s="72"/>
      <c r="D29" s="58">
        <f>SUM(D5:D28)</f>
        <v>14493684</v>
      </c>
      <c r="E29" s="58">
        <f>SUM(E5:E28)</f>
        <v>14526391</v>
      </c>
      <c r="F29" s="89">
        <f>E29-D29</f>
        <v>32707</v>
      </c>
      <c r="G29" s="89"/>
    </row>
    <row r="30" spans="1:7">
      <c r="B30" s="764" t="s">
        <v>259</v>
      </c>
      <c r="C30" s="581"/>
      <c r="D30" s="765"/>
      <c r="E30" s="765"/>
    </row>
    <row r="31" spans="1:7">
      <c r="B31" s="583" t="s">
        <v>7</v>
      </c>
      <c r="C31" s="584"/>
      <c r="D31" s="585">
        <f>+D19+D26+D27+32707</f>
        <v>1261235</v>
      </c>
      <c r="E31" s="781"/>
    </row>
    <row r="32" spans="1:7">
      <c r="B32" s="583" t="s">
        <v>84</v>
      </c>
      <c r="C32" s="584"/>
      <c r="D32" s="585">
        <f>D28+D20</f>
        <v>5743712</v>
      </c>
      <c r="E32" s="311"/>
    </row>
    <row r="33" spans="2:5">
      <c r="B33" s="583" t="s">
        <v>662</v>
      </c>
      <c r="C33" s="584"/>
      <c r="D33" s="585">
        <f>+D18+D23+D21+D22</f>
        <v>7238977</v>
      </c>
      <c r="E33" s="311"/>
    </row>
    <row r="34" spans="2:5">
      <c r="B34" s="583" t="s">
        <v>275</v>
      </c>
      <c r="C34" s="584"/>
      <c r="D34" s="585">
        <f>+D17</f>
        <v>282467</v>
      </c>
      <c r="E34" s="311"/>
    </row>
    <row r="35" spans="2:5">
      <c r="B35" s="583" t="s">
        <v>155</v>
      </c>
      <c r="C35" s="584"/>
      <c r="D35" s="311"/>
      <c r="E35" s="585">
        <f>+E24+E5+E7+E9+E10+E11+E14+E25+E6+E8+E13</f>
        <v>13532178</v>
      </c>
    </row>
    <row r="36" spans="2:5">
      <c r="B36" s="583" t="s">
        <v>5</v>
      </c>
      <c r="C36" s="584"/>
      <c r="D36" s="311"/>
      <c r="E36" s="585">
        <v>0</v>
      </c>
    </row>
    <row r="37" spans="2:5">
      <c r="B37" s="583" t="s">
        <v>74</v>
      </c>
      <c r="C37" s="584"/>
      <c r="D37" s="311"/>
      <c r="E37" s="585">
        <f>+E15</f>
        <v>865104</v>
      </c>
    </row>
    <row r="38" spans="2:5">
      <c r="B38" s="583" t="s">
        <v>668</v>
      </c>
      <c r="C38" s="584"/>
      <c r="D38" s="311"/>
      <c r="E38" s="585">
        <f>+E12</f>
        <v>129109</v>
      </c>
    </row>
    <row r="39" spans="2:5">
      <c r="B39" s="583"/>
      <c r="C39" s="584"/>
      <c r="D39" s="311"/>
      <c r="E39" s="590"/>
    </row>
    <row r="40" spans="2:5">
      <c r="B40" s="727" t="s">
        <v>663</v>
      </c>
      <c r="C40" s="728"/>
      <c r="D40" s="729">
        <f>SUM(D31:D39)</f>
        <v>14526391</v>
      </c>
      <c r="E40" s="729">
        <f>SUM(E31:E39)</f>
        <v>14526391</v>
      </c>
    </row>
    <row r="41" spans="2:5">
      <c r="D41" s="592">
        <f>D29-D40</f>
        <v>-32707</v>
      </c>
      <c r="E41" s="592">
        <f>E29-E40</f>
        <v>0</v>
      </c>
    </row>
  </sheetData>
  <conditionalFormatting sqref="E21:E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499984740745262"/>
    <pageSetUpPr fitToPage="1"/>
  </sheetPr>
  <dimension ref="A1:AI44"/>
  <sheetViews>
    <sheetView showGridLines="0" zoomScale="90" zoomScaleNormal="9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defaultColWidth="11.42578125" defaultRowHeight="9.75"/>
  <cols>
    <col min="1" max="1" width="28" style="486" bestFit="1" customWidth="1"/>
    <col min="2" max="2" width="1.7109375" style="486" customWidth="1"/>
    <col min="3" max="3" width="11" style="486" bestFit="1" customWidth="1"/>
    <col min="4" max="4" width="1.7109375" style="486" customWidth="1"/>
    <col min="5" max="5" width="11" style="486" customWidth="1"/>
    <col min="6" max="6" width="1.7109375" style="486" customWidth="1"/>
    <col min="7" max="7" width="13.28515625" style="486" customWidth="1"/>
    <col min="8" max="8" width="1.7109375" style="486" customWidth="1"/>
    <col min="9" max="9" width="9.28515625" style="486" bestFit="1" customWidth="1"/>
    <col min="10" max="10" width="1.7109375" style="486" customWidth="1"/>
    <col min="11" max="11" width="9.140625" style="486" bestFit="1" customWidth="1"/>
    <col min="12" max="12" width="1.7109375" style="486" customWidth="1"/>
    <col min="13" max="13" width="8.5703125" style="486" bestFit="1" customWidth="1"/>
    <col min="14" max="14" width="1.7109375" style="486" customWidth="1"/>
    <col min="15" max="15" width="11.42578125" style="486" bestFit="1" customWidth="1"/>
    <col min="16" max="16" width="1.7109375" style="486" customWidth="1"/>
    <col min="17" max="17" width="12.42578125" style="486" customWidth="1"/>
    <col min="18" max="18" width="1.7109375" style="486" customWidth="1"/>
    <col min="19" max="19" width="12.42578125" style="486" customWidth="1"/>
    <col min="20" max="20" width="1.7109375" style="486" customWidth="1"/>
    <col min="21" max="21" width="10" style="486" bestFit="1" customWidth="1"/>
    <col min="22" max="22" width="1.7109375" style="486" customWidth="1"/>
    <col min="23" max="23" width="10.5703125" style="486" bestFit="1" customWidth="1"/>
    <col min="24" max="24" width="1.7109375" style="486" customWidth="1"/>
    <col min="25" max="25" width="8.85546875" style="486" customWidth="1"/>
    <col min="26" max="26" width="1.7109375" style="486" customWidth="1"/>
    <col min="27" max="27" width="12" style="486" bestFit="1" customWidth="1"/>
    <col min="28" max="28" width="1.7109375" style="486" customWidth="1"/>
    <col min="29" max="29" width="11.5703125" style="486" bestFit="1" customWidth="1"/>
    <col min="30" max="30" width="1.7109375" style="486" customWidth="1"/>
    <col min="31" max="31" width="11.5703125" style="486" bestFit="1" customWidth="1"/>
    <col min="32" max="32" width="1.7109375" style="486" customWidth="1"/>
    <col min="33" max="33" width="12" style="493" bestFit="1" customWidth="1"/>
    <col min="34" max="16384" width="11.42578125" style="486"/>
  </cols>
  <sheetData>
    <row r="1" spans="1:35" s="480" customFormat="1" ht="19.5">
      <c r="C1" s="480" t="s">
        <v>151</v>
      </c>
      <c r="E1" s="480" t="s">
        <v>434</v>
      </c>
      <c r="G1" s="480" t="s">
        <v>436</v>
      </c>
      <c r="I1" s="480" t="s">
        <v>152</v>
      </c>
      <c r="K1" s="480" t="s">
        <v>156</v>
      </c>
      <c r="M1" s="480" t="s">
        <v>203</v>
      </c>
      <c r="O1" s="480" t="s">
        <v>159</v>
      </c>
      <c r="Q1" s="480" t="s">
        <v>437</v>
      </c>
      <c r="S1" s="480" t="s">
        <v>435</v>
      </c>
      <c r="U1" s="480" t="s">
        <v>204</v>
      </c>
      <c r="W1" s="480" t="s">
        <v>260</v>
      </c>
      <c r="Y1" s="480" t="s">
        <v>288</v>
      </c>
      <c r="AA1" s="480" t="s">
        <v>15</v>
      </c>
      <c r="AC1" s="480" t="s">
        <v>26</v>
      </c>
      <c r="AE1" s="480" t="s">
        <v>27</v>
      </c>
      <c r="AG1" s="480" t="s">
        <v>15</v>
      </c>
    </row>
    <row r="3" spans="1:35">
      <c r="A3" s="481" t="s">
        <v>193</v>
      </c>
      <c r="B3" s="481"/>
      <c r="C3" s="482">
        <f>'Planilla Final 2018'!B42</f>
        <v>35042687</v>
      </c>
      <c r="D3" s="483"/>
      <c r="E3" s="482">
        <f>'Planilla Final 2018'!C42</f>
        <v>5000</v>
      </c>
      <c r="F3" s="483"/>
      <c r="G3" s="482">
        <f>'Planilla Final 2018'!D42</f>
        <v>1105000</v>
      </c>
      <c r="H3" s="483"/>
      <c r="I3" s="482">
        <f>'Planilla Final 2018'!E42</f>
        <v>10000</v>
      </c>
      <c r="J3" s="483"/>
      <c r="K3" s="482">
        <f>'Planilla Final 2018'!F42</f>
        <v>1000</v>
      </c>
      <c r="L3" s="483"/>
      <c r="M3" s="482">
        <f>'Planilla Final 2018'!G42</f>
        <v>1000</v>
      </c>
      <c r="N3" s="483"/>
      <c r="O3" s="482">
        <f>'Planilla Final 2018'!H42</f>
        <v>5000</v>
      </c>
      <c r="P3" s="483"/>
      <c r="Q3" s="482">
        <f>'Planilla Final 2018'!I42</f>
        <v>10000</v>
      </c>
      <c r="R3" s="483"/>
      <c r="S3" s="482">
        <f>'Planilla Final 2018'!J42</f>
        <v>800</v>
      </c>
      <c r="T3" s="483"/>
      <c r="U3" s="482">
        <f>'Planilla Final 2018'!K42</f>
        <v>800</v>
      </c>
      <c r="V3" s="484"/>
      <c r="W3" s="482">
        <f>'Planilla Final 2018'!L42</f>
        <v>3661400</v>
      </c>
      <c r="X3" s="484"/>
      <c r="Y3" s="482">
        <f>'Planilla Final 2018'!M42+'Planilla Final 2018'!M43</f>
        <v>0</v>
      </c>
      <c r="Z3" s="483"/>
      <c r="AA3" s="483">
        <f t="shared" ref="AA3:AA11" si="0">+SUM(C3:Y3)</f>
        <v>39842687</v>
      </c>
      <c r="AB3" s="483"/>
      <c r="AC3" s="483">
        <f>SUM(E19:Y19)</f>
        <v>4753716.96</v>
      </c>
      <c r="AD3" s="483"/>
      <c r="AE3" s="483"/>
      <c r="AF3" s="483"/>
      <c r="AG3" s="485">
        <f>AA3-AC3+AE3</f>
        <v>35088970.039999999</v>
      </c>
      <c r="AI3" s="487"/>
    </row>
    <row r="4" spans="1:35">
      <c r="A4" s="481" t="s">
        <v>424</v>
      </c>
      <c r="B4" s="481"/>
      <c r="C4" s="483">
        <f>'Planilla Final 2018'!B44</f>
        <v>921</v>
      </c>
      <c r="D4" s="483"/>
      <c r="E4" s="483">
        <f>'Planilla Final 2018'!C44</f>
        <v>37142894.460000001</v>
      </c>
      <c r="F4" s="483"/>
      <c r="G4" s="483">
        <f>'Planilla Final 2018'!D44</f>
        <v>877313.05</v>
      </c>
      <c r="H4" s="483"/>
      <c r="I4" s="483">
        <v>0</v>
      </c>
      <c r="J4" s="483"/>
      <c r="K4" s="483">
        <f>'Planilla Final 2018'!F44</f>
        <v>49015</v>
      </c>
      <c r="L4" s="483"/>
      <c r="M4" s="483">
        <f>'Planilla Final 2018'!G44</f>
        <v>330450</v>
      </c>
      <c r="N4" s="483"/>
      <c r="O4" s="483">
        <v>0</v>
      </c>
      <c r="P4" s="483"/>
      <c r="Q4" s="483">
        <v>0</v>
      </c>
      <c r="R4" s="483"/>
      <c r="S4" s="483">
        <v>0</v>
      </c>
      <c r="T4" s="483"/>
      <c r="U4" s="483">
        <f>'Planilla Final 2018'!K44</f>
        <v>1833417.66</v>
      </c>
      <c r="V4" s="484"/>
      <c r="W4" s="483">
        <f>'Planilla Final 2018'!L44</f>
        <v>406799.86000000004</v>
      </c>
      <c r="X4" s="484"/>
      <c r="Y4" s="483">
        <v>0</v>
      </c>
      <c r="Z4" s="483"/>
      <c r="AA4" s="483">
        <f t="shared" si="0"/>
        <v>40640811.029999994</v>
      </c>
      <c r="AB4" s="483"/>
      <c r="AC4" s="483">
        <f>SUM(D20:Y20)</f>
        <v>31112860.97336892</v>
      </c>
      <c r="AD4" s="483"/>
      <c r="AE4" s="483"/>
      <c r="AF4" s="483"/>
      <c r="AG4" s="485">
        <f t="shared" ref="AG4:AG11" si="1">AA4-AC4+AE4</f>
        <v>9527950.0566310734</v>
      </c>
    </row>
    <row r="5" spans="1:35">
      <c r="A5" s="481" t="s">
        <v>17</v>
      </c>
      <c r="B5" s="488"/>
      <c r="C5" s="483">
        <f>'Planilla Final 2018'!B45</f>
        <v>5222508.5599999996</v>
      </c>
      <c r="D5" s="483"/>
      <c r="E5" s="483">
        <v>0</v>
      </c>
      <c r="F5" s="483"/>
      <c r="G5" s="483">
        <v>0</v>
      </c>
      <c r="H5" s="483"/>
      <c r="I5" s="483">
        <f>'Planilla Final 2018'!E45</f>
        <v>74426.570000000007</v>
      </c>
      <c r="J5" s="483"/>
      <c r="K5" s="483">
        <f>'Planilla Final 2018'!F45</f>
        <v>500</v>
      </c>
      <c r="L5" s="483"/>
      <c r="M5" s="483">
        <v>0</v>
      </c>
      <c r="N5" s="483"/>
      <c r="O5" s="483">
        <f>'Planilla Final 2018'!H45</f>
        <v>1226.1199999999999</v>
      </c>
      <c r="P5" s="483"/>
      <c r="Q5" s="483">
        <v>0</v>
      </c>
      <c r="R5" s="483"/>
      <c r="S5" s="483">
        <v>0</v>
      </c>
      <c r="T5" s="483"/>
      <c r="U5" s="483">
        <v>0</v>
      </c>
      <c r="V5" s="484"/>
      <c r="W5" s="483">
        <v>0</v>
      </c>
      <c r="X5" s="484"/>
      <c r="Y5" s="483">
        <v>0</v>
      </c>
      <c r="Z5" s="483"/>
      <c r="AA5" s="483">
        <f t="shared" si="0"/>
        <v>5298661.25</v>
      </c>
      <c r="AB5" s="483"/>
      <c r="AC5" s="483">
        <f>SUM(D21:Y21)</f>
        <v>51997.906960000008</v>
      </c>
      <c r="AD5" s="483"/>
      <c r="AE5" s="483"/>
      <c r="AF5" s="483"/>
      <c r="AG5" s="485">
        <f t="shared" si="1"/>
        <v>5246663.3430399997</v>
      </c>
    </row>
    <row r="6" spans="1:35">
      <c r="A6" s="481" t="s">
        <v>19</v>
      </c>
      <c r="B6" s="488"/>
      <c r="C6" s="483">
        <f>'Planilla Final 2018'!B46</f>
        <v>34797</v>
      </c>
      <c r="D6" s="483"/>
      <c r="E6" s="483">
        <v>0</v>
      </c>
      <c r="F6" s="483"/>
      <c r="G6" s="483">
        <v>0</v>
      </c>
      <c r="H6" s="483"/>
      <c r="I6" s="483">
        <v>0</v>
      </c>
      <c r="J6" s="483"/>
      <c r="K6" s="483">
        <v>0</v>
      </c>
      <c r="L6" s="483"/>
      <c r="M6" s="483">
        <v>0</v>
      </c>
      <c r="N6" s="483"/>
      <c r="O6" s="483">
        <v>0</v>
      </c>
      <c r="P6" s="483"/>
      <c r="Q6" s="483">
        <v>0</v>
      </c>
      <c r="R6" s="483"/>
      <c r="S6" s="483">
        <v>0</v>
      </c>
      <c r="T6" s="483"/>
      <c r="U6" s="483">
        <v>0</v>
      </c>
      <c r="V6" s="484"/>
      <c r="W6" s="483">
        <v>0</v>
      </c>
      <c r="X6" s="484"/>
      <c r="Y6" s="483">
        <v>0</v>
      </c>
      <c r="Z6" s="483"/>
      <c r="AA6" s="483">
        <f t="shared" si="0"/>
        <v>34797</v>
      </c>
      <c r="AB6" s="483"/>
      <c r="AC6" s="483">
        <v>0</v>
      </c>
      <c r="AD6" s="483"/>
      <c r="AE6" s="483">
        <v>0</v>
      </c>
      <c r="AF6" s="483"/>
      <c r="AG6" s="485">
        <f t="shared" si="1"/>
        <v>34797</v>
      </c>
    </row>
    <row r="7" spans="1:35">
      <c r="A7" s="481" t="s">
        <v>421</v>
      </c>
      <c r="B7" s="488"/>
      <c r="C7" s="483">
        <f>'Planilla Final 2018'!B47</f>
        <v>227072</v>
      </c>
      <c r="D7" s="483"/>
      <c r="E7" s="483">
        <v>0</v>
      </c>
      <c r="F7" s="483"/>
      <c r="G7" s="483">
        <v>0</v>
      </c>
      <c r="H7" s="483"/>
      <c r="I7" s="600">
        <v>0</v>
      </c>
      <c r="J7" s="483"/>
      <c r="K7" s="483">
        <v>0</v>
      </c>
      <c r="L7" s="483"/>
      <c r="M7" s="483">
        <f>'Planilla Final 2018'!G47</f>
        <v>109633</v>
      </c>
      <c r="N7" s="483"/>
      <c r="O7" s="483">
        <v>0</v>
      </c>
      <c r="P7" s="483"/>
      <c r="Q7" s="483">
        <v>0</v>
      </c>
      <c r="R7" s="483"/>
      <c r="S7" s="483">
        <f>'Planilla Final 2018'!J47</f>
        <v>340</v>
      </c>
      <c r="T7" s="483"/>
      <c r="U7" s="483">
        <v>0</v>
      </c>
      <c r="V7" s="484"/>
      <c r="W7" s="483">
        <v>0</v>
      </c>
      <c r="X7" s="484"/>
      <c r="Y7" s="483">
        <v>0</v>
      </c>
      <c r="Z7" s="483"/>
      <c r="AA7" s="483">
        <f>+SUM(C7:Y7)</f>
        <v>337045</v>
      </c>
      <c r="AB7" s="483"/>
      <c r="AC7" s="483">
        <f>SUM(E23:Y23)</f>
        <v>82564.732999999993</v>
      </c>
      <c r="AD7" s="483"/>
      <c r="AE7" s="483"/>
      <c r="AF7" s="483"/>
      <c r="AG7" s="485">
        <f>AA7-AC7+AE7</f>
        <v>254480.26699999999</v>
      </c>
    </row>
    <row r="8" spans="1:35">
      <c r="A8" s="481" t="s">
        <v>426</v>
      </c>
      <c r="B8" s="488"/>
      <c r="C8" s="483">
        <f>'Planilla Final 2018'!B49</f>
        <v>1423943</v>
      </c>
      <c r="D8" s="483"/>
      <c r="E8" s="483">
        <f>'Planilla Final 2018'!C49</f>
        <v>-1022673.47</v>
      </c>
      <c r="F8" s="483"/>
      <c r="G8" s="483">
        <v>0</v>
      </c>
      <c r="H8" s="483"/>
      <c r="I8" s="483">
        <v>0</v>
      </c>
      <c r="J8" s="483"/>
      <c r="K8" s="483">
        <v>0</v>
      </c>
      <c r="L8" s="483"/>
      <c r="M8" s="483">
        <v>0</v>
      </c>
      <c r="N8" s="483"/>
      <c r="O8" s="483">
        <v>0</v>
      </c>
      <c r="P8" s="483"/>
      <c r="Q8" s="483">
        <v>0</v>
      </c>
      <c r="R8" s="483"/>
      <c r="S8" s="483">
        <v>0</v>
      </c>
      <c r="T8" s="483"/>
      <c r="U8" s="483">
        <v>0</v>
      </c>
      <c r="V8" s="484"/>
      <c r="W8" s="483">
        <f>'Planilla Final 2018'!L49</f>
        <v>274690.03999999998</v>
      </c>
      <c r="X8" s="484"/>
      <c r="Y8" s="483">
        <v>0</v>
      </c>
      <c r="Z8" s="483"/>
      <c r="AA8" s="483">
        <f t="shared" si="0"/>
        <v>675959.57000000007</v>
      </c>
      <c r="AB8" s="483"/>
      <c r="AC8" s="483">
        <f>W24</f>
        <v>271943.13959999999</v>
      </c>
      <c r="AD8" s="483"/>
      <c r="AE8" s="483">
        <f>-E24</f>
        <v>767209.63719399995</v>
      </c>
      <c r="AF8" s="483"/>
      <c r="AG8" s="485">
        <f t="shared" si="1"/>
        <v>1171226.0675940001</v>
      </c>
    </row>
    <row r="9" spans="1:35">
      <c r="A9" s="481" t="s">
        <v>427</v>
      </c>
      <c r="B9" s="488"/>
      <c r="C9" s="483">
        <f>'Planilla Final 2018'!B48</f>
        <v>-3202431</v>
      </c>
      <c r="D9" s="483"/>
      <c r="E9" s="483">
        <v>0</v>
      </c>
      <c r="F9" s="483"/>
      <c r="G9" s="483">
        <v>0</v>
      </c>
      <c r="H9" s="483"/>
      <c r="I9" s="483">
        <v>0</v>
      </c>
      <c r="J9" s="483"/>
      <c r="K9" s="483">
        <v>0</v>
      </c>
      <c r="L9" s="483"/>
      <c r="M9" s="483">
        <v>0</v>
      </c>
      <c r="N9" s="483"/>
      <c r="O9" s="483">
        <v>0</v>
      </c>
      <c r="P9" s="483"/>
      <c r="Q9" s="483">
        <v>0</v>
      </c>
      <c r="R9" s="483"/>
      <c r="S9" s="483">
        <v>0</v>
      </c>
      <c r="T9" s="483"/>
      <c r="U9" s="483">
        <v>0</v>
      </c>
      <c r="V9" s="484"/>
      <c r="W9" s="483">
        <v>0</v>
      </c>
      <c r="X9" s="484"/>
      <c r="Y9" s="483">
        <v>0</v>
      </c>
      <c r="Z9" s="483"/>
      <c r="AA9" s="483">
        <f t="shared" si="0"/>
        <v>-3202431</v>
      </c>
      <c r="AB9" s="483"/>
      <c r="AC9" s="483">
        <v>0</v>
      </c>
      <c r="AD9" s="483"/>
      <c r="AE9" s="483">
        <v>0</v>
      </c>
      <c r="AF9" s="483"/>
      <c r="AG9" s="485">
        <f t="shared" si="1"/>
        <v>-3202431</v>
      </c>
    </row>
    <row r="10" spans="1:35">
      <c r="A10" s="481" t="s">
        <v>425</v>
      </c>
      <c r="B10" s="488"/>
      <c r="C10" s="483">
        <v>0</v>
      </c>
      <c r="D10" s="483"/>
      <c r="E10" s="483">
        <v>0</v>
      </c>
      <c r="F10" s="483"/>
      <c r="G10" s="483">
        <v>0</v>
      </c>
      <c r="H10" s="483"/>
      <c r="I10" s="483">
        <v>0</v>
      </c>
      <c r="J10" s="483"/>
      <c r="K10" s="483">
        <v>0</v>
      </c>
      <c r="L10" s="483"/>
      <c r="M10" s="483">
        <v>0</v>
      </c>
      <c r="N10" s="483"/>
      <c r="O10" s="483">
        <v>0</v>
      </c>
      <c r="P10" s="483"/>
      <c r="Q10" s="483">
        <v>0</v>
      </c>
      <c r="R10" s="483"/>
      <c r="S10" s="483">
        <v>0</v>
      </c>
      <c r="T10" s="483"/>
      <c r="U10" s="483">
        <v>0</v>
      </c>
      <c r="V10" s="484"/>
      <c r="W10" s="483">
        <v>0</v>
      </c>
      <c r="X10" s="484"/>
      <c r="Y10" s="483">
        <v>0</v>
      </c>
      <c r="Z10" s="483"/>
      <c r="AA10" s="483">
        <f t="shared" si="0"/>
        <v>0</v>
      </c>
      <c r="AB10" s="483"/>
      <c r="AC10" s="483">
        <v>0</v>
      </c>
      <c r="AD10" s="483"/>
      <c r="AE10" s="483"/>
      <c r="AF10" s="483"/>
      <c r="AG10" s="485">
        <f t="shared" si="1"/>
        <v>0</v>
      </c>
    </row>
    <row r="11" spans="1:35">
      <c r="A11" s="481" t="s">
        <v>157</v>
      </c>
      <c r="B11" s="488"/>
      <c r="C11" s="483">
        <f>'Planilla Final 2018'!B50</f>
        <v>42657481.159999989</v>
      </c>
      <c r="D11" s="483"/>
      <c r="E11" s="483">
        <f>'Planilla Final 2018'!C50</f>
        <v>-3575591.2</v>
      </c>
      <c r="F11" s="483"/>
      <c r="G11" s="483">
        <f>'Planilla Final 2018'!D50</f>
        <v>50053.89</v>
      </c>
      <c r="H11" s="483"/>
      <c r="I11" s="483">
        <f>'Planilla Final 2018'!E50</f>
        <v>34763.730000000003</v>
      </c>
      <c r="J11" s="483"/>
      <c r="K11" s="483">
        <f>'Planilla Final 2018'!F50</f>
        <v>-1141029.99</v>
      </c>
      <c r="L11" s="483"/>
      <c r="M11" s="483">
        <f>'Planilla Final 2018'!G50</f>
        <v>-80844</v>
      </c>
      <c r="N11" s="483"/>
      <c r="O11" s="483">
        <f>'Planilla Final 2018'!H50</f>
        <v>1762.47</v>
      </c>
      <c r="P11" s="483"/>
      <c r="Q11" s="483">
        <v>0</v>
      </c>
      <c r="R11" s="483"/>
      <c r="S11" s="483">
        <f>'Planilla Final 2018'!J50</f>
        <v>0</v>
      </c>
      <c r="T11" s="483"/>
      <c r="U11" s="483">
        <f>'Planilla Final 2018'!K50</f>
        <v>-1012827.23</v>
      </c>
      <c r="V11" s="484"/>
      <c r="W11" s="483">
        <f>'Planilla Final 2018'!L50</f>
        <v>-4837193.87</v>
      </c>
      <c r="X11" s="484"/>
      <c r="Y11" s="483">
        <f>'Planilla Final 2018'!M50</f>
        <v>-439560</v>
      </c>
      <c r="Z11" s="483"/>
      <c r="AA11" s="483">
        <f t="shared" si="0"/>
        <v>31657014.959999982</v>
      </c>
      <c r="AB11" s="483"/>
      <c r="AC11" s="483">
        <f>G27+I27+O27</f>
        <v>75326.533678099542</v>
      </c>
      <c r="AD11" s="483"/>
      <c r="AE11" s="483">
        <f>-E27-K27-M27-S27-U27-W27-Y27</f>
        <v>9478803.632290002</v>
      </c>
      <c r="AF11" s="483"/>
      <c r="AG11" s="485">
        <f t="shared" si="1"/>
        <v>41060492.058611885</v>
      </c>
    </row>
    <row r="12" spans="1:35" ht="5.0999999999999996" customHeight="1">
      <c r="C12" s="483"/>
      <c r="D12" s="483"/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3"/>
      <c r="R12" s="483"/>
      <c r="S12" s="483"/>
      <c r="T12" s="483"/>
      <c r="U12" s="483"/>
      <c r="V12" s="484"/>
      <c r="W12" s="483"/>
      <c r="X12" s="484"/>
      <c r="Y12" s="483"/>
      <c r="Z12" s="483"/>
      <c r="AA12" s="483"/>
      <c r="AB12" s="483"/>
      <c r="AC12" s="483"/>
      <c r="AD12" s="483"/>
      <c r="AE12" s="483"/>
      <c r="AF12" s="483"/>
      <c r="AG12" s="485"/>
    </row>
    <row r="13" spans="1:35" ht="10.5" thickBot="1">
      <c r="A13" s="486" t="s">
        <v>428</v>
      </c>
      <c r="C13" s="489">
        <f>+SUM(C3:C11)</f>
        <v>81406978.719999999</v>
      </c>
      <c r="D13" s="483"/>
      <c r="E13" s="489">
        <f>+SUM(E3:E11)</f>
        <v>32549629.790000003</v>
      </c>
      <c r="F13" s="483"/>
      <c r="G13" s="489">
        <f>+SUM(G3:G11)</f>
        <v>2032366.94</v>
      </c>
      <c r="H13" s="483"/>
      <c r="I13" s="489">
        <f>+SUM(I3:I11)</f>
        <v>119190.30000000002</v>
      </c>
      <c r="J13" s="483"/>
      <c r="K13" s="489">
        <f>+SUM(K3:K11)</f>
        <v>-1090514.99</v>
      </c>
      <c r="L13" s="483"/>
      <c r="M13" s="489">
        <f>+SUM(M3:M11)</f>
        <v>360239</v>
      </c>
      <c r="N13" s="483"/>
      <c r="O13" s="489">
        <f>+SUM(O3:O11)</f>
        <v>7988.59</v>
      </c>
      <c r="P13" s="483"/>
      <c r="Q13" s="489">
        <f>+SUM(Q3:Q11)</f>
        <v>10000</v>
      </c>
      <c r="R13" s="483"/>
      <c r="S13" s="489">
        <f>+SUM(S3:S11)</f>
        <v>1140</v>
      </c>
      <c r="T13" s="483"/>
      <c r="U13" s="489">
        <f>+SUM(U3:U11)</f>
        <v>821390.42999999993</v>
      </c>
      <c r="V13" s="484"/>
      <c r="W13" s="489">
        <f>+SUM(W3:W11)</f>
        <v>-494303.97000000067</v>
      </c>
      <c r="X13" s="484"/>
      <c r="Y13" s="489">
        <f>+SUM(Y3:Y11)</f>
        <v>-439560</v>
      </c>
      <c r="Z13" s="483"/>
      <c r="AA13" s="489">
        <f>+SUM(AA3:AA11)</f>
        <v>115284544.80999997</v>
      </c>
      <c r="AB13" s="483"/>
      <c r="AC13" s="489">
        <f>+SUM(AC3:AC11)</f>
        <v>36348410.246607028</v>
      </c>
      <c r="AD13" s="483"/>
      <c r="AE13" s="489">
        <f>+SUM(AE3:AE11)</f>
        <v>10246013.269484002</v>
      </c>
      <c r="AF13" s="483"/>
      <c r="AG13" s="490">
        <f>+SUM(AG3:AG11)</f>
        <v>89182147.832876951</v>
      </c>
    </row>
    <row r="14" spans="1:35" ht="5.0999999999999996" customHeight="1" thickTop="1">
      <c r="C14" s="483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4"/>
      <c r="W14" s="483"/>
      <c r="X14" s="484"/>
      <c r="Y14" s="483"/>
      <c r="Z14" s="483"/>
      <c r="AA14" s="483"/>
      <c r="AB14" s="483"/>
      <c r="AC14" s="483"/>
      <c r="AD14" s="483"/>
      <c r="AE14" s="483"/>
      <c r="AF14" s="483"/>
      <c r="AG14" s="485"/>
    </row>
    <row r="15" spans="1:35" ht="5.0999999999999996" customHeight="1">
      <c r="V15" s="491"/>
      <c r="X15" s="491"/>
      <c r="AC15" s="492"/>
      <c r="AE15" s="492"/>
    </row>
    <row r="16" spans="1:35" s="494" customFormat="1">
      <c r="A16" s="494" t="s">
        <v>429</v>
      </c>
      <c r="C16" s="598">
        <v>1</v>
      </c>
      <c r="E16" s="598">
        <v>0.75019999999999998</v>
      </c>
      <c r="G16" s="599">
        <f>+(1104950/1105000)</f>
        <v>0.99995475113122168</v>
      </c>
      <c r="I16" s="598">
        <f>+(0.68)*100%</f>
        <v>0.68</v>
      </c>
      <c r="K16" s="598">
        <v>0.5</v>
      </c>
      <c r="M16" s="598">
        <v>0.75</v>
      </c>
      <c r="O16" s="598">
        <f>+(0.928)*100%</f>
        <v>0.92800000000000005</v>
      </c>
      <c r="Q16" s="598">
        <v>0.6</v>
      </c>
      <c r="S16" s="599">
        <f>+(799.96/800)*100%</f>
        <v>0.99995000000000001</v>
      </c>
      <c r="U16" s="598">
        <v>0.92500000000000004</v>
      </c>
      <c r="V16" s="495"/>
      <c r="W16" s="598">
        <v>0.99</v>
      </c>
      <c r="X16" s="495"/>
      <c r="Y16" s="598">
        <v>1</v>
      </c>
      <c r="AE16" s="496"/>
      <c r="AG16" s="497"/>
    </row>
    <row r="17" spans="1:35" ht="5.0999999999999996" customHeight="1">
      <c r="C17" s="492"/>
      <c r="E17" s="492"/>
      <c r="I17" s="492"/>
      <c r="K17" s="492"/>
      <c r="M17" s="492"/>
      <c r="O17" s="492"/>
      <c r="Q17" s="492"/>
      <c r="S17" s="492"/>
      <c r="U17" s="492"/>
      <c r="V17" s="491"/>
      <c r="W17" s="492"/>
      <c r="X17" s="491"/>
      <c r="Y17" s="492"/>
      <c r="AC17" s="492"/>
      <c r="AG17" s="498"/>
    </row>
    <row r="18" spans="1:35">
      <c r="A18" s="499" t="s">
        <v>430</v>
      </c>
      <c r="C18" s="492"/>
      <c r="E18" s="492"/>
      <c r="I18" s="492"/>
      <c r="K18" s="492"/>
      <c r="M18" s="492"/>
      <c r="O18" s="492"/>
      <c r="Q18" s="492"/>
      <c r="S18" s="492"/>
      <c r="U18" s="492"/>
      <c r="V18" s="491"/>
      <c r="W18" s="492"/>
      <c r="X18" s="491"/>
      <c r="Y18" s="492"/>
      <c r="AC18" s="492"/>
      <c r="AE18" s="492"/>
      <c r="AG18" s="498"/>
    </row>
    <row r="19" spans="1:35">
      <c r="A19" s="481" t="s">
        <v>193</v>
      </c>
      <c r="C19" s="483">
        <f t="shared" ref="C19:C25" si="2">+C3*C$16</f>
        <v>35042687</v>
      </c>
      <c r="D19" s="483"/>
      <c r="E19" s="483">
        <f t="shared" ref="E19:E27" si="3">+E3*E$16</f>
        <v>3751</v>
      </c>
      <c r="F19" s="483"/>
      <c r="G19" s="483">
        <f t="shared" ref="G19:G27" si="4">+G3*G$16</f>
        <v>1104950</v>
      </c>
      <c r="H19" s="483"/>
      <c r="I19" s="483">
        <f t="shared" ref="I19:I27" si="5">+I3*I$16</f>
        <v>6800.0000000000009</v>
      </c>
      <c r="J19" s="483"/>
      <c r="K19" s="483">
        <f t="shared" ref="K19:K27" si="6">+K3*K$16</f>
        <v>500</v>
      </c>
      <c r="L19" s="483"/>
      <c r="M19" s="483">
        <f t="shared" ref="M19:M27" si="7">+M3*M$16</f>
        <v>750</v>
      </c>
      <c r="N19" s="483"/>
      <c r="O19" s="483">
        <f t="shared" ref="O19:O27" si="8">+O3*O$16</f>
        <v>4640</v>
      </c>
      <c r="P19" s="483"/>
      <c r="Q19" s="483">
        <f t="shared" ref="Q19:Q27" si="9">+Q3*Q$16</f>
        <v>6000</v>
      </c>
      <c r="R19" s="483"/>
      <c r="S19" s="483">
        <f t="shared" ref="S19:S27" si="10">+S3*S$16</f>
        <v>799.96</v>
      </c>
      <c r="T19" s="483"/>
      <c r="U19" s="483">
        <f t="shared" ref="U19:U27" si="11">+U3*U$16</f>
        <v>740</v>
      </c>
      <c r="V19" s="484"/>
      <c r="W19" s="483">
        <f t="shared" ref="W19:W27" si="12">+W3*W$16</f>
        <v>3624786</v>
      </c>
      <c r="X19" s="484"/>
      <c r="Y19" s="483">
        <f t="shared" ref="Y19:Y27" si="13">+Y3*Y$16</f>
        <v>0</v>
      </c>
      <c r="Z19" s="483"/>
      <c r="AA19" s="483">
        <f>+SUM(C19:Z19)</f>
        <v>39796403.960000001</v>
      </c>
      <c r="AC19" s="492">
        <f t="shared" ref="AC19:AC25" si="14">+AC3</f>
        <v>4753716.96</v>
      </c>
      <c r="AE19" s="500">
        <f t="shared" ref="AE19:AE27" si="15">+AE3</f>
        <v>0</v>
      </c>
      <c r="AG19" s="485">
        <f t="shared" ref="AG19:AG27" si="16">AA19-AC19+AE19</f>
        <v>35042687</v>
      </c>
      <c r="AH19" s="492">
        <f>C19-AG19</f>
        <v>0</v>
      </c>
      <c r="AI19" s="492">
        <f>SUM(E19:Z27)</f>
        <v>26102396.977123026</v>
      </c>
    </row>
    <row r="20" spans="1:35">
      <c r="A20" s="481" t="s">
        <v>424</v>
      </c>
      <c r="C20" s="483">
        <f t="shared" si="2"/>
        <v>921</v>
      </c>
      <c r="D20" s="483"/>
      <c r="E20" s="483">
        <f t="shared" si="3"/>
        <v>27864599.423891999</v>
      </c>
      <c r="F20" s="483"/>
      <c r="G20" s="483">
        <f t="shared" si="4"/>
        <v>877273.35257692309</v>
      </c>
      <c r="H20" s="483"/>
      <c r="I20" s="483">
        <f t="shared" si="5"/>
        <v>0</v>
      </c>
      <c r="J20" s="483"/>
      <c r="K20" s="483">
        <f t="shared" si="6"/>
        <v>24507.5</v>
      </c>
      <c r="L20" s="483"/>
      <c r="M20" s="483">
        <f t="shared" si="7"/>
        <v>247837.5</v>
      </c>
      <c r="N20" s="483"/>
      <c r="O20" s="483">
        <f t="shared" si="8"/>
        <v>0</v>
      </c>
      <c r="P20" s="483"/>
      <c r="Q20" s="483">
        <f t="shared" si="9"/>
        <v>0</v>
      </c>
      <c r="R20" s="483"/>
      <c r="S20" s="483">
        <f t="shared" si="10"/>
        <v>0</v>
      </c>
      <c r="T20" s="483"/>
      <c r="U20" s="483">
        <f t="shared" si="11"/>
        <v>1695911.3355</v>
      </c>
      <c r="V20" s="484"/>
      <c r="W20" s="483">
        <f t="shared" si="12"/>
        <v>402731.86140000005</v>
      </c>
      <c r="X20" s="484"/>
      <c r="Y20" s="483">
        <f t="shared" si="13"/>
        <v>0</v>
      </c>
      <c r="Z20" s="483"/>
      <c r="AA20" s="483">
        <f t="shared" ref="AA20:AA27" si="17">+SUM(C20:Z20)</f>
        <v>31113781.97336892</v>
      </c>
      <c r="AC20" s="492">
        <f t="shared" si="14"/>
        <v>31112860.97336892</v>
      </c>
      <c r="AE20" s="500">
        <f t="shared" si="15"/>
        <v>0</v>
      </c>
      <c r="AG20" s="485">
        <f t="shared" si="16"/>
        <v>921</v>
      </c>
      <c r="AH20" s="492">
        <f t="shared" ref="AH20:AH28" si="18">C20-AG20</f>
        <v>0</v>
      </c>
    </row>
    <row r="21" spans="1:35">
      <c r="A21" s="481" t="s">
        <v>17</v>
      </c>
      <c r="C21" s="483">
        <f t="shared" si="2"/>
        <v>5222508.5599999996</v>
      </c>
      <c r="D21" s="483"/>
      <c r="E21" s="483">
        <f t="shared" si="3"/>
        <v>0</v>
      </c>
      <c r="F21" s="483"/>
      <c r="G21" s="483">
        <f t="shared" si="4"/>
        <v>0</v>
      </c>
      <c r="H21" s="483"/>
      <c r="I21" s="483">
        <f t="shared" si="5"/>
        <v>50610.067600000009</v>
      </c>
      <c r="J21" s="483"/>
      <c r="K21" s="483">
        <f t="shared" si="6"/>
        <v>250</v>
      </c>
      <c r="L21" s="483"/>
      <c r="M21" s="483">
        <f t="shared" si="7"/>
        <v>0</v>
      </c>
      <c r="N21" s="483"/>
      <c r="O21" s="483">
        <f t="shared" si="8"/>
        <v>1137.8393599999999</v>
      </c>
      <c r="P21" s="483"/>
      <c r="Q21" s="483">
        <f t="shared" si="9"/>
        <v>0</v>
      </c>
      <c r="R21" s="483"/>
      <c r="S21" s="483">
        <f t="shared" si="10"/>
        <v>0</v>
      </c>
      <c r="T21" s="483"/>
      <c r="U21" s="483">
        <f t="shared" si="11"/>
        <v>0</v>
      </c>
      <c r="V21" s="484"/>
      <c r="W21" s="483">
        <f t="shared" si="12"/>
        <v>0</v>
      </c>
      <c r="X21" s="484"/>
      <c r="Y21" s="483">
        <f t="shared" si="13"/>
        <v>0</v>
      </c>
      <c r="Z21" s="483"/>
      <c r="AA21" s="483">
        <f t="shared" si="17"/>
        <v>5274506.4669599989</v>
      </c>
      <c r="AC21" s="492">
        <f t="shared" si="14"/>
        <v>51997.906960000008</v>
      </c>
      <c r="AE21" s="500">
        <f t="shared" si="15"/>
        <v>0</v>
      </c>
      <c r="AG21" s="485">
        <f t="shared" si="16"/>
        <v>5222508.5599999987</v>
      </c>
      <c r="AH21" s="492">
        <f t="shared" si="18"/>
        <v>0</v>
      </c>
    </row>
    <row r="22" spans="1:35">
      <c r="A22" s="481" t="s">
        <v>19</v>
      </c>
      <c r="C22" s="483">
        <f t="shared" si="2"/>
        <v>34797</v>
      </c>
      <c r="D22" s="483"/>
      <c r="E22" s="483">
        <f t="shared" si="3"/>
        <v>0</v>
      </c>
      <c r="F22" s="483"/>
      <c r="G22" s="483">
        <f t="shared" si="4"/>
        <v>0</v>
      </c>
      <c r="H22" s="483"/>
      <c r="I22" s="483">
        <f t="shared" si="5"/>
        <v>0</v>
      </c>
      <c r="J22" s="483"/>
      <c r="K22" s="483">
        <f t="shared" si="6"/>
        <v>0</v>
      </c>
      <c r="L22" s="483"/>
      <c r="M22" s="483">
        <f t="shared" si="7"/>
        <v>0</v>
      </c>
      <c r="N22" s="483"/>
      <c r="O22" s="483">
        <f t="shared" si="8"/>
        <v>0</v>
      </c>
      <c r="P22" s="483"/>
      <c r="Q22" s="483">
        <f t="shared" si="9"/>
        <v>0</v>
      </c>
      <c r="R22" s="483"/>
      <c r="S22" s="483">
        <f t="shared" si="10"/>
        <v>0</v>
      </c>
      <c r="T22" s="483"/>
      <c r="U22" s="483">
        <f t="shared" si="11"/>
        <v>0</v>
      </c>
      <c r="V22" s="484"/>
      <c r="W22" s="483">
        <f t="shared" si="12"/>
        <v>0</v>
      </c>
      <c r="X22" s="484"/>
      <c r="Y22" s="483">
        <f t="shared" si="13"/>
        <v>0</v>
      </c>
      <c r="Z22" s="483"/>
      <c r="AA22" s="483">
        <f t="shared" si="17"/>
        <v>34797</v>
      </c>
      <c r="AC22" s="492">
        <f t="shared" si="14"/>
        <v>0</v>
      </c>
      <c r="AE22" s="500">
        <f t="shared" si="15"/>
        <v>0</v>
      </c>
      <c r="AG22" s="485">
        <f t="shared" si="16"/>
        <v>34797</v>
      </c>
      <c r="AH22" s="492">
        <f t="shared" si="18"/>
        <v>0</v>
      </c>
    </row>
    <row r="23" spans="1:35">
      <c r="A23" s="481" t="s">
        <v>421</v>
      </c>
      <c r="C23" s="483">
        <f t="shared" si="2"/>
        <v>227072</v>
      </c>
      <c r="D23" s="483"/>
      <c r="E23" s="483">
        <f t="shared" si="3"/>
        <v>0</v>
      </c>
      <c r="F23" s="483"/>
      <c r="G23" s="483">
        <f t="shared" si="4"/>
        <v>0</v>
      </c>
      <c r="H23" s="483"/>
      <c r="I23" s="483">
        <f t="shared" si="5"/>
        <v>0</v>
      </c>
      <c r="J23" s="483"/>
      <c r="K23" s="483">
        <f t="shared" si="6"/>
        <v>0</v>
      </c>
      <c r="L23" s="483"/>
      <c r="M23" s="483">
        <f t="shared" si="7"/>
        <v>82224.75</v>
      </c>
      <c r="N23" s="483"/>
      <c r="O23" s="483">
        <f t="shared" si="8"/>
        <v>0</v>
      </c>
      <c r="P23" s="483"/>
      <c r="Q23" s="483">
        <f t="shared" si="9"/>
        <v>0</v>
      </c>
      <c r="R23" s="483"/>
      <c r="S23" s="483">
        <f t="shared" si="10"/>
        <v>339.983</v>
      </c>
      <c r="T23" s="483"/>
      <c r="U23" s="483">
        <f t="shared" si="11"/>
        <v>0</v>
      </c>
      <c r="V23" s="484"/>
      <c r="W23" s="483">
        <f t="shared" si="12"/>
        <v>0</v>
      </c>
      <c r="X23" s="484"/>
      <c r="Y23" s="483">
        <f t="shared" si="13"/>
        <v>0</v>
      </c>
      <c r="Z23" s="483"/>
      <c r="AA23" s="483">
        <f>+SUM(C23:Z23)</f>
        <v>309636.73300000001</v>
      </c>
      <c r="AC23" s="492">
        <f t="shared" si="14"/>
        <v>82564.732999999993</v>
      </c>
      <c r="AE23" s="500">
        <f t="shared" si="15"/>
        <v>0</v>
      </c>
      <c r="AG23" s="485">
        <f>AA23-AC23+AE23</f>
        <v>227072</v>
      </c>
      <c r="AH23" s="492">
        <f>C23-AG23</f>
        <v>0</v>
      </c>
    </row>
    <row r="24" spans="1:35">
      <c r="A24" s="481" t="s">
        <v>426</v>
      </c>
      <c r="C24" s="483">
        <f t="shared" si="2"/>
        <v>1423943</v>
      </c>
      <c r="D24" s="483"/>
      <c r="E24" s="483">
        <f t="shared" si="3"/>
        <v>-767209.63719399995</v>
      </c>
      <c r="F24" s="483"/>
      <c r="G24" s="483">
        <f t="shared" si="4"/>
        <v>0</v>
      </c>
      <c r="H24" s="483"/>
      <c r="I24" s="483">
        <f t="shared" si="5"/>
        <v>0</v>
      </c>
      <c r="J24" s="483"/>
      <c r="K24" s="483">
        <f t="shared" si="6"/>
        <v>0</v>
      </c>
      <c r="L24" s="483"/>
      <c r="M24" s="483">
        <f t="shared" si="7"/>
        <v>0</v>
      </c>
      <c r="N24" s="483"/>
      <c r="O24" s="483">
        <f t="shared" si="8"/>
        <v>0</v>
      </c>
      <c r="P24" s="483"/>
      <c r="Q24" s="483">
        <f t="shared" si="9"/>
        <v>0</v>
      </c>
      <c r="R24" s="483"/>
      <c r="S24" s="483">
        <f t="shared" si="10"/>
        <v>0</v>
      </c>
      <c r="T24" s="483"/>
      <c r="U24" s="483">
        <f t="shared" si="11"/>
        <v>0</v>
      </c>
      <c r="V24" s="484"/>
      <c r="W24" s="483">
        <f t="shared" si="12"/>
        <v>271943.13959999999</v>
      </c>
      <c r="X24" s="484"/>
      <c r="Y24" s="483">
        <f t="shared" si="13"/>
        <v>0</v>
      </c>
      <c r="Z24" s="483"/>
      <c r="AA24" s="483">
        <f>+SUM(C24:Z24)</f>
        <v>928676.50240600004</v>
      </c>
      <c r="AC24" s="492">
        <f t="shared" si="14"/>
        <v>271943.13959999999</v>
      </c>
      <c r="AE24" s="500">
        <f t="shared" si="15"/>
        <v>767209.63719399995</v>
      </c>
      <c r="AG24" s="485">
        <f t="shared" si="16"/>
        <v>1423943</v>
      </c>
      <c r="AH24" s="492">
        <f t="shared" si="18"/>
        <v>0</v>
      </c>
    </row>
    <row r="25" spans="1:35">
      <c r="A25" s="481" t="s">
        <v>431</v>
      </c>
      <c r="C25" s="483">
        <f t="shared" si="2"/>
        <v>-3202431</v>
      </c>
      <c r="D25" s="483"/>
      <c r="E25" s="483">
        <f t="shared" si="3"/>
        <v>0</v>
      </c>
      <c r="F25" s="483"/>
      <c r="G25" s="483">
        <f t="shared" si="4"/>
        <v>0</v>
      </c>
      <c r="H25" s="483"/>
      <c r="I25" s="483">
        <f t="shared" si="5"/>
        <v>0</v>
      </c>
      <c r="J25" s="483"/>
      <c r="K25" s="483">
        <f t="shared" si="6"/>
        <v>0</v>
      </c>
      <c r="L25" s="483"/>
      <c r="M25" s="483">
        <f t="shared" si="7"/>
        <v>0</v>
      </c>
      <c r="N25" s="483"/>
      <c r="O25" s="483">
        <f t="shared" si="8"/>
        <v>0</v>
      </c>
      <c r="P25" s="483"/>
      <c r="Q25" s="483">
        <f t="shared" si="9"/>
        <v>0</v>
      </c>
      <c r="R25" s="483"/>
      <c r="S25" s="483">
        <f t="shared" si="10"/>
        <v>0</v>
      </c>
      <c r="T25" s="483"/>
      <c r="U25" s="483">
        <f t="shared" si="11"/>
        <v>0</v>
      </c>
      <c r="V25" s="484"/>
      <c r="W25" s="483">
        <f t="shared" si="12"/>
        <v>0</v>
      </c>
      <c r="X25" s="484"/>
      <c r="Y25" s="483">
        <f t="shared" si="13"/>
        <v>0</v>
      </c>
      <c r="Z25" s="483"/>
      <c r="AA25" s="483">
        <f t="shared" si="17"/>
        <v>-3202431</v>
      </c>
      <c r="AC25" s="492">
        <f t="shared" si="14"/>
        <v>0</v>
      </c>
      <c r="AE25" s="500">
        <f t="shared" si="15"/>
        <v>0</v>
      </c>
      <c r="AG25" s="485">
        <f t="shared" si="16"/>
        <v>-3202431</v>
      </c>
      <c r="AH25" s="492">
        <f t="shared" si="18"/>
        <v>0</v>
      </c>
    </row>
    <row r="26" spans="1:35">
      <c r="A26" s="481" t="s">
        <v>425</v>
      </c>
      <c r="B26" s="488"/>
      <c r="C26" s="483">
        <v>0</v>
      </c>
      <c r="D26" s="483"/>
      <c r="E26" s="483">
        <f t="shared" si="3"/>
        <v>0</v>
      </c>
      <c r="F26" s="483"/>
      <c r="G26" s="483">
        <f t="shared" si="4"/>
        <v>0</v>
      </c>
      <c r="H26" s="483"/>
      <c r="I26" s="483">
        <f t="shared" si="5"/>
        <v>0</v>
      </c>
      <c r="J26" s="483"/>
      <c r="K26" s="483">
        <f t="shared" si="6"/>
        <v>0</v>
      </c>
      <c r="L26" s="483"/>
      <c r="M26" s="483">
        <f t="shared" si="7"/>
        <v>0</v>
      </c>
      <c r="N26" s="483"/>
      <c r="O26" s="483">
        <f t="shared" si="8"/>
        <v>0</v>
      </c>
      <c r="P26" s="483"/>
      <c r="Q26" s="483">
        <f t="shared" si="9"/>
        <v>0</v>
      </c>
      <c r="R26" s="483"/>
      <c r="S26" s="483">
        <f t="shared" si="10"/>
        <v>0</v>
      </c>
      <c r="T26" s="483"/>
      <c r="U26" s="483">
        <f t="shared" si="11"/>
        <v>0</v>
      </c>
      <c r="V26" s="484"/>
      <c r="W26" s="483">
        <f t="shared" si="12"/>
        <v>0</v>
      </c>
      <c r="X26" s="484"/>
      <c r="Y26" s="483">
        <f t="shared" si="13"/>
        <v>0</v>
      </c>
      <c r="Z26" s="483"/>
      <c r="AA26" s="483">
        <f t="shared" ref="AA26" si="19">+SUM(C26:Y26)</f>
        <v>0</v>
      </c>
      <c r="AB26" s="483"/>
      <c r="AC26" s="483">
        <v>0</v>
      </c>
      <c r="AD26" s="483"/>
      <c r="AE26" s="500">
        <f t="shared" si="15"/>
        <v>0</v>
      </c>
      <c r="AF26" s="483"/>
      <c r="AG26" s="485">
        <f t="shared" si="16"/>
        <v>0</v>
      </c>
      <c r="AH26" s="492">
        <f t="shared" si="18"/>
        <v>0</v>
      </c>
    </row>
    <row r="27" spans="1:35">
      <c r="A27" s="481" t="s">
        <v>157</v>
      </c>
      <c r="C27" s="501">
        <f>+C11*C$16</f>
        <v>42657481.159999989</v>
      </c>
      <c r="D27" s="483"/>
      <c r="E27" s="501">
        <f t="shared" si="3"/>
        <v>-2682408.5182400001</v>
      </c>
      <c r="F27" s="483"/>
      <c r="G27" s="501">
        <f t="shared" si="4"/>
        <v>50051.625118099546</v>
      </c>
      <c r="H27" s="483"/>
      <c r="I27" s="501">
        <f t="shared" si="5"/>
        <v>23639.336400000004</v>
      </c>
      <c r="J27" s="483"/>
      <c r="K27" s="501">
        <f t="shared" si="6"/>
        <v>-570514.995</v>
      </c>
      <c r="L27" s="483"/>
      <c r="M27" s="501">
        <f t="shared" si="7"/>
        <v>-60633</v>
      </c>
      <c r="N27" s="483"/>
      <c r="O27" s="501">
        <f t="shared" si="8"/>
        <v>1635.5721600000002</v>
      </c>
      <c r="P27" s="483"/>
      <c r="Q27" s="501">
        <f t="shared" si="9"/>
        <v>0</v>
      </c>
      <c r="R27" s="483"/>
      <c r="S27" s="501">
        <f t="shared" si="10"/>
        <v>0</v>
      </c>
      <c r="T27" s="483"/>
      <c r="U27" s="501">
        <f t="shared" si="11"/>
        <v>-936865.18775000004</v>
      </c>
      <c r="V27" s="484"/>
      <c r="W27" s="501">
        <f t="shared" si="12"/>
        <v>-4788821.9313000003</v>
      </c>
      <c r="X27" s="484"/>
      <c r="Y27" s="501">
        <f t="shared" si="13"/>
        <v>-439560</v>
      </c>
      <c r="Z27" s="483"/>
      <c r="AA27" s="501">
        <f t="shared" si="17"/>
        <v>33254004.061388098</v>
      </c>
      <c r="AC27" s="503">
        <f>+AC11</f>
        <v>75326.533678099542</v>
      </c>
      <c r="AE27" s="601">
        <f t="shared" si="15"/>
        <v>9478803.632290002</v>
      </c>
      <c r="AG27" s="502">
        <f t="shared" si="16"/>
        <v>42657481.159999996</v>
      </c>
      <c r="AH27" s="492">
        <f t="shared" si="18"/>
        <v>0</v>
      </c>
    </row>
    <row r="28" spans="1:35">
      <c r="A28" s="481"/>
      <c r="C28" s="492">
        <f>+SUM(C19:C27)</f>
        <v>81406978.719999999</v>
      </c>
      <c r="E28" s="492">
        <f>+SUM(E19:E27)</f>
        <v>24418732.268457998</v>
      </c>
      <c r="G28" s="492">
        <f>+SUM(G19:G27)</f>
        <v>2032274.9776950227</v>
      </c>
      <c r="I28" s="492">
        <f>+SUM(I19:I27)</f>
        <v>81049.40400000001</v>
      </c>
      <c r="K28" s="492">
        <f>+SUM(K19:K27)</f>
        <v>-545257.495</v>
      </c>
      <c r="M28" s="492">
        <f>+SUM(M19:M27)</f>
        <v>270179.25</v>
      </c>
      <c r="O28" s="492">
        <f>+SUM(O19:O27)</f>
        <v>7413.4115199999997</v>
      </c>
      <c r="Q28" s="492">
        <f>+SUM(Q19:Q27)</f>
        <v>6000</v>
      </c>
      <c r="S28" s="492">
        <f>+SUM(S19:S27)</f>
        <v>1139.943</v>
      </c>
      <c r="U28" s="492">
        <f>+SUM(U19:U27)</f>
        <v>759786.14775</v>
      </c>
      <c r="V28" s="491"/>
      <c r="W28" s="492">
        <f>+SUM(W19:W27)</f>
        <v>-489360.93030000012</v>
      </c>
      <c r="X28" s="491"/>
      <c r="Y28" s="492">
        <f>+SUM(Y19:Y27)</f>
        <v>-439560</v>
      </c>
      <c r="AA28" s="492">
        <f>+SUM(AA19:AA27)</f>
        <v>107509375.69712302</v>
      </c>
      <c r="AC28" s="492">
        <f>+SUM(AC19:AC27)</f>
        <v>36348410.246607028</v>
      </c>
      <c r="AE28" s="492">
        <f>+SUM(AE19:AE27)</f>
        <v>10246013.269484002</v>
      </c>
      <c r="AG28" s="485">
        <f>+SUM(AG19:AG27)</f>
        <v>81406978.719999999</v>
      </c>
      <c r="AH28" s="492">
        <f t="shared" si="18"/>
        <v>0</v>
      </c>
    </row>
    <row r="29" spans="1:35" ht="5.0999999999999996" customHeight="1">
      <c r="C29" s="492"/>
      <c r="E29" s="492"/>
      <c r="I29" s="492"/>
      <c r="K29" s="492"/>
      <c r="M29" s="492"/>
      <c r="O29" s="492"/>
      <c r="Q29" s="492"/>
      <c r="S29" s="492"/>
      <c r="U29" s="492"/>
      <c r="V29" s="491"/>
      <c r="W29" s="492"/>
      <c r="X29" s="491"/>
      <c r="Y29" s="492"/>
      <c r="AC29" s="492"/>
      <c r="AG29" s="498"/>
    </row>
    <row r="30" spans="1:35">
      <c r="A30" s="499" t="s">
        <v>432</v>
      </c>
      <c r="C30" s="492"/>
      <c r="E30" s="492"/>
      <c r="I30" s="492"/>
      <c r="K30" s="492"/>
      <c r="M30" s="492"/>
      <c r="O30" s="492"/>
      <c r="Q30" s="492"/>
      <c r="S30" s="492"/>
      <c r="U30" s="492"/>
      <c r="V30" s="491"/>
      <c r="W30" s="492"/>
      <c r="X30" s="491"/>
      <c r="Y30" s="492"/>
      <c r="AC30" s="492"/>
      <c r="AG30" s="498"/>
    </row>
    <row r="31" spans="1:35">
      <c r="A31" s="481" t="s">
        <v>193</v>
      </c>
      <c r="C31" s="492">
        <f t="shared" ref="C31:C37" si="20">+C3-C19</f>
        <v>0</v>
      </c>
      <c r="E31" s="492">
        <f t="shared" ref="E31:E37" si="21">+E3-E19</f>
        <v>1249</v>
      </c>
      <c r="G31" s="492">
        <f t="shared" ref="G31:G37" si="22">+G3-G19</f>
        <v>50</v>
      </c>
      <c r="I31" s="492">
        <f t="shared" ref="I31:I37" si="23">+I3-I19</f>
        <v>3199.9999999999991</v>
      </c>
      <c r="K31" s="492">
        <f t="shared" ref="K31:K37" si="24">+K3-K19</f>
        <v>500</v>
      </c>
      <c r="M31" s="492">
        <f t="shared" ref="M31:M37" si="25">+M3-M19</f>
        <v>250</v>
      </c>
      <c r="O31" s="492">
        <f t="shared" ref="O31:O37" si="26">+O3-O19</f>
        <v>360</v>
      </c>
      <c r="Q31" s="492">
        <f t="shared" ref="Q31:Q37" si="27">+Q3-Q19</f>
        <v>4000</v>
      </c>
      <c r="S31" s="492">
        <f t="shared" ref="S31:S37" si="28">+S3-S19</f>
        <v>3.999999999996362E-2</v>
      </c>
      <c r="U31" s="492">
        <f t="shared" ref="U31:U39" si="29">+U3-U19</f>
        <v>60</v>
      </c>
      <c r="V31" s="491"/>
      <c r="W31" s="492">
        <f t="shared" ref="W31:W39" si="30">+W3-W19</f>
        <v>36614</v>
      </c>
      <c r="X31" s="491"/>
      <c r="Y31" s="492">
        <f t="shared" ref="Y31:Y37" si="31">+Y3-Y19</f>
        <v>0</v>
      </c>
      <c r="AA31" s="483">
        <f t="shared" ref="AA31:AA39" si="32">+SUM(C31:Z31)</f>
        <v>46283.040000000001</v>
      </c>
      <c r="AC31" s="492">
        <v>0</v>
      </c>
      <c r="AE31" s="492">
        <v>0</v>
      </c>
      <c r="AG31" s="485">
        <f t="shared" ref="AG31:AG39" si="33">+AA31+AC31+AE31</f>
        <v>46283.040000000001</v>
      </c>
    </row>
    <row r="32" spans="1:35">
      <c r="A32" s="481" t="s">
        <v>424</v>
      </c>
      <c r="C32" s="492">
        <f t="shared" si="20"/>
        <v>0</v>
      </c>
      <c r="E32" s="492">
        <f t="shared" si="21"/>
        <v>9278295.0361080021</v>
      </c>
      <c r="G32" s="492">
        <f t="shared" si="22"/>
        <v>39.697423076955602</v>
      </c>
      <c r="I32" s="492">
        <f t="shared" si="23"/>
        <v>0</v>
      </c>
      <c r="K32" s="492">
        <f t="shared" si="24"/>
        <v>24507.5</v>
      </c>
      <c r="M32" s="492">
        <f t="shared" si="25"/>
        <v>82612.5</v>
      </c>
      <c r="O32" s="492">
        <f t="shared" si="26"/>
        <v>0</v>
      </c>
      <c r="Q32" s="492">
        <f t="shared" si="27"/>
        <v>0</v>
      </c>
      <c r="S32" s="492">
        <f t="shared" si="28"/>
        <v>0</v>
      </c>
      <c r="U32" s="492">
        <f t="shared" si="29"/>
        <v>137506.32449999987</v>
      </c>
      <c r="V32" s="491"/>
      <c r="W32" s="492">
        <f t="shared" si="30"/>
        <v>4067.9985999999917</v>
      </c>
      <c r="X32" s="491"/>
      <c r="Y32" s="492">
        <f t="shared" si="31"/>
        <v>0</v>
      </c>
      <c r="AA32" s="483">
        <f t="shared" si="32"/>
        <v>9527029.0566310789</v>
      </c>
      <c r="AC32" s="492">
        <v>0</v>
      </c>
      <c r="AE32" s="492">
        <v>0</v>
      </c>
      <c r="AG32" s="485">
        <f t="shared" si="33"/>
        <v>9527029.0566310789</v>
      </c>
    </row>
    <row r="33" spans="1:34">
      <c r="A33" s="481" t="s">
        <v>17</v>
      </c>
      <c r="C33" s="492">
        <f t="shared" si="20"/>
        <v>0</v>
      </c>
      <c r="E33" s="492">
        <f t="shared" si="21"/>
        <v>0</v>
      </c>
      <c r="G33" s="492">
        <f t="shared" si="22"/>
        <v>0</v>
      </c>
      <c r="I33" s="492">
        <f t="shared" si="23"/>
        <v>23816.502399999998</v>
      </c>
      <c r="K33" s="492">
        <f t="shared" si="24"/>
        <v>250</v>
      </c>
      <c r="M33" s="492">
        <f t="shared" si="25"/>
        <v>0</v>
      </c>
      <c r="O33" s="492">
        <f t="shared" si="26"/>
        <v>88.280639999999948</v>
      </c>
      <c r="Q33" s="492">
        <f t="shared" si="27"/>
        <v>0</v>
      </c>
      <c r="S33" s="492">
        <f t="shared" si="28"/>
        <v>0</v>
      </c>
      <c r="U33" s="492">
        <f t="shared" si="29"/>
        <v>0</v>
      </c>
      <c r="V33" s="491"/>
      <c r="W33" s="492">
        <f t="shared" si="30"/>
        <v>0</v>
      </c>
      <c r="X33" s="491"/>
      <c r="Y33" s="492">
        <f t="shared" si="31"/>
        <v>0</v>
      </c>
      <c r="AA33" s="483">
        <f t="shared" si="32"/>
        <v>24154.783039999998</v>
      </c>
      <c r="AC33" s="492">
        <v>0</v>
      </c>
      <c r="AE33" s="492">
        <v>0</v>
      </c>
      <c r="AG33" s="485">
        <f t="shared" si="33"/>
        <v>24154.783039999998</v>
      </c>
    </row>
    <row r="34" spans="1:34">
      <c r="A34" s="481" t="s">
        <v>19</v>
      </c>
      <c r="C34" s="492">
        <f t="shared" si="20"/>
        <v>0</v>
      </c>
      <c r="E34" s="492">
        <f t="shared" si="21"/>
        <v>0</v>
      </c>
      <c r="G34" s="492">
        <f t="shared" si="22"/>
        <v>0</v>
      </c>
      <c r="I34" s="492">
        <f t="shared" si="23"/>
        <v>0</v>
      </c>
      <c r="K34" s="492">
        <f t="shared" si="24"/>
        <v>0</v>
      </c>
      <c r="M34" s="492">
        <f t="shared" si="25"/>
        <v>0</v>
      </c>
      <c r="O34" s="492">
        <f t="shared" si="26"/>
        <v>0</v>
      </c>
      <c r="Q34" s="492">
        <f t="shared" si="27"/>
        <v>0</v>
      </c>
      <c r="S34" s="492">
        <f t="shared" si="28"/>
        <v>0</v>
      </c>
      <c r="U34" s="492">
        <f t="shared" si="29"/>
        <v>0</v>
      </c>
      <c r="V34" s="491"/>
      <c r="W34" s="492">
        <f t="shared" si="30"/>
        <v>0</v>
      </c>
      <c r="X34" s="491"/>
      <c r="Y34" s="492">
        <f t="shared" si="31"/>
        <v>0</v>
      </c>
      <c r="AA34" s="483">
        <f t="shared" si="32"/>
        <v>0</v>
      </c>
      <c r="AC34" s="492">
        <v>0</v>
      </c>
      <c r="AE34" s="492">
        <v>0</v>
      </c>
      <c r="AG34" s="485">
        <f t="shared" si="33"/>
        <v>0</v>
      </c>
    </row>
    <row r="35" spans="1:34">
      <c r="A35" s="481" t="s">
        <v>421</v>
      </c>
      <c r="C35" s="492">
        <f t="shared" si="20"/>
        <v>0</v>
      </c>
      <c r="E35" s="492">
        <f t="shared" si="21"/>
        <v>0</v>
      </c>
      <c r="G35" s="492">
        <f t="shared" si="22"/>
        <v>0</v>
      </c>
      <c r="I35" s="492">
        <f t="shared" si="23"/>
        <v>0</v>
      </c>
      <c r="K35" s="492">
        <f t="shared" si="24"/>
        <v>0</v>
      </c>
      <c r="M35" s="492">
        <f t="shared" si="25"/>
        <v>27408.25</v>
      </c>
      <c r="O35" s="492">
        <f t="shared" si="26"/>
        <v>0</v>
      </c>
      <c r="Q35" s="492">
        <f t="shared" si="27"/>
        <v>0</v>
      </c>
      <c r="S35" s="492">
        <f t="shared" si="28"/>
        <v>1.6999999999995907E-2</v>
      </c>
      <c r="U35" s="492">
        <f t="shared" si="29"/>
        <v>0</v>
      </c>
      <c r="V35" s="491"/>
      <c r="W35" s="492">
        <f t="shared" si="30"/>
        <v>0</v>
      </c>
      <c r="X35" s="491"/>
      <c r="Y35" s="492">
        <f t="shared" si="31"/>
        <v>0</v>
      </c>
      <c r="AA35" s="483">
        <f>+SUM(C35:Z35)</f>
        <v>27408.267</v>
      </c>
      <c r="AC35" s="492">
        <v>0</v>
      </c>
      <c r="AE35" s="492">
        <v>0</v>
      </c>
      <c r="AG35" s="485">
        <f>+AA35+AC35+AE35</f>
        <v>27408.267</v>
      </c>
    </row>
    <row r="36" spans="1:34">
      <c r="A36" s="481" t="s">
        <v>426</v>
      </c>
      <c r="C36" s="492">
        <f t="shared" si="20"/>
        <v>0</v>
      </c>
      <c r="E36" s="492">
        <f t="shared" si="21"/>
        <v>-255463.83280600002</v>
      </c>
      <c r="G36" s="492">
        <f t="shared" si="22"/>
        <v>0</v>
      </c>
      <c r="I36" s="492">
        <f t="shared" si="23"/>
        <v>0</v>
      </c>
      <c r="K36" s="492">
        <f t="shared" si="24"/>
        <v>0</v>
      </c>
      <c r="M36" s="492">
        <f t="shared" si="25"/>
        <v>0</v>
      </c>
      <c r="O36" s="492">
        <f t="shared" si="26"/>
        <v>0</v>
      </c>
      <c r="Q36" s="492">
        <f t="shared" si="27"/>
        <v>0</v>
      </c>
      <c r="S36" s="492">
        <f t="shared" si="28"/>
        <v>0</v>
      </c>
      <c r="U36" s="492">
        <f t="shared" si="29"/>
        <v>0</v>
      </c>
      <c r="V36" s="491"/>
      <c r="W36" s="492">
        <f t="shared" si="30"/>
        <v>2746.9003999999841</v>
      </c>
      <c r="X36" s="491"/>
      <c r="Y36" s="492">
        <f t="shared" si="31"/>
        <v>0</v>
      </c>
      <c r="AA36" s="483">
        <f t="shared" si="32"/>
        <v>-252716.93240600004</v>
      </c>
      <c r="AC36" s="492">
        <v>0</v>
      </c>
      <c r="AE36" s="492">
        <v>0</v>
      </c>
      <c r="AG36" s="485">
        <f t="shared" si="33"/>
        <v>-252716.93240600004</v>
      </c>
    </row>
    <row r="37" spans="1:34">
      <c r="A37" s="481" t="s">
        <v>431</v>
      </c>
      <c r="C37" s="492">
        <f t="shared" si="20"/>
        <v>0</v>
      </c>
      <c r="E37" s="492">
        <f t="shared" si="21"/>
        <v>0</v>
      </c>
      <c r="G37" s="492">
        <f t="shared" si="22"/>
        <v>0</v>
      </c>
      <c r="I37" s="492">
        <f t="shared" si="23"/>
        <v>0</v>
      </c>
      <c r="K37" s="492">
        <f t="shared" si="24"/>
        <v>0</v>
      </c>
      <c r="M37" s="492">
        <f t="shared" si="25"/>
        <v>0</v>
      </c>
      <c r="O37" s="492">
        <f t="shared" si="26"/>
        <v>0</v>
      </c>
      <c r="Q37" s="492">
        <f t="shared" si="27"/>
        <v>0</v>
      </c>
      <c r="S37" s="492">
        <f t="shared" si="28"/>
        <v>0</v>
      </c>
      <c r="U37" s="492">
        <f t="shared" si="29"/>
        <v>0</v>
      </c>
      <c r="V37" s="491"/>
      <c r="W37" s="492">
        <f t="shared" si="30"/>
        <v>0</v>
      </c>
      <c r="X37" s="491"/>
      <c r="Y37" s="492">
        <f t="shared" si="31"/>
        <v>0</v>
      </c>
      <c r="AA37" s="483">
        <f t="shared" si="32"/>
        <v>0</v>
      </c>
      <c r="AC37" s="492">
        <v>0</v>
      </c>
      <c r="AE37" s="492">
        <v>0</v>
      </c>
      <c r="AG37" s="485">
        <f t="shared" si="33"/>
        <v>0</v>
      </c>
    </row>
    <row r="38" spans="1:34">
      <c r="A38" s="481" t="s">
        <v>425</v>
      </c>
      <c r="B38" s="488"/>
      <c r="C38" s="483">
        <v>0</v>
      </c>
      <c r="D38" s="483"/>
      <c r="E38" s="483">
        <v>0</v>
      </c>
      <c r="F38" s="483"/>
      <c r="G38" s="483">
        <v>0</v>
      </c>
      <c r="H38" s="483"/>
      <c r="I38" s="483">
        <v>0</v>
      </c>
      <c r="J38" s="483"/>
      <c r="K38" s="483">
        <v>0</v>
      </c>
      <c r="L38" s="483"/>
      <c r="M38" s="483">
        <v>0</v>
      </c>
      <c r="N38" s="483"/>
      <c r="O38" s="483">
        <v>0</v>
      </c>
      <c r="P38" s="483"/>
      <c r="Q38" s="483">
        <v>0</v>
      </c>
      <c r="R38" s="483"/>
      <c r="S38" s="483">
        <v>0</v>
      </c>
      <c r="T38" s="483"/>
      <c r="U38" s="492">
        <f t="shared" si="29"/>
        <v>0</v>
      </c>
      <c r="V38" s="484"/>
      <c r="W38" s="483">
        <f t="shared" si="30"/>
        <v>0</v>
      </c>
      <c r="X38" s="484"/>
      <c r="Y38" s="483">
        <v>0</v>
      </c>
      <c r="Z38" s="483"/>
      <c r="AA38" s="483">
        <f t="shared" ref="AA38" si="34">+SUM(C38:Y38)</f>
        <v>0</v>
      </c>
      <c r="AB38" s="483"/>
      <c r="AC38" s="483">
        <v>0</v>
      </c>
      <c r="AD38" s="483"/>
      <c r="AE38" s="483">
        <v>0</v>
      </c>
      <c r="AF38" s="483"/>
      <c r="AG38" s="485">
        <f t="shared" si="33"/>
        <v>0</v>
      </c>
    </row>
    <row r="39" spans="1:34">
      <c r="A39" s="481" t="s">
        <v>157</v>
      </c>
      <c r="C39" s="503">
        <f>+C11-C27</f>
        <v>0</v>
      </c>
      <c r="E39" s="503">
        <f>+E11-E27</f>
        <v>-893182.68176000006</v>
      </c>
      <c r="G39" s="503">
        <f>+G11-G27</f>
        <v>2.2648819004534744</v>
      </c>
      <c r="I39" s="503">
        <f>+I11-I27</f>
        <v>11124.393599999999</v>
      </c>
      <c r="K39" s="503">
        <f>+K11-K27</f>
        <v>-570514.995</v>
      </c>
      <c r="M39" s="503">
        <f>+M11-M27</f>
        <v>-20211</v>
      </c>
      <c r="O39" s="503">
        <f>+O11-O27</f>
        <v>126.89783999999986</v>
      </c>
      <c r="Q39" s="503">
        <f>+Q11-Q27</f>
        <v>0</v>
      </c>
      <c r="S39" s="503">
        <f>+S11-S27</f>
        <v>0</v>
      </c>
      <c r="U39" s="503">
        <f t="shared" si="29"/>
        <v>-75962.04224999994</v>
      </c>
      <c r="V39" s="491"/>
      <c r="W39" s="503">
        <f t="shared" si="30"/>
        <v>-48371.938699999824</v>
      </c>
      <c r="X39" s="491"/>
      <c r="Y39" s="503">
        <f>+Y11-Y27</f>
        <v>0</v>
      </c>
      <c r="AA39" s="501">
        <f t="shared" si="32"/>
        <v>-1596989.1013880994</v>
      </c>
      <c r="AC39" s="503">
        <v>0</v>
      </c>
      <c r="AE39" s="503">
        <v>0</v>
      </c>
      <c r="AG39" s="502">
        <f t="shared" si="33"/>
        <v>-1596989.1013880994</v>
      </c>
    </row>
    <row r="40" spans="1:34">
      <c r="C40" s="492">
        <f>+SUM(C31:C39)</f>
        <v>0</v>
      </c>
      <c r="E40" s="492">
        <f>+SUM(E31:E39)</f>
        <v>8130897.5215420015</v>
      </c>
      <c r="G40" s="492">
        <f>+SUM(G31:G39)</f>
        <v>91.962304977409076</v>
      </c>
      <c r="I40" s="492">
        <f>+SUM(I31:I39)</f>
        <v>38140.895999999993</v>
      </c>
      <c r="K40" s="492">
        <f>+SUM(K31:K39)</f>
        <v>-545257.495</v>
      </c>
      <c r="M40" s="492">
        <f>+SUM(M31:M39)</f>
        <v>90059.75</v>
      </c>
      <c r="O40" s="492">
        <f>+SUM(O31:O39)</f>
        <v>575.17847999999981</v>
      </c>
      <c r="Q40" s="492">
        <f>+SUM(Q31:Q39)</f>
        <v>4000</v>
      </c>
      <c r="S40" s="492">
        <f>+SUM(S31:S39)</f>
        <v>5.6999999999959527E-2</v>
      </c>
      <c r="U40" s="492">
        <f>+SUM(U31:U39)</f>
        <v>61604.282249999931</v>
      </c>
      <c r="V40" s="491"/>
      <c r="W40" s="492">
        <f>+SUM(W31:W39)</f>
        <v>-4943.0396999998484</v>
      </c>
      <c r="X40" s="491"/>
      <c r="Y40" s="492">
        <f>+SUM(Y31:Y39)</f>
        <v>0</v>
      </c>
      <c r="AA40" s="492">
        <f>+SUM(AA31:AA39)</f>
        <v>7775169.1128769787</v>
      </c>
      <c r="AC40" s="492">
        <f>+SUM(AC31:AC39)</f>
        <v>0</v>
      </c>
      <c r="AE40" s="492">
        <f>+SUM(AE31:AE39)</f>
        <v>0</v>
      </c>
      <c r="AG40" s="498">
        <f>+SUM(AG31:AG39)</f>
        <v>7775169.1128769787</v>
      </c>
      <c r="AH40" s="492"/>
    </row>
    <row r="41" spans="1:34" ht="5.0999999999999996" customHeight="1">
      <c r="V41" s="491"/>
      <c r="X41" s="491"/>
    </row>
    <row r="42" spans="1:34">
      <c r="A42" s="486" t="s">
        <v>15</v>
      </c>
      <c r="C42" s="492">
        <f>+C40+C28</f>
        <v>81406978.719999999</v>
      </c>
      <c r="E42" s="492">
        <f>+E40+E28</f>
        <v>32549629.789999999</v>
      </c>
      <c r="G42" s="492">
        <f>+G40+G28</f>
        <v>2032366.9400000002</v>
      </c>
      <c r="I42" s="492">
        <f>+I40+I28</f>
        <v>119190.3</v>
      </c>
      <c r="K42" s="492">
        <f>+K40+K28</f>
        <v>-1090514.99</v>
      </c>
      <c r="M42" s="492">
        <f>+M40+M28</f>
        <v>360239</v>
      </c>
      <c r="O42" s="492">
        <f>+O40+O28</f>
        <v>7988.5899999999992</v>
      </c>
      <c r="Q42" s="492">
        <f>+Q40+Q28</f>
        <v>10000</v>
      </c>
      <c r="S42" s="492">
        <f>+S40+S28</f>
        <v>1140</v>
      </c>
      <c r="U42" s="492">
        <f>+U40+U28</f>
        <v>821390.42999999993</v>
      </c>
      <c r="V42" s="491"/>
      <c r="W42" s="492">
        <f>+W40+W28</f>
        <v>-494303.97</v>
      </c>
      <c r="X42" s="491"/>
      <c r="Y42" s="492">
        <f>+Y40+Y28</f>
        <v>-439560</v>
      </c>
      <c r="AA42" s="492">
        <f>+AA40+AA28</f>
        <v>115284544.81</v>
      </c>
      <c r="AC42" s="492">
        <f>+AC40+AC28</f>
        <v>36348410.246607028</v>
      </c>
      <c r="AE42" s="492">
        <f>+AE40+AE28</f>
        <v>10246013.269484002</v>
      </c>
      <c r="AG42" s="492">
        <f>+AG40+AG28</f>
        <v>89182147.83287698</v>
      </c>
    </row>
    <row r="43" spans="1:34" ht="5.0999999999999996" customHeight="1">
      <c r="V43" s="491"/>
      <c r="X43" s="491"/>
      <c r="AG43" s="486"/>
    </row>
    <row r="44" spans="1:34" s="504" customFormat="1">
      <c r="A44" s="504" t="s">
        <v>433</v>
      </c>
      <c r="C44" s="505">
        <f>+SUM(C3:C11)-C42</f>
        <v>0</v>
      </c>
      <c r="E44" s="505">
        <f>+SUM(E3:E11)-E42</f>
        <v>0</v>
      </c>
      <c r="G44" s="505">
        <f>+SUM(G3:G11)-G42</f>
        <v>0</v>
      </c>
      <c r="I44" s="505">
        <f>+SUM(I3:I11)-I42</f>
        <v>0</v>
      </c>
      <c r="K44" s="505">
        <f>+SUM(K3:K11)-K42</f>
        <v>0</v>
      </c>
      <c r="M44" s="505">
        <f>+SUM(M3:M11)-M42</f>
        <v>0</v>
      </c>
      <c r="O44" s="505">
        <f>+SUM(O3:O11)-O42</f>
        <v>0</v>
      </c>
      <c r="Q44" s="505">
        <f>+SUM(Q3:Q11)-Q42</f>
        <v>0</v>
      </c>
      <c r="S44" s="505">
        <f>+SUM(S3:S11)-S42</f>
        <v>0</v>
      </c>
      <c r="U44" s="505">
        <f>+SUM(U3:U11)-U42</f>
        <v>0</v>
      </c>
      <c r="V44" s="506"/>
      <c r="W44" s="505">
        <f>+SUM(W3:W11)-W42</f>
        <v>-6.9849193096160889E-10</v>
      </c>
      <c r="X44" s="506"/>
      <c r="Y44" s="505">
        <f>+SUM(Y3:Y11)-Y42</f>
        <v>0</v>
      </c>
      <c r="AA44" s="505">
        <f>+SUM(AA3:AA11)-AA42</f>
        <v>0</v>
      </c>
      <c r="AC44" s="505">
        <f>+SUM(AC3:AC11)-AC42</f>
        <v>0</v>
      </c>
      <c r="AE44" s="505">
        <f>+SUM(AE3:AE11)-AE42</f>
        <v>0</v>
      </c>
      <c r="AG44" s="505">
        <f>+SUM(AG3:AG11)-AG42</f>
        <v>0</v>
      </c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203"/>
  <sheetViews>
    <sheetView topLeftCell="A35" zoomScale="80" zoomScaleNormal="80" workbookViewId="0">
      <selection activeCell="B43" sqref="B43"/>
    </sheetView>
  </sheetViews>
  <sheetFormatPr defaultColWidth="11.42578125" defaultRowHeight="12.75"/>
  <cols>
    <col min="1" max="1" width="34.7109375" style="63" customWidth="1"/>
    <col min="2" max="2" width="17.85546875" style="63" customWidth="1"/>
    <col min="3" max="3" width="16.7109375" style="631" customWidth="1"/>
    <col min="4" max="5" width="15.85546875" style="631" customWidth="1"/>
    <col min="6" max="6" width="14.42578125" style="631" bestFit="1" customWidth="1"/>
    <col min="7" max="7" width="14.42578125" style="631" customWidth="1"/>
    <col min="8" max="8" width="16.42578125" style="631" customWidth="1"/>
    <col min="9" max="9" width="15.7109375" style="631" customWidth="1"/>
    <col min="10" max="10" width="15.7109375" style="631" bestFit="1" customWidth="1"/>
    <col min="11" max="11" width="15.42578125" style="631" customWidth="1"/>
    <col min="12" max="12" width="17.28515625" style="631" customWidth="1"/>
    <col min="13" max="13" width="15.42578125" style="631" customWidth="1"/>
    <col min="14" max="14" width="16.85546875" style="631" bestFit="1" customWidth="1"/>
    <col min="15" max="16" width="10.85546875" style="63" bestFit="1" customWidth="1"/>
    <col min="17" max="17" width="9.85546875" style="63" bestFit="1" customWidth="1"/>
    <col min="18" max="18" width="3.7109375" style="63" bestFit="1" customWidth="1"/>
    <col min="19" max="19" width="6.28515625" style="63" bestFit="1" customWidth="1"/>
    <col min="20" max="20" width="42.140625" style="63" bestFit="1" customWidth="1"/>
    <col min="21" max="22" width="15.5703125" style="63" bestFit="1" customWidth="1"/>
    <col min="23" max="24" width="15.28515625" style="63" bestFit="1" customWidth="1"/>
    <col min="25" max="25" width="14.85546875" style="63" bestFit="1" customWidth="1"/>
    <col min="26" max="26" width="11.42578125" style="63"/>
    <col min="27" max="27" width="14.28515625" style="63" customWidth="1"/>
    <col min="28" max="29" width="11.42578125" style="63"/>
    <col min="30" max="30" width="13" style="63" customWidth="1"/>
    <col min="31" max="16384" width="11.42578125" style="63"/>
  </cols>
  <sheetData>
    <row r="1" spans="1:26">
      <c r="A1" s="619" t="s">
        <v>49</v>
      </c>
      <c r="B1" s="620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</row>
    <row r="2" spans="1:26">
      <c r="A2" s="619" t="s">
        <v>37</v>
      </c>
      <c r="B2" s="620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</row>
    <row r="3" spans="1:26">
      <c r="A3" s="619" t="s">
        <v>631</v>
      </c>
      <c r="B3" s="620"/>
      <c r="C3" s="621"/>
      <c r="D3" s="621"/>
      <c r="E3" s="621"/>
      <c r="F3" s="621"/>
      <c r="G3" s="621"/>
      <c r="H3" s="621"/>
      <c r="I3" s="621"/>
      <c r="J3" s="621"/>
      <c r="K3" s="621"/>
      <c r="L3" s="621"/>
      <c r="M3" s="621"/>
      <c r="N3" s="621"/>
      <c r="S3" s="625">
        <v>2091</v>
      </c>
      <c r="T3" s="625" t="s">
        <v>594</v>
      </c>
    </row>
    <row r="4" spans="1:26">
      <c r="A4" s="620"/>
      <c r="B4" s="620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N4" s="621"/>
      <c r="S4" s="625"/>
      <c r="T4" s="625" t="s">
        <v>632</v>
      </c>
      <c r="U4" s="626" t="s">
        <v>595</v>
      </c>
      <c r="V4" s="625">
        <v>5</v>
      </c>
      <c r="W4" s="627">
        <v>2018</v>
      </c>
      <c r="X4" s="627">
        <v>2107</v>
      </c>
      <c r="Y4" s="627" t="s">
        <v>591</v>
      </c>
      <c r="Z4" s="627" t="s">
        <v>239</v>
      </c>
    </row>
    <row r="5" spans="1:26">
      <c r="A5" s="622" t="s">
        <v>174</v>
      </c>
      <c r="B5" s="620"/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N5" s="621"/>
      <c r="S5" s="63">
        <v>2092</v>
      </c>
      <c r="T5" s="63" t="s">
        <v>596</v>
      </c>
      <c r="U5" s="629" t="s">
        <v>597</v>
      </c>
      <c r="V5" s="63">
        <v>6</v>
      </c>
      <c r="W5" s="630">
        <v>27858699.27</v>
      </c>
      <c r="X5" s="630">
        <v>31550577</v>
      </c>
      <c r="Y5" s="630">
        <f>W5-X5</f>
        <v>-3691877.7300000004</v>
      </c>
      <c r="Z5" s="677">
        <f>Y5/W5</f>
        <v>-0.13252154001230226</v>
      </c>
    </row>
    <row r="6" spans="1:26">
      <c r="A6" s="623" t="s">
        <v>3</v>
      </c>
      <c r="B6" s="620"/>
      <c r="C6" s="621"/>
      <c r="D6" s="621"/>
      <c r="E6" s="621"/>
      <c r="F6" s="621"/>
      <c r="G6" s="621"/>
      <c r="H6" s="621"/>
      <c r="I6" s="621"/>
      <c r="J6" s="621"/>
      <c r="K6" s="621"/>
      <c r="L6" s="621"/>
      <c r="M6" s="621"/>
      <c r="N6" s="621"/>
      <c r="S6" s="63">
        <v>2116</v>
      </c>
      <c r="T6" s="63" t="s">
        <v>620</v>
      </c>
      <c r="U6" s="629" t="s">
        <v>621</v>
      </c>
      <c r="V6" s="63">
        <v>6</v>
      </c>
      <c r="W6" s="630">
        <v>1982263.02</v>
      </c>
      <c r="X6" s="630">
        <v>1982263</v>
      </c>
      <c r="Y6" s="630">
        <f>W6-X6</f>
        <v>2.0000000018626451E-2</v>
      </c>
      <c r="Z6" s="677">
        <f t="shared" ref="Z6:Z17" si="0">Y6/W6</f>
        <v>1.0089478448034839E-8</v>
      </c>
    </row>
    <row r="7" spans="1:26" ht="15" customHeight="1">
      <c r="B7" s="623"/>
      <c r="C7" s="994" t="s">
        <v>182</v>
      </c>
      <c r="D7" s="994" t="s">
        <v>142</v>
      </c>
      <c r="E7" s="989" t="s">
        <v>143</v>
      </c>
      <c r="F7" s="989" t="s">
        <v>144</v>
      </c>
      <c r="G7" s="989" t="s">
        <v>145</v>
      </c>
      <c r="H7" s="989" t="s">
        <v>146</v>
      </c>
      <c r="I7" s="994" t="s">
        <v>105</v>
      </c>
      <c r="J7" s="989" t="s">
        <v>147</v>
      </c>
      <c r="K7" s="989" t="s">
        <v>148</v>
      </c>
      <c r="L7" s="989" t="s">
        <v>218</v>
      </c>
      <c r="M7" s="994" t="s">
        <v>220</v>
      </c>
      <c r="N7" s="621"/>
      <c r="S7" s="63">
        <v>2094</v>
      </c>
      <c r="T7" s="63" t="s">
        <v>598</v>
      </c>
      <c r="U7" s="629" t="s">
        <v>599</v>
      </c>
      <c r="V7" s="63">
        <v>6</v>
      </c>
      <c r="W7" s="630">
        <v>943459.2</v>
      </c>
      <c r="X7" s="630">
        <v>943459</v>
      </c>
      <c r="Y7" s="630">
        <f t="shared" ref="Y7:Y9" si="1">W7-X7</f>
        <v>0.19999999995343387</v>
      </c>
      <c r="Z7" s="677">
        <f t="shared" si="0"/>
        <v>2.1198584947121601E-7</v>
      </c>
    </row>
    <row r="8" spans="1:26">
      <c r="A8" s="623"/>
      <c r="B8" s="623"/>
      <c r="C8" s="994"/>
      <c r="D8" s="994"/>
      <c r="E8" s="989"/>
      <c r="F8" s="989"/>
      <c r="G8" s="989"/>
      <c r="H8" s="989"/>
      <c r="I8" s="994"/>
      <c r="J8" s="989"/>
      <c r="K8" s="989"/>
      <c r="L8" s="989"/>
      <c r="M8" s="994"/>
      <c r="N8" s="624" t="s">
        <v>15</v>
      </c>
      <c r="S8" s="63">
        <v>2096</v>
      </c>
      <c r="T8" s="63" t="s">
        <v>600</v>
      </c>
      <c r="U8" s="629" t="s">
        <v>601</v>
      </c>
      <c r="V8" s="63">
        <v>6</v>
      </c>
      <c r="W8" s="630">
        <v>147840</v>
      </c>
      <c r="X8" s="630">
        <v>147840</v>
      </c>
      <c r="Y8" s="630">
        <f t="shared" si="1"/>
        <v>0</v>
      </c>
      <c r="Z8" s="677">
        <f t="shared" si="0"/>
        <v>0</v>
      </c>
    </row>
    <row r="9" spans="1:26">
      <c r="A9" s="623" t="s">
        <v>32</v>
      </c>
      <c r="B9" s="623"/>
      <c r="C9" s="680">
        <v>3751.2600000000093</v>
      </c>
      <c r="D9" s="680">
        <v>104950</v>
      </c>
      <c r="E9" s="681">
        <v>943459</v>
      </c>
      <c r="F9" s="681">
        <v>98825</v>
      </c>
      <c r="G9" s="680">
        <v>132050</v>
      </c>
      <c r="H9" s="681">
        <v>140052</v>
      </c>
      <c r="I9" s="680">
        <v>6000</v>
      </c>
      <c r="J9" s="680">
        <v>1114176</v>
      </c>
      <c r="K9" s="680">
        <v>740</v>
      </c>
      <c r="L9" s="680">
        <v>351500</v>
      </c>
      <c r="M9" s="680">
        <v>0</v>
      </c>
      <c r="N9" s="680">
        <f>SUM(C9:M9)</f>
        <v>2895503.26</v>
      </c>
      <c r="O9" s="682"/>
      <c r="P9" s="682"/>
      <c r="Q9" s="682"/>
      <c r="S9" s="63">
        <v>2098</v>
      </c>
      <c r="T9" s="63" t="s">
        <v>602</v>
      </c>
      <c r="U9" s="629" t="s">
        <v>603</v>
      </c>
      <c r="V9" s="63">
        <v>6</v>
      </c>
      <c r="W9" s="630">
        <v>462500</v>
      </c>
      <c r="X9" s="630">
        <v>462500</v>
      </c>
      <c r="Y9" s="630">
        <f t="shared" si="1"/>
        <v>0</v>
      </c>
      <c r="Z9" s="677">
        <f t="shared" si="0"/>
        <v>0</v>
      </c>
    </row>
    <row r="10" spans="1:26">
      <c r="A10" s="623" t="s">
        <v>170</v>
      </c>
      <c r="B10" s="623"/>
      <c r="C10" s="683">
        <v>437365.73999999801</v>
      </c>
      <c r="D10" s="680">
        <v>646013</v>
      </c>
      <c r="E10" s="680">
        <v>0</v>
      </c>
      <c r="F10" s="681">
        <v>49015</v>
      </c>
      <c r="G10" s="680">
        <v>330450</v>
      </c>
      <c r="H10" s="680">
        <v>0</v>
      </c>
      <c r="I10" s="680">
        <v>0</v>
      </c>
      <c r="J10" s="680">
        <v>0</v>
      </c>
      <c r="K10" s="680">
        <v>0</v>
      </c>
      <c r="L10" s="680">
        <v>0</v>
      </c>
      <c r="M10" s="680">
        <v>0</v>
      </c>
      <c r="N10" s="680">
        <f>SUM(C10:M10)</f>
        <v>1462843.7399999979</v>
      </c>
      <c r="O10" s="682"/>
      <c r="P10" s="682"/>
      <c r="Q10" s="682"/>
      <c r="S10" s="63">
        <v>2100</v>
      </c>
      <c r="T10" s="63" t="s">
        <v>604</v>
      </c>
      <c r="U10" s="629" t="s">
        <v>605</v>
      </c>
      <c r="V10" s="63">
        <v>6</v>
      </c>
      <c r="W10" s="630">
        <v>140052.15</v>
      </c>
      <c r="X10" s="630">
        <v>140052</v>
      </c>
      <c r="Y10" s="630">
        <f>W10-X10</f>
        <v>0.14999999999417923</v>
      </c>
      <c r="Z10" s="677">
        <f>Y10/W10</f>
        <v>1.0710296128562057E-6</v>
      </c>
    </row>
    <row r="11" spans="1:26" ht="13.5" thickBot="1">
      <c r="A11" s="623" t="s">
        <v>221</v>
      </c>
      <c r="B11" s="623"/>
      <c r="C11" s="684">
        <v>0</v>
      </c>
      <c r="D11" s="684">
        <v>614400.02</v>
      </c>
      <c r="E11" s="684">
        <v>0</v>
      </c>
      <c r="F11" s="684">
        <v>0</v>
      </c>
      <c r="G11" s="684">
        <v>0</v>
      </c>
      <c r="H11" s="684">
        <v>0</v>
      </c>
      <c r="I11" s="684">
        <v>0</v>
      </c>
      <c r="J11" s="684">
        <v>0</v>
      </c>
      <c r="K11" s="684">
        <v>0</v>
      </c>
      <c r="L11" s="684">
        <v>0</v>
      </c>
      <c r="M11" s="684">
        <v>0</v>
      </c>
      <c r="N11" s="684">
        <f>SUM(C11:M11)</f>
        <v>614400.02</v>
      </c>
      <c r="O11" s="682"/>
      <c r="P11" s="682"/>
      <c r="Q11" s="682"/>
      <c r="S11" s="63">
        <v>2108</v>
      </c>
      <c r="T11" s="63" t="s">
        <v>612</v>
      </c>
      <c r="U11" s="629" t="s">
        <v>613</v>
      </c>
      <c r="V11" s="63">
        <v>6</v>
      </c>
      <c r="W11" s="630">
        <v>6000</v>
      </c>
      <c r="X11" s="630">
        <v>6000</v>
      </c>
      <c r="Y11" s="630">
        <f>W11-X11</f>
        <v>0</v>
      </c>
      <c r="Z11" s="677">
        <f>Y11/W11</f>
        <v>0</v>
      </c>
    </row>
    <row r="12" spans="1:26" ht="13.5" thickTop="1">
      <c r="A12" s="622" t="s">
        <v>38</v>
      </c>
      <c r="B12" s="623"/>
      <c r="C12" s="685">
        <f t="shared" ref="C12:N12" si="2">SUM(C9:C11)</f>
        <v>441116.99999999802</v>
      </c>
      <c r="D12" s="685">
        <f t="shared" si="2"/>
        <v>1365363.02</v>
      </c>
      <c r="E12" s="685">
        <f t="shared" si="2"/>
        <v>943459</v>
      </c>
      <c r="F12" s="685">
        <f t="shared" si="2"/>
        <v>147840</v>
      </c>
      <c r="G12" s="685">
        <f t="shared" si="2"/>
        <v>462500</v>
      </c>
      <c r="H12" s="685">
        <f t="shared" si="2"/>
        <v>140052</v>
      </c>
      <c r="I12" s="685">
        <f t="shared" si="2"/>
        <v>6000</v>
      </c>
      <c r="J12" s="685">
        <f t="shared" si="2"/>
        <v>1114176</v>
      </c>
      <c r="K12" s="685">
        <f t="shared" si="2"/>
        <v>740</v>
      </c>
      <c r="L12" s="685">
        <f>SUM(L9:L11)</f>
        <v>351500</v>
      </c>
      <c r="M12" s="685">
        <f t="shared" si="2"/>
        <v>0</v>
      </c>
      <c r="N12" s="685">
        <f t="shared" si="2"/>
        <v>4972747.0199999977</v>
      </c>
      <c r="O12" s="682"/>
      <c r="P12" s="682"/>
      <c r="Q12" s="682"/>
      <c r="S12" s="63">
        <v>2110</v>
      </c>
      <c r="T12" s="63" t="s">
        <v>614</v>
      </c>
      <c r="U12" s="629" t="s">
        <v>615</v>
      </c>
      <c r="V12" s="63">
        <v>6</v>
      </c>
      <c r="W12" s="630">
        <v>1173781.21</v>
      </c>
      <c r="X12" s="630">
        <v>644001.34</v>
      </c>
      <c r="Y12" s="630">
        <f>W12-X12</f>
        <v>529779.87</v>
      </c>
      <c r="Z12" s="677">
        <f>Y12/W12</f>
        <v>0.45134465050773814</v>
      </c>
    </row>
    <row r="13" spans="1:26">
      <c r="A13" s="63" t="s">
        <v>222</v>
      </c>
      <c r="C13" s="686">
        <v>0</v>
      </c>
      <c r="D13" s="686">
        <v>385600</v>
      </c>
      <c r="E13" s="686">
        <v>0</v>
      </c>
      <c r="F13" s="686">
        <v>0</v>
      </c>
      <c r="G13" s="686">
        <v>0</v>
      </c>
      <c r="H13" s="686">
        <v>0</v>
      </c>
      <c r="I13" s="686">
        <v>0</v>
      </c>
      <c r="J13" s="686">
        <v>0</v>
      </c>
      <c r="K13" s="686">
        <v>0</v>
      </c>
      <c r="L13" s="686">
        <v>0</v>
      </c>
      <c r="M13" s="686">
        <v>10000</v>
      </c>
      <c r="N13" s="680">
        <f>SUM(C13:M13)</f>
        <v>395600</v>
      </c>
      <c r="O13" s="682"/>
      <c r="P13" s="682"/>
      <c r="Q13" s="682"/>
      <c r="S13" s="63">
        <v>2114</v>
      </c>
      <c r="T13" s="63" t="s">
        <v>618</v>
      </c>
      <c r="U13" s="629" t="s">
        <v>619</v>
      </c>
      <c r="V13" s="63">
        <v>6</v>
      </c>
      <c r="W13" s="630">
        <v>1114175.56</v>
      </c>
      <c r="X13" s="630">
        <v>1114176</v>
      </c>
      <c r="Y13" s="630">
        <f>W13-X13</f>
        <v>-0.43999999994412065</v>
      </c>
      <c r="Z13" s="677">
        <f>Y13/W13</f>
        <v>-3.9491083428909588E-7</v>
      </c>
    </row>
    <row r="14" spans="1:26" ht="13.5" thickBot="1">
      <c r="A14" s="63" t="s">
        <v>223</v>
      </c>
      <c r="C14" s="688">
        <f>37026376.97-4641917.94</f>
        <v>32384459.029999997</v>
      </c>
      <c r="D14" s="688">
        <v>0</v>
      </c>
      <c r="E14" s="688">
        <v>0</v>
      </c>
      <c r="F14" s="688">
        <v>0</v>
      </c>
      <c r="G14" s="688">
        <v>0</v>
      </c>
      <c r="H14" s="688">
        <v>0</v>
      </c>
      <c r="I14" s="688">
        <v>0</v>
      </c>
      <c r="J14" s="688">
        <v>0</v>
      </c>
      <c r="K14" s="689">
        <v>0</v>
      </c>
      <c r="L14" s="688">
        <v>0</v>
      </c>
      <c r="M14" s="688">
        <v>0</v>
      </c>
      <c r="N14" s="684">
        <f>SUM(C14:M14)</f>
        <v>32384459.029999997</v>
      </c>
      <c r="O14" s="682"/>
      <c r="P14" s="682"/>
      <c r="Q14" s="682"/>
      <c r="S14" s="63">
        <v>2118</v>
      </c>
      <c r="T14" s="63" t="s">
        <v>622</v>
      </c>
      <c r="U14" s="629" t="s">
        <v>623</v>
      </c>
      <c r="V14" s="63">
        <v>6</v>
      </c>
      <c r="W14" s="630">
        <v>1834157.69</v>
      </c>
      <c r="X14" s="630">
        <v>1834158</v>
      </c>
      <c r="Y14" s="630">
        <f>W14-X14</f>
        <v>-0.31000000005587935</v>
      </c>
      <c r="Z14" s="677">
        <f>Y14/W14</f>
        <v>-1.6901491171998378E-7</v>
      </c>
    </row>
    <row r="15" spans="1:26" ht="13.5" thickTop="1">
      <c r="A15" s="622" t="s">
        <v>224</v>
      </c>
      <c r="B15" s="623"/>
      <c r="C15" s="685">
        <f t="shared" ref="C15:N15" si="3">SUM(C12:C14)</f>
        <v>32825576.029999994</v>
      </c>
      <c r="D15" s="685">
        <f t="shared" si="3"/>
        <v>1750963.02</v>
      </c>
      <c r="E15" s="685">
        <f t="shared" si="3"/>
        <v>943459</v>
      </c>
      <c r="F15" s="685">
        <f t="shared" si="3"/>
        <v>147840</v>
      </c>
      <c r="G15" s="685">
        <f t="shared" si="3"/>
        <v>462500</v>
      </c>
      <c r="H15" s="685">
        <f t="shared" si="3"/>
        <v>140052</v>
      </c>
      <c r="I15" s="685">
        <f t="shared" si="3"/>
        <v>6000</v>
      </c>
      <c r="J15" s="685">
        <f t="shared" si="3"/>
        <v>1114176</v>
      </c>
      <c r="K15" s="685">
        <f t="shared" si="3"/>
        <v>740</v>
      </c>
      <c r="L15" s="685">
        <f t="shared" si="3"/>
        <v>351500</v>
      </c>
      <c r="M15" s="685">
        <f t="shared" si="3"/>
        <v>10000</v>
      </c>
      <c r="N15" s="685">
        <f t="shared" si="3"/>
        <v>37752806.049999997</v>
      </c>
      <c r="O15" s="682"/>
      <c r="P15" s="682"/>
      <c r="Q15" s="682"/>
      <c r="S15" s="63">
        <v>2122</v>
      </c>
      <c r="T15" s="63" t="s">
        <v>626</v>
      </c>
      <c r="U15" s="629" t="s">
        <v>627</v>
      </c>
      <c r="V15" s="63">
        <v>6</v>
      </c>
      <c r="W15" s="630">
        <v>1193125.8899999999</v>
      </c>
      <c r="X15" s="630">
        <v>10000</v>
      </c>
      <c r="Y15" s="630">
        <f t="shared" ref="Y15:Y16" si="4">W15-X15</f>
        <v>1183125.8899999999</v>
      </c>
      <c r="Z15" s="677">
        <f t="shared" si="0"/>
        <v>0.99161865475905475</v>
      </c>
    </row>
    <row r="16" spans="1:26">
      <c r="A16" s="63" t="s">
        <v>401</v>
      </c>
      <c r="B16" s="623"/>
      <c r="C16" s="690"/>
      <c r="D16" s="690">
        <v>231300</v>
      </c>
      <c r="E16" s="690"/>
      <c r="F16" s="690"/>
      <c r="G16" s="690"/>
      <c r="H16" s="690"/>
      <c r="I16" s="690"/>
      <c r="J16" s="690"/>
      <c r="K16" s="690">
        <v>1833418</v>
      </c>
      <c r="L16" s="690">
        <v>292501.34000000003</v>
      </c>
      <c r="M16" s="690"/>
      <c r="N16" s="691">
        <f>SUM(C16:M16)</f>
        <v>2357219.34</v>
      </c>
      <c r="O16" s="682"/>
      <c r="P16" s="682"/>
      <c r="Q16" s="682"/>
      <c r="S16" s="63">
        <v>2124</v>
      </c>
      <c r="T16" s="63" t="s">
        <v>628</v>
      </c>
      <c r="U16" s="629" t="s">
        <v>629</v>
      </c>
      <c r="V16" s="63">
        <v>6</v>
      </c>
      <c r="W16" s="780">
        <f>-1606182.88+8000</f>
        <v>-1598182.88</v>
      </c>
      <c r="X16" s="780">
        <f>-1239351.35+8000</f>
        <v>-1231351.3500000001</v>
      </c>
      <c r="Y16" s="780">
        <f t="shared" si="4"/>
        <v>-366831.5299999998</v>
      </c>
      <c r="Z16" s="677">
        <f t="shared" si="0"/>
        <v>0.22953038390700306</v>
      </c>
    </row>
    <row r="17" spans="1:30" ht="13.5" thickBot="1">
      <c r="A17" s="622" t="s">
        <v>399</v>
      </c>
      <c r="B17" s="623"/>
      <c r="C17" s="692">
        <v>-1274999.3999999999</v>
      </c>
      <c r="D17" s="692"/>
      <c r="E17" s="692"/>
      <c r="F17" s="692"/>
      <c r="G17" s="692"/>
      <c r="H17" s="692"/>
      <c r="I17" s="692"/>
      <c r="J17" s="692"/>
      <c r="K17" s="692"/>
      <c r="L17" s="692"/>
      <c r="M17" s="692"/>
      <c r="N17" s="684">
        <f>SUM(C17:M17)</f>
        <v>-1274999.3999999999</v>
      </c>
      <c r="O17" s="682"/>
      <c r="P17" s="682"/>
      <c r="Q17" s="682"/>
      <c r="W17" s="678">
        <f>SUM(W5:W16)</f>
        <v>35257871.109999992</v>
      </c>
      <c r="X17" s="678">
        <f>SUM(X5:X16)</f>
        <v>37603674.990000002</v>
      </c>
      <c r="Y17" s="678">
        <f>SUM(Y5:Y16)</f>
        <v>-2345803.8800000008</v>
      </c>
      <c r="Z17" s="679">
        <f t="shared" si="0"/>
        <v>-6.653277143935879E-2</v>
      </c>
    </row>
    <row r="18" spans="1:30" ht="13.5" thickTop="1">
      <c r="A18" s="622" t="s">
        <v>400</v>
      </c>
      <c r="B18" s="623"/>
      <c r="C18" s="685">
        <f>C15+C17</f>
        <v>31550576.629999995</v>
      </c>
      <c r="D18" s="685">
        <f t="shared" ref="D18:M18" si="5">D15+D16</f>
        <v>1982263.02</v>
      </c>
      <c r="E18" s="685">
        <f t="shared" si="5"/>
        <v>943459</v>
      </c>
      <c r="F18" s="685">
        <f t="shared" si="5"/>
        <v>147840</v>
      </c>
      <c r="G18" s="685">
        <f t="shared" si="5"/>
        <v>462500</v>
      </c>
      <c r="H18" s="685">
        <f t="shared" si="5"/>
        <v>140052</v>
      </c>
      <c r="I18" s="685">
        <f t="shared" si="5"/>
        <v>6000</v>
      </c>
      <c r="J18" s="685">
        <f t="shared" si="5"/>
        <v>1114176</v>
      </c>
      <c r="K18" s="685">
        <f t="shared" si="5"/>
        <v>1834158</v>
      </c>
      <c r="L18" s="685">
        <f>L15+L16</f>
        <v>644001.34000000008</v>
      </c>
      <c r="M18" s="685">
        <f t="shared" si="5"/>
        <v>10000</v>
      </c>
      <c r="N18" s="680">
        <f>SUM(C18:M18)</f>
        <v>38835025.989999995</v>
      </c>
      <c r="O18" s="682">
        <f>'ESF - ERI'!S22</f>
        <v>44513438</v>
      </c>
      <c r="P18" s="682">
        <f>X26</f>
        <v>44072366.990000002</v>
      </c>
      <c r="Q18" s="682">
        <f>O18-P18</f>
        <v>441071.00999999791</v>
      </c>
      <c r="T18" s="625" t="s">
        <v>633</v>
      </c>
      <c r="W18" s="630">
        <f>SUM(W5:W15)</f>
        <v>36856053.989999995</v>
      </c>
      <c r="X18" s="630">
        <f>X17-X16</f>
        <v>38835026.340000004</v>
      </c>
      <c r="Y18" s="630">
        <f t="shared" ref="Y18" si="6">Y17-Y16</f>
        <v>-1978972.350000001</v>
      </c>
    </row>
    <row r="19" spans="1:30">
      <c r="A19" s="623"/>
      <c r="B19" s="634" t="s">
        <v>398</v>
      </c>
      <c r="C19" s="680">
        <f>X5</f>
        <v>31550577</v>
      </c>
      <c r="D19" s="680">
        <f>X6</f>
        <v>1982263</v>
      </c>
      <c r="E19" s="680">
        <f>X7</f>
        <v>943459</v>
      </c>
      <c r="F19" s="680">
        <f>X8</f>
        <v>147840</v>
      </c>
      <c r="G19" s="680">
        <f>X9</f>
        <v>462500</v>
      </c>
      <c r="H19" s="680">
        <f>X10</f>
        <v>140052</v>
      </c>
      <c r="I19" s="680">
        <f>X11</f>
        <v>6000</v>
      </c>
      <c r="J19" s="680">
        <f>X13</f>
        <v>1114176</v>
      </c>
      <c r="K19" s="680">
        <f>X14</f>
        <v>1834158</v>
      </c>
      <c r="L19" s="680">
        <f>X12</f>
        <v>644001.34</v>
      </c>
      <c r="M19" s="680">
        <f>X15</f>
        <v>10000</v>
      </c>
      <c r="N19" s="680">
        <f>SUM(C19:M19)</f>
        <v>38835026.340000004</v>
      </c>
      <c r="O19" s="682">
        <f>X18</f>
        <v>38835026.340000004</v>
      </c>
      <c r="P19" s="682">
        <f>N19-O19</f>
        <v>0</v>
      </c>
      <c r="Q19" s="682"/>
      <c r="S19" s="63">
        <v>2102</v>
      </c>
      <c r="T19" s="63" t="s">
        <v>606</v>
      </c>
      <c r="U19" s="629" t="s">
        <v>607</v>
      </c>
      <c r="V19" s="63">
        <v>6</v>
      </c>
      <c r="W19" s="630">
        <v>104393.87</v>
      </c>
      <c r="X19" s="630">
        <v>0</v>
      </c>
      <c r="Y19" s="630">
        <f t="shared" ref="Y19:Y24" si="7">W19-X19</f>
        <v>104393.87</v>
      </c>
    </row>
    <row r="20" spans="1:30">
      <c r="A20" s="619"/>
      <c r="B20" s="622"/>
      <c r="C20" s="685">
        <f>+C19-C18</f>
        <v>0.37000000476837158</v>
      </c>
      <c r="D20" s="685">
        <f t="shared" ref="D20:N20" si="8">+D19-D18</f>
        <v>-2.0000000018626451E-2</v>
      </c>
      <c r="E20" s="685">
        <f t="shared" si="8"/>
        <v>0</v>
      </c>
      <c r="F20" s="685">
        <f t="shared" si="8"/>
        <v>0</v>
      </c>
      <c r="G20" s="685">
        <f t="shared" si="8"/>
        <v>0</v>
      </c>
      <c r="H20" s="685">
        <f t="shared" si="8"/>
        <v>0</v>
      </c>
      <c r="I20" s="685">
        <f t="shared" si="8"/>
        <v>0</v>
      </c>
      <c r="J20" s="685">
        <f t="shared" si="8"/>
        <v>0</v>
      </c>
      <c r="K20" s="685">
        <f t="shared" si="8"/>
        <v>0</v>
      </c>
      <c r="L20" s="685">
        <f>+L19-L18</f>
        <v>0</v>
      </c>
      <c r="M20" s="685">
        <f t="shared" si="8"/>
        <v>0</v>
      </c>
      <c r="N20" s="685">
        <f t="shared" si="8"/>
        <v>0.35000000894069672</v>
      </c>
      <c r="O20" s="682"/>
      <c r="P20" s="682" t="s">
        <v>635</v>
      </c>
      <c r="Q20" s="682">
        <f>W25</f>
        <v>3864893.87</v>
      </c>
      <c r="S20" s="63">
        <v>2104</v>
      </c>
      <c r="T20" s="63" t="s">
        <v>608</v>
      </c>
      <c r="U20" s="629" t="s">
        <v>609</v>
      </c>
      <c r="V20" s="63">
        <v>6</v>
      </c>
      <c r="W20" s="630">
        <v>84000</v>
      </c>
      <c r="X20" s="630">
        <v>84000</v>
      </c>
      <c r="Y20" s="630">
        <f t="shared" si="7"/>
        <v>0</v>
      </c>
    </row>
    <row r="21" spans="1:30" ht="13.5" thickBot="1">
      <c r="A21" s="63" t="s">
        <v>593</v>
      </c>
      <c r="C21" s="688">
        <v>-3691877.36</v>
      </c>
      <c r="D21" s="688">
        <v>0</v>
      </c>
      <c r="E21" s="688">
        <v>0</v>
      </c>
      <c r="F21" s="688">
        <v>0</v>
      </c>
      <c r="G21" s="688">
        <v>0</v>
      </c>
      <c r="H21" s="688">
        <v>0</v>
      </c>
      <c r="I21" s="688">
        <v>0</v>
      </c>
      <c r="J21" s="688">
        <v>0</v>
      </c>
      <c r="K21" s="688">
        <v>0</v>
      </c>
      <c r="L21" s="688">
        <v>529779.87</v>
      </c>
      <c r="M21" s="688">
        <v>1183125.8899999999</v>
      </c>
      <c r="N21" s="684">
        <f>SUM(C21:M21)</f>
        <v>-1978971.5999999999</v>
      </c>
      <c r="O21" s="682"/>
      <c r="P21" s="682" t="s">
        <v>636</v>
      </c>
      <c r="Q21" s="682">
        <f>W16</f>
        <v>-1598182.88</v>
      </c>
      <c r="S21" s="63">
        <v>2106</v>
      </c>
      <c r="T21" s="63" t="s">
        <v>610</v>
      </c>
      <c r="U21" s="629" t="s">
        <v>611</v>
      </c>
      <c r="V21" s="63">
        <v>6</v>
      </c>
      <c r="W21" s="630">
        <v>3675000</v>
      </c>
      <c r="X21" s="630">
        <v>6384692</v>
      </c>
      <c r="Y21" s="630">
        <f t="shared" si="7"/>
        <v>-2709692</v>
      </c>
    </row>
    <row r="22" spans="1:30" ht="13.5" thickTop="1">
      <c r="A22" s="622" t="s">
        <v>592</v>
      </c>
      <c r="C22" s="686">
        <f>C18+C21</f>
        <v>27858699.269999996</v>
      </c>
      <c r="D22" s="686">
        <f t="shared" ref="D22:N22" si="9">D18+D21</f>
        <v>1982263.02</v>
      </c>
      <c r="E22" s="686">
        <f t="shared" si="9"/>
        <v>943459</v>
      </c>
      <c r="F22" s="686">
        <f t="shared" si="9"/>
        <v>147840</v>
      </c>
      <c r="G22" s="686">
        <f t="shared" si="9"/>
        <v>462500</v>
      </c>
      <c r="H22" s="686">
        <f t="shared" si="9"/>
        <v>140052</v>
      </c>
      <c r="I22" s="686">
        <f t="shared" si="9"/>
        <v>6000</v>
      </c>
      <c r="J22" s="686">
        <f t="shared" si="9"/>
        <v>1114176</v>
      </c>
      <c r="K22" s="686">
        <f t="shared" si="9"/>
        <v>1834158</v>
      </c>
      <c r="L22" s="686">
        <f>L18+L21</f>
        <v>1173781.21</v>
      </c>
      <c r="M22" s="686">
        <f t="shared" si="9"/>
        <v>1193125.8899999999</v>
      </c>
      <c r="N22" s="686">
        <f t="shared" si="9"/>
        <v>36856054.389999993</v>
      </c>
      <c r="O22" s="682">
        <f>'Planilla Final 2018'!B20</f>
        <v>39016871</v>
      </c>
      <c r="P22" s="682">
        <f>N22-O22</f>
        <v>-2160816.6100000069</v>
      </c>
      <c r="Q22" s="682">
        <f>SUM(Q20:Q21)</f>
        <v>2266710.9900000002</v>
      </c>
      <c r="S22" s="63">
        <v>2112</v>
      </c>
      <c r="T22" s="63" t="s">
        <v>616</v>
      </c>
      <c r="U22" s="629" t="s">
        <v>617</v>
      </c>
      <c r="V22" s="63">
        <v>6</v>
      </c>
      <c r="W22" s="630">
        <v>8000</v>
      </c>
      <c r="X22" s="630">
        <v>8000</v>
      </c>
      <c r="Y22" s="630">
        <f t="shared" si="7"/>
        <v>0</v>
      </c>
    </row>
    <row r="23" spans="1:30">
      <c r="A23" s="623"/>
      <c r="B23" s="634" t="s">
        <v>630</v>
      </c>
      <c r="C23" s="686">
        <f>W5</f>
        <v>27858699.27</v>
      </c>
      <c r="D23" s="686">
        <f>W6</f>
        <v>1982263.02</v>
      </c>
      <c r="E23" s="686">
        <f>W7</f>
        <v>943459.2</v>
      </c>
      <c r="F23" s="686">
        <f>W8</f>
        <v>147840</v>
      </c>
      <c r="G23" s="686">
        <f>W9</f>
        <v>462500</v>
      </c>
      <c r="H23" s="686">
        <f>W10</f>
        <v>140052.15</v>
      </c>
      <c r="I23" s="686">
        <f>W11</f>
        <v>6000</v>
      </c>
      <c r="J23" s="686">
        <f>W13</f>
        <v>1114175.56</v>
      </c>
      <c r="K23" s="686">
        <f>W14</f>
        <v>1834157.69</v>
      </c>
      <c r="L23" s="686">
        <f>W12</f>
        <v>1173781.21</v>
      </c>
      <c r="M23" s="686">
        <f>W15</f>
        <v>1193125.8899999999</v>
      </c>
      <c r="N23" s="680">
        <f>SUM(C23:M23)</f>
        <v>36856053.989999995</v>
      </c>
      <c r="O23" s="682">
        <f>W18</f>
        <v>36856053.989999995</v>
      </c>
      <c r="P23" s="682">
        <f>N23-O23</f>
        <v>0</v>
      </c>
      <c r="Q23" s="632">
        <f>P22+Q22</f>
        <v>105894.37999999337</v>
      </c>
      <c r="S23" s="63">
        <v>2120</v>
      </c>
      <c r="T23" s="63" t="s">
        <v>624</v>
      </c>
      <c r="U23" s="629" t="s">
        <v>625</v>
      </c>
      <c r="V23" s="63">
        <v>6</v>
      </c>
      <c r="W23" s="630">
        <v>1500</v>
      </c>
      <c r="X23" s="630">
        <v>0</v>
      </c>
      <c r="Y23" s="630">
        <f t="shared" si="7"/>
        <v>1500</v>
      </c>
    </row>
    <row r="24" spans="1:30">
      <c r="C24" s="685">
        <f>+C23-C22</f>
        <v>0</v>
      </c>
      <c r="D24" s="685">
        <f t="shared" ref="D24:N24" si="10">+D23-D22</f>
        <v>0</v>
      </c>
      <c r="E24" s="685">
        <f t="shared" si="10"/>
        <v>0.19999999995343387</v>
      </c>
      <c r="F24" s="685">
        <f t="shared" si="10"/>
        <v>0</v>
      </c>
      <c r="G24" s="685">
        <f t="shared" si="10"/>
        <v>0</v>
      </c>
      <c r="H24" s="685">
        <f t="shared" si="10"/>
        <v>0.14999999999417923</v>
      </c>
      <c r="I24" s="685">
        <f t="shared" si="10"/>
        <v>0</v>
      </c>
      <c r="J24" s="685">
        <f t="shared" si="10"/>
        <v>-0.43999999994412065</v>
      </c>
      <c r="K24" s="685">
        <f t="shared" si="10"/>
        <v>-0.31000000005587935</v>
      </c>
      <c r="L24" s="685">
        <f>+L23-L22</f>
        <v>0</v>
      </c>
      <c r="M24" s="685">
        <f t="shared" si="10"/>
        <v>0</v>
      </c>
      <c r="N24" s="685">
        <f t="shared" si="10"/>
        <v>-0.39999999850988388</v>
      </c>
      <c r="O24" s="682"/>
      <c r="P24" s="682"/>
      <c r="Q24" s="682"/>
      <c r="S24" s="63">
        <v>2124</v>
      </c>
      <c r="T24" s="63" t="s">
        <v>628</v>
      </c>
      <c r="U24" s="629" t="s">
        <v>629</v>
      </c>
      <c r="V24" s="63">
        <v>6</v>
      </c>
      <c r="W24" s="630">
        <v>-8000</v>
      </c>
      <c r="X24" s="630">
        <v>-8000</v>
      </c>
      <c r="Y24" s="630">
        <f t="shared" si="7"/>
        <v>0</v>
      </c>
    </row>
    <row r="25" spans="1:30">
      <c r="C25" s="686"/>
      <c r="D25" s="686"/>
      <c r="E25" s="686"/>
      <c r="F25" s="686"/>
      <c r="G25" s="686"/>
      <c r="H25" s="686"/>
      <c r="I25" s="686"/>
      <c r="J25" s="686"/>
      <c r="K25" s="686"/>
      <c r="L25" s="686" t="s">
        <v>659</v>
      </c>
      <c r="N25" s="686">
        <f>'Participaciones 2018'!AI19</f>
        <v>26102396.977123026</v>
      </c>
      <c r="O25" s="682"/>
      <c r="P25" s="682"/>
      <c r="Q25" s="682"/>
      <c r="W25" s="678">
        <f>SUM(W19:W24)</f>
        <v>3864893.87</v>
      </c>
      <c r="X25" s="678">
        <f>SUM(X19:X24)</f>
        <v>6468692</v>
      </c>
      <c r="Y25" s="678">
        <f>SUM(Y19:Y23)</f>
        <v>-2603798.13</v>
      </c>
    </row>
    <row r="26" spans="1:30">
      <c r="C26" s="686"/>
      <c r="D26" s="686"/>
      <c r="E26" s="686"/>
      <c r="F26" s="686"/>
      <c r="G26" s="686"/>
      <c r="H26" s="686"/>
      <c r="I26" s="686"/>
      <c r="J26" s="686"/>
      <c r="K26" s="686"/>
      <c r="L26" s="686" t="s">
        <v>591</v>
      </c>
      <c r="N26" s="686">
        <f>N23-N25</f>
        <v>10753657.012876969</v>
      </c>
      <c r="O26" s="682"/>
      <c r="P26" s="682"/>
      <c r="Q26" s="682"/>
      <c r="W26" s="678">
        <f>W17+W25</f>
        <v>39122764.979999989</v>
      </c>
      <c r="X26" s="678">
        <f>X17+X25</f>
        <v>44072366.990000002</v>
      </c>
      <c r="Y26" s="678">
        <f>Y17+Y25</f>
        <v>-4949602.0100000007</v>
      </c>
    </row>
    <row r="27" spans="1:30">
      <c r="B27" s="609"/>
      <c r="C27" s="687"/>
      <c r="D27" s="687"/>
      <c r="E27" s="687"/>
      <c r="F27" s="687"/>
      <c r="G27" s="686"/>
      <c r="H27" s="686"/>
      <c r="I27" s="686"/>
      <c r="J27" s="693"/>
      <c r="K27" s="686"/>
      <c r="L27" s="686" t="s">
        <v>660</v>
      </c>
      <c r="M27" s="686"/>
      <c r="N27" s="686">
        <f>-C62</f>
        <v>0</v>
      </c>
      <c r="O27" s="682"/>
      <c r="P27" s="682"/>
      <c r="Q27" s="682"/>
      <c r="W27" s="630">
        <f>'Planilla Final 2018'!R20-'Inversiones 2018'!W25</f>
        <v>-105893.97999999207</v>
      </c>
    </row>
    <row r="28" spans="1:30">
      <c r="A28" s="625" t="s">
        <v>637</v>
      </c>
      <c r="B28" s="609"/>
      <c r="C28" s="611"/>
      <c r="D28" s="611"/>
      <c r="E28" s="611"/>
      <c r="F28" s="611"/>
      <c r="K28" s="637"/>
      <c r="L28" s="686" t="s">
        <v>658</v>
      </c>
      <c r="N28" s="686">
        <f>N26-N27</f>
        <v>10753657.012876969</v>
      </c>
      <c r="T28" s="625" t="s">
        <v>634</v>
      </c>
    </row>
    <row r="29" spans="1:30">
      <c r="C29" s="63"/>
      <c r="D29" s="63"/>
      <c r="E29" s="63"/>
      <c r="F29" s="63"/>
      <c r="G29" s="63"/>
      <c r="H29" s="63"/>
      <c r="I29" s="63"/>
      <c r="J29" s="63"/>
      <c r="K29" s="63"/>
      <c r="T29" s="990" t="s">
        <v>25</v>
      </c>
      <c r="U29" s="991"/>
      <c r="V29" s="638" t="s">
        <v>45</v>
      </c>
      <c r="W29" s="639" t="s">
        <v>26</v>
      </c>
      <c r="X29" s="640" t="s">
        <v>27</v>
      </c>
      <c r="Y29" s="611"/>
      <c r="Z29" s="631"/>
      <c r="AA29" s="631"/>
      <c r="AB29" s="631"/>
      <c r="AC29" s="631"/>
      <c r="AD29" s="631"/>
    </row>
    <row r="30" spans="1:30">
      <c r="A30" s="625" t="s">
        <v>644</v>
      </c>
      <c r="B30" s="627" t="s">
        <v>26</v>
      </c>
      <c r="C30" s="627" t="s">
        <v>27</v>
      </c>
      <c r="D30" s="627" t="s">
        <v>591</v>
      </c>
      <c r="E30" s="63"/>
      <c r="F30" s="63"/>
      <c r="G30" s="63"/>
      <c r="H30" s="63"/>
      <c r="I30" s="63"/>
      <c r="J30" s="63"/>
      <c r="K30" s="63"/>
      <c r="T30" s="995" t="s">
        <v>171</v>
      </c>
      <c r="U30" s="996"/>
      <c r="V30" s="641" t="s">
        <v>172</v>
      </c>
      <c r="W30" s="642">
        <f>+N10-W31</f>
        <v>1055478</v>
      </c>
      <c r="X30" s="643"/>
      <c r="Y30" s="611"/>
      <c r="Z30" s="631"/>
      <c r="AA30" s="631"/>
      <c r="AB30" s="631"/>
      <c r="AC30" s="631"/>
      <c r="AD30" s="631"/>
    </row>
    <row r="31" spans="1:30">
      <c r="A31" s="625" t="s">
        <v>678</v>
      </c>
      <c r="C31" s="63"/>
      <c r="D31" s="63"/>
      <c r="E31" s="63"/>
      <c r="F31" s="63"/>
      <c r="G31" s="63"/>
      <c r="H31" s="63"/>
      <c r="I31" s="63"/>
      <c r="J31" s="63"/>
      <c r="K31" s="63"/>
      <c r="T31" s="644" t="s">
        <v>157</v>
      </c>
      <c r="U31" s="645"/>
      <c r="V31" s="641"/>
      <c r="W31" s="646">
        <f>C10-30000</f>
        <v>407365.73999999801</v>
      </c>
      <c r="X31" s="647"/>
      <c r="Y31" s="611"/>
      <c r="Z31" s="631"/>
      <c r="AA31" s="631"/>
      <c r="AB31" s="631"/>
      <c r="AC31" s="631"/>
      <c r="AD31" s="631"/>
    </row>
    <row r="32" spans="1:30">
      <c r="A32" s="625" t="s">
        <v>193</v>
      </c>
      <c r="E32" s="63"/>
      <c r="F32" s="63" t="s">
        <v>679</v>
      </c>
      <c r="G32" s="63"/>
      <c r="H32" s="63"/>
      <c r="I32" s="63"/>
      <c r="J32" s="63"/>
      <c r="K32" s="63"/>
      <c r="T32" s="997" t="s">
        <v>173</v>
      </c>
      <c r="U32" s="998"/>
      <c r="V32" s="648" t="s">
        <v>151</v>
      </c>
      <c r="W32" s="649"/>
      <c r="X32" s="650">
        <f>W30+W31</f>
        <v>1462843.7399999979</v>
      </c>
      <c r="Y32" s="611"/>
      <c r="Z32" s="631"/>
      <c r="AA32" s="631"/>
      <c r="AB32" s="631"/>
      <c r="AC32" s="631"/>
      <c r="AD32" s="631"/>
    </row>
    <row r="33" spans="1:30">
      <c r="A33" s="694" t="s">
        <v>418</v>
      </c>
      <c r="B33" s="686">
        <f>('Planilla Final 2018'!C42+'Planilla Final 2018'!C43)*'Participaciones 2018'!E16</f>
        <v>3751</v>
      </c>
      <c r="C33" s="63"/>
      <c r="D33" s="63"/>
      <c r="E33" s="63"/>
      <c r="F33" s="686">
        <f>('Planilla Final 2018'!C42+'Planilla Final 2018'!C43+'Planilla Final 2018'!C44)</f>
        <v>37147894.460000001</v>
      </c>
      <c r="G33" s="686">
        <f>SUM('Participaciones 2018'!E3:E4)</f>
        <v>37147894.460000001</v>
      </c>
      <c r="H33" s="686">
        <f>F33-G33</f>
        <v>0</v>
      </c>
      <c r="I33" s="63"/>
      <c r="J33" s="63"/>
      <c r="K33" s="63"/>
      <c r="T33" s="623"/>
      <c r="U33" s="609"/>
      <c r="V33" s="628"/>
      <c r="W33" s="623"/>
      <c r="X33" s="623"/>
      <c r="Y33" s="611"/>
      <c r="Z33" s="631"/>
      <c r="AA33" s="631"/>
      <c r="AB33" s="631"/>
      <c r="AC33" s="631"/>
      <c r="AD33" s="631"/>
    </row>
    <row r="34" spans="1:30">
      <c r="A34" s="694" t="s">
        <v>638</v>
      </c>
      <c r="B34" s="686">
        <f>('Planilla Final 2018'!D42+'Planilla Final 2018'!D43)*'Participaciones 2018'!G16</f>
        <v>1104950</v>
      </c>
      <c r="C34" s="63"/>
      <c r="D34" s="63"/>
      <c r="E34" s="63"/>
      <c r="F34" s="686">
        <f>('Planilla Final 2018'!D42+'Planilla Final 2018'!D43+'Planilla Final 2018'!D44)</f>
        <v>1982313.05</v>
      </c>
      <c r="G34" s="686">
        <f>SUM('Participaciones 2018'!G3:G4)</f>
        <v>1982313.05</v>
      </c>
      <c r="H34" s="686">
        <f t="shared" ref="H34:H43" si="11">F34-G34</f>
        <v>0</v>
      </c>
      <c r="I34" s="63"/>
      <c r="J34" s="63"/>
      <c r="K34" s="63"/>
      <c r="T34" s="623"/>
      <c r="U34" s="609"/>
      <c r="V34" s="628"/>
      <c r="W34" s="651">
        <f>SUM(W30:W33)</f>
        <v>1462843.7399999979</v>
      </c>
      <c r="X34" s="651">
        <f>SUM(X30:X33)</f>
        <v>1462843.7399999979</v>
      </c>
      <c r="Y34" s="611"/>
      <c r="Z34" s="631"/>
      <c r="AA34" s="631"/>
      <c r="AB34" s="631"/>
      <c r="AC34" s="631"/>
      <c r="AD34" s="631"/>
    </row>
    <row r="35" spans="1:30">
      <c r="A35" s="694" t="s">
        <v>152</v>
      </c>
      <c r="B35" s="686">
        <f>('Planilla Final 2018'!E42+'Planilla Final 2018'!E43)*'Participaciones 2018'!I16</f>
        <v>6800.0000000000009</v>
      </c>
      <c r="C35" s="63"/>
      <c r="D35" s="63"/>
      <c r="E35" s="63"/>
      <c r="F35" s="686">
        <f>('Planilla Final 2018'!E42+'Planilla Final 2018'!E43+'Planilla Final 2018'!E44)</f>
        <v>10000</v>
      </c>
      <c r="G35" s="686">
        <f>SUM('Participaciones 2018'!I3:I4)</f>
        <v>10000</v>
      </c>
      <c r="H35" s="686">
        <f t="shared" si="11"/>
        <v>0</v>
      </c>
      <c r="I35" s="63"/>
      <c r="J35" s="63"/>
      <c r="K35" s="63"/>
      <c r="T35" s="609"/>
      <c r="U35" s="609"/>
      <c r="V35" s="611"/>
      <c r="W35" s="611"/>
      <c r="X35" s="611"/>
      <c r="Y35" s="611"/>
      <c r="Z35" s="631"/>
      <c r="AA35" s="631"/>
      <c r="AB35" s="631"/>
      <c r="AC35" s="631"/>
      <c r="AD35" s="631"/>
    </row>
    <row r="36" spans="1:30">
      <c r="A36" s="694" t="s">
        <v>156</v>
      </c>
      <c r="B36" s="686">
        <f>('Planilla Final 2018'!F42+'Planilla Final 2018'!F43)*'Participaciones 2018'!K16</f>
        <v>500</v>
      </c>
      <c r="C36" s="63"/>
      <c r="D36" s="63"/>
      <c r="E36" s="63"/>
      <c r="F36" s="686">
        <f>('Planilla Final 2018'!F42+'Planilla Final 2018'!F43+'Planilla Final 2018'!F44)</f>
        <v>50015</v>
      </c>
      <c r="G36" s="686">
        <f>SUM('Participaciones 2018'!K3:K4)</f>
        <v>50015</v>
      </c>
      <c r="H36" s="686">
        <f t="shared" si="11"/>
        <v>0</v>
      </c>
      <c r="I36" s="63"/>
      <c r="J36" s="63"/>
      <c r="K36" s="63"/>
      <c r="T36" s="990" t="s">
        <v>25</v>
      </c>
      <c r="U36" s="991"/>
      <c r="V36" s="638" t="s">
        <v>45</v>
      </c>
      <c r="W36" s="639" t="s">
        <v>26</v>
      </c>
      <c r="X36" s="640" t="s">
        <v>27</v>
      </c>
      <c r="Y36" s="611"/>
      <c r="Z36" s="631"/>
      <c r="AA36" s="631"/>
      <c r="AB36" s="631"/>
      <c r="AC36" s="631"/>
      <c r="AD36" s="631"/>
    </row>
    <row r="37" spans="1:30">
      <c r="A37" s="694" t="s">
        <v>203</v>
      </c>
      <c r="B37" s="686">
        <f>('Planilla Final 2018'!G42+'Planilla Final 2018'!G43)*'Participaciones 2018'!M16</f>
        <v>750</v>
      </c>
      <c r="C37" s="63"/>
      <c r="D37" s="63"/>
      <c r="E37" s="63"/>
      <c r="F37" s="686">
        <f>('Planilla Final 2018'!G42+'Planilla Final 2018'!G43+'Planilla Final 2018'!G44)</f>
        <v>331450</v>
      </c>
      <c r="G37" s="686">
        <f>SUM('Participaciones 2018'!M3:M4)</f>
        <v>331450</v>
      </c>
      <c r="H37" s="686">
        <f t="shared" si="11"/>
        <v>0</v>
      </c>
      <c r="I37" s="63"/>
      <c r="J37" s="63"/>
      <c r="K37" s="63"/>
      <c r="T37" s="995" t="s">
        <v>193</v>
      </c>
      <c r="U37" s="996"/>
      <c r="V37" s="641" t="s">
        <v>225</v>
      </c>
      <c r="W37" s="642">
        <f>+D13+D11+M13</f>
        <v>1010000.02</v>
      </c>
      <c r="X37" s="643"/>
      <c r="Y37" s="611"/>
      <c r="Z37" s="631"/>
      <c r="AA37" s="631"/>
      <c r="AB37" s="631"/>
      <c r="AC37" s="631"/>
      <c r="AD37" s="631"/>
    </row>
    <row r="38" spans="1:30">
      <c r="A38" s="694" t="s">
        <v>159</v>
      </c>
      <c r="B38" s="686">
        <f>('Planilla Final 2018'!H42+'Planilla Final 2018'!H43)*'Participaciones 2018'!O16</f>
        <v>4640</v>
      </c>
      <c r="C38" s="63"/>
      <c r="D38" s="63"/>
      <c r="E38" s="63"/>
      <c r="F38" s="686">
        <f>('Planilla Final 2018'!H42+'Planilla Final 2018'!H43+'Planilla Final 2018'!H44)</f>
        <v>5000</v>
      </c>
      <c r="G38" s="686">
        <f>SUM('Participaciones 2018'!O3:O4)</f>
        <v>5000</v>
      </c>
      <c r="H38" s="686">
        <f t="shared" si="11"/>
        <v>0</v>
      </c>
      <c r="I38" s="63"/>
      <c r="J38" s="63"/>
      <c r="K38" s="63"/>
      <c r="T38" s="997" t="s">
        <v>173</v>
      </c>
      <c r="U38" s="998"/>
      <c r="V38" s="648" t="s">
        <v>151</v>
      </c>
      <c r="W38" s="649"/>
      <c r="X38" s="650">
        <f>+W37</f>
        <v>1010000.02</v>
      </c>
      <c r="Y38" s="611"/>
      <c r="Z38" s="631"/>
      <c r="AA38" s="631"/>
      <c r="AB38" s="631"/>
      <c r="AC38" s="631"/>
      <c r="AD38" s="631"/>
    </row>
    <row r="39" spans="1:30">
      <c r="A39" s="694" t="s">
        <v>437</v>
      </c>
      <c r="B39" s="686">
        <f>('Planilla Final 2018'!I42+'Planilla Final 2018'!I43)*'Participaciones 2018'!Q16</f>
        <v>6000</v>
      </c>
      <c r="C39" s="63"/>
      <c r="D39" s="63"/>
      <c r="E39" s="63"/>
      <c r="F39" s="686">
        <f>('Planilla Final 2018'!I42+'Planilla Final 2018'!I43+'Planilla Final 2018'!I44)</f>
        <v>10000</v>
      </c>
      <c r="G39" s="686">
        <f>SUM('Participaciones 2018'!Q3:Q4)</f>
        <v>10000</v>
      </c>
      <c r="H39" s="686">
        <f t="shared" si="11"/>
        <v>0</v>
      </c>
      <c r="I39" s="63"/>
      <c r="J39" s="63"/>
      <c r="K39" s="63"/>
      <c r="T39" s="623"/>
      <c r="U39" s="609"/>
      <c r="V39" s="628"/>
      <c r="W39" s="623"/>
      <c r="X39" s="623"/>
      <c r="Y39" s="611"/>
      <c r="Z39" s="631"/>
      <c r="AA39" s="631"/>
      <c r="AB39" s="631"/>
      <c r="AC39" s="631"/>
      <c r="AD39" s="631"/>
    </row>
    <row r="40" spans="1:30">
      <c r="A40" s="694" t="s">
        <v>639</v>
      </c>
      <c r="B40" s="687">
        <f>('Planilla Final 2018'!J42+'Planilla Final 2018'!J43+'Planilla Final 2018'!J47)*'Participaciones 2018'!S16</f>
        <v>1139.943</v>
      </c>
      <c r="C40" s="63"/>
      <c r="D40" s="63"/>
      <c r="E40" s="63"/>
      <c r="F40" s="686">
        <f>('Planilla Final 2018'!J42+'Planilla Final 2018'!J43+'Planilla Final 2018'!J44)</f>
        <v>800</v>
      </c>
      <c r="G40" s="686">
        <f>SUM('Participaciones 2018'!S3:S4)</f>
        <v>800</v>
      </c>
      <c r="H40" s="686">
        <f t="shared" si="11"/>
        <v>0</v>
      </c>
      <c r="I40" s="63"/>
      <c r="J40" s="63"/>
      <c r="K40" s="63"/>
      <c r="T40" s="623"/>
      <c r="U40" s="609"/>
      <c r="V40" s="628"/>
      <c r="W40" s="651">
        <f>SUM(W37:W39)</f>
        <v>1010000.02</v>
      </c>
      <c r="X40" s="651">
        <f>SUM(X37:X39)</f>
        <v>1010000.02</v>
      </c>
      <c r="Y40" s="611"/>
      <c r="Z40" s="631"/>
      <c r="AA40" s="631"/>
      <c r="AB40" s="631"/>
      <c r="AC40" s="631"/>
      <c r="AD40" s="631"/>
    </row>
    <row r="41" spans="1:30">
      <c r="A41" s="694" t="s">
        <v>204</v>
      </c>
      <c r="B41" s="687">
        <f>('Planilla Final 2018'!K42+'Planilla Final 2018'!K43)*'Participaciones 2018'!U16</f>
        <v>740</v>
      </c>
      <c r="C41" s="63"/>
      <c r="D41" s="63"/>
      <c r="E41" s="63"/>
      <c r="F41" s="686">
        <f>('Planilla Final 2018'!K42+'Planilla Final 2018'!K43+'Planilla Final 2018'!K44)</f>
        <v>1834217.66</v>
      </c>
      <c r="G41" s="686">
        <f>SUM('Participaciones 2018'!U3:U4)</f>
        <v>1834217.66</v>
      </c>
      <c r="H41" s="686">
        <f t="shared" si="11"/>
        <v>0</v>
      </c>
      <c r="I41" s="63"/>
      <c r="J41" s="63"/>
      <c r="K41" s="63"/>
      <c r="T41" s="623"/>
      <c r="U41" s="609"/>
      <c r="V41" s="628"/>
      <c r="W41" s="651"/>
      <c r="X41" s="651"/>
      <c r="Y41" s="611"/>
      <c r="Z41" s="631"/>
      <c r="AA41" s="631"/>
      <c r="AB41" s="631"/>
      <c r="AC41" s="631"/>
      <c r="AD41" s="631"/>
    </row>
    <row r="42" spans="1:30">
      <c r="A42" s="694" t="s">
        <v>640</v>
      </c>
      <c r="B42" s="687">
        <f>('Planilla Final 2018'!L42+'Planilla Final 2018'!L43)*'Participaciones 2018'!W16</f>
        <v>3624786</v>
      </c>
      <c r="C42" s="63"/>
      <c r="D42" s="63"/>
      <c r="E42" s="63"/>
      <c r="F42" s="686">
        <f>('Planilla Final 2018'!L42+'Planilla Final 2018'!L43+'Planilla Final 2018'!L44)</f>
        <v>4068199.86</v>
      </c>
      <c r="G42" s="686">
        <f>SUM('Participaciones 2018'!W3:W4)</f>
        <v>4068199.86</v>
      </c>
      <c r="H42" s="686">
        <f t="shared" si="11"/>
        <v>0</v>
      </c>
      <c r="I42" s="63"/>
      <c r="J42" s="63"/>
      <c r="K42" s="63"/>
      <c r="T42" s="623"/>
      <c r="U42" s="609"/>
      <c r="V42" s="628"/>
      <c r="W42" s="651"/>
      <c r="X42" s="651"/>
      <c r="Y42" s="611"/>
      <c r="Z42" s="631"/>
      <c r="AA42" s="631"/>
      <c r="AB42" s="631"/>
      <c r="AC42" s="631"/>
      <c r="AD42" s="631"/>
    </row>
    <row r="43" spans="1:30">
      <c r="A43" s="625" t="s">
        <v>650</v>
      </c>
      <c r="C43" s="63"/>
      <c r="D43" s="63"/>
      <c r="E43" s="63"/>
      <c r="F43" s="686">
        <f>('Planilla Final 2018'!M42+'Planilla Final 2018'!M43+'Planilla Final 2018'!M44)</f>
        <v>0</v>
      </c>
      <c r="G43" s="686">
        <f>SUM('Participaciones 2018'!Y3:Y4)</f>
        <v>0</v>
      </c>
      <c r="H43" s="686">
        <f t="shared" si="11"/>
        <v>0</v>
      </c>
      <c r="I43" s="63"/>
      <c r="J43" s="63"/>
      <c r="K43" s="63"/>
      <c r="T43" s="990" t="s">
        <v>25</v>
      </c>
      <c r="U43" s="991"/>
      <c r="V43" s="638" t="s">
        <v>45</v>
      </c>
      <c r="W43" s="639" t="s">
        <v>26</v>
      </c>
      <c r="X43" s="640" t="s">
        <v>27</v>
      </c>
      <c r="Y43" s="611"/>
      <c r="Z43" s="631"/>
      <c r="AA43" s="631"/>
      <c r="AB43" s="631"/>
      <c r="AC43" s="631"/>
      <c r="AD43" s="631"/>
    </row>
    <row r="44" spans="1:30">
      <c r="A44" s="694" t="s">
        <v>418</v>
      </c>
      <c r="B44" s="682">
        <f>(+'Planilla Final 2018'!C44)*'Participaciones 2018'!E16</f>
        <v>27864599.423891999</v>
      </c>
      <c r="C44" s="63"/>
      <c r="D44" s="63"/>
      <c r="E44" s="63"/>
      <c r="F44" s="63"/>
      <c r="G44" s="63"/>
      <c r="H44" s="63"/>
      <c r="I44" s="63"/>
      <c r="J44" s="63"/>
      <c r="K44" s="63"/>
      <c r="T44" s="750"/>
      <c r="U44" s="751"/>
      <c r="V44" s="752"/>
      <c r="W44" s="753"/>
      <c r="X44" s="754"/>
      <c r="Y44" s="611"/>
      <c r="Z44" s="631"/>
      <c r="AA44" s="631"/>
      <c r="AB44" s="631"/>
      <c r="AC44" s="631"/>
      <c r="AD44" s="631"/>
    </row>
    <row r="45" spans="1:30">
      <c r="A45" s="694" t="s">
        <v>638</v>
      </c>
      <c r="B45" s="682">
        <f>(+'Planilla Final 2018'!D44)*'Participaciones 2018'!G16</f>
        <v>877273.35257692309</v>
      </c>
      <c r="C45" s="609"/>
      <c r="D45" s="609"/>
      <c r="E45" s="609"/>
      <c r="F45" s="63"/>
      <c r="G45" s="63"/>
      <c r="H45" s="63"/>
      <c r="I45" s="63"/>
      <c r="J45" s="63"/>
      <c r="K45" s="63"/>
      <c r="T45" s="652" t="s">
        <v>7</v>
      </c>
      <c r="U45" s="653"/>
      <c r="V45" s="654" t="s">
        <v>227</v>
      </c>
      <c r="W45" s="642">
        <f>865104+5397853</f>
        <v>6262957</v>
      </c>
      <c r="X45" s="643"/>
      <c r="Y45" s="611"/>
      <c r="Z45" s="631"/>
      <c r="AA45" s="631"/>
      <c r="AB45" s="631"/>
      <c r="AC45" s="631"/>
      <c r="AD45" s="631"/>
    </row>
    <row r="46" spans="1:30">
      <c r="A46" s="694" t="s">
        <v>156</v>
      </c>
      <c r="B46" s="682">
        <f>(+'Planilla Final 2018'!F44)*'Participaciones 2018'!K16</f>
        <v>24507.5</v>
      </c>
      <c r="C46" s="63"/>
      <c r="D46" s="63"/>
      <c r="E46" s="63"/>
      <c r="F46" s="63"/>
      <c r="G46" s="63"/>
      <c r="H46" s="63"/>
      <c r="I46" s="63"/>
      <c r="J46" s="63"/>
      <c r="K46" s="63"/>
      <c r="T46" s="655" t="s">
        <v>157</v>
      </c>
      <c r="U46" s="656"/>
      <c r="V46" s="641" t="s">
        <v>227</v>
      </c>
      <c r="W46" s="646">
        <v>0</v>
      </c>
      <c r="X46" s="647"/>
      <c r="Y46" s="611"/>
      <c r="Z46" s="631"/>
      <c r="AA46" s="631"/>
      <c r="AB46" s="631"/>
      <c r="AC46" s="631"/>
      <c r="AD46" s="631"/>
    </row>
    <row r="47" spans="1:30" s="609" customFormat="1" ht="17.25" customHeight="1">
      <c r="A47" s="694" t="s">
        <v>203</v>
      </c>
      <c r="B47" s="682">
        <f>(+'Planilla Final 2018'!G44)*'Participaciones 2018'!M16</f>
        <v>247837.5</v>
      </c>
      <c r="C47" s="63"/>
      <c r="D47" s="63"/>
      <c r="E47" s="63"/>
      <c r="L47" s="611"/>
      <c r="M47" s="611"/>
      <c r="N47" s="611"/>
      <c r="T47" s="657" t="s">
        <v>74</v>
      </c>
      <c r="U47" s="658"/>
      <c r="V47" s="648" t="s">
        <v>151</v>
      </c>
      <c r="W47" s="649"/>
      <c r="X47" s="650">
        <f>W45</f>
        <v>6262957</v>
      </c>
      <c r="Y47" s="611"/>
      <c r="Z47" s="611"/>
      <c r="AA47" s="611"/>
      <c r="AB47" s="611"/>
      <c r="AC47" s="611"/>
      <c r="AD47" s="611"/>
    </row>
    <row r="48" spans="1:30">
      <c r="A48" s="694" t="s">
        <v>204</v>
      </c>
      <c r="B48" s="682">
        <f>(+'Planilla Final 2018'!K44)*'Participaciones 2018'!U16</f>
        <v>1695911.3355</v>
      </c>
      <c r="C48" s="63"/>
      <c r="D48" s="63"/>
      <c r="E48" s="63"/>
      <c r="F48" s="63"/>
      <c r="G48" s="63"/>
      <c r="H48" s="63"/>
      <c r="I48" s="63"/>
      <c r="J48" s="63"/>
      <c r="K48" s="63"/>
      <c r="T48" s="997" t="s">
        <v>173</v>
      </c>
      <c r="U48" s="998"/>
      <c r="V48" s="648" t="s">
        <v>151</v>
      </c>
      <c r="W48" s="649"/>
      <c r="X48" s="649">
        <f>W46</f>
        <v>0</v>
      </c>
      <c r="Y48" s="611"/>
      <c r="Z48" s="631"/>
      <c r="AA48" s="631"/>
      <c r="AB48" s="631"/>
      <c r="AC48" s="631"/>
      <c r="AD48" s="631"/>
    </row>
    <row r="49" spans="1:30">
      <c r="A49" s="694" t="s">
        <v>640</v>
      </c>
      <c r="B49" s="682">
        <f>(+'Planilla Final 2018'!L44)*'Participaciones 2018'!W16</f>
        <v>402731.86140000005</v>
      </c>
      <c r="C49" s="63"/>
      <c r="D49" s="63"/>
      <c r="E49" s="63"/>
      <c r="F49" s="63"/>
      <c r="G49" s="63"/>
      <c r="H49" s="63"/>
      <c r="I49" s="63"/>
      <c r="J49" s="63"/>
      <c r="K49" s="63"/>
      <c r="T49" s="623"/>
      <c r="U49" s="609"/>
      <c r="V49" s="628"/>
      <c r="W49" s="623"/>
      <c r="X49" s="623"/>
      <c r="Y49" s="611"/>
      <c r="Z49" s="631"/>
      <c r="AA49" s="631"/>
      <c r="AB49" s="631"/>
      <c r="AC49" s="631"/>
      <c r="AD49" s="631"/>
    </row>
    <row r="50" spans="1:30">
      <c r="A50" s="625" t="s">
        <v>641</v>
      </c>
      <c r="C50" s="63"/>
      <c r="D50" s="63"/>
      <c r="E50" s="63"/>
      <c r="F50" s="63"/>
      <c r="G50" s="63"/>
      <c r="H50" s="63"/>
      <c r="I50" s="63"/>
      <c r="J50" s="63"/>
      <c r="K50" s="63"/>
      <c r="T50" s="623"/>
      <c r="U50" s="609"/>
      <c r="V50" s="628"/>
      <c r="W50" s="651">
        <f>SUM(W45:W49)</f>
        <v>6262957</v>
      </c>
      <c r="X50" s="651">
        <f>SUM(X45:X49)</f>
        <v>6262957</v>
      </c>
      <c r="Y50" s="611"/>
      <c r="Z50" s="631"/>
      <c r="AA50" s="631"/>
      <c r="AB50" s="631"/>
      <c r="AC50" s="631"/>
      <c r="AD50" s="631"/>
    </row>
    <row r="51" spans="1:30">
      <c r="A51" s="694" t="s">
        <v>418</v>
      </c>
      <c r="C51" s="682">
        <f>C23</f>
        <v>27858699.27</v>
      </c>
      <c r="D51" s="682">
        <f>C51-B33-B44</f>
        <v>-9651.1538919992745</v>
      </c>
      <c r="E51" s="63"/>
      <c r="F51" s="63"/>
      <c r="G51" s="63"/>
      <c r="H51" s="63"/>
      <c r="I51" s="63"/>
      <c r="J51" s="63"/>
      <c r="K51" s="63"/>
      <c r="T51" s="623"/>
      <c r="U51" s="609"/>
      <c r="V51" s="628"/>
      <c r="W51" s="651"/>
      <c r="X51" s="651"/>
      <c r="Y51" s="611"/>
      <c r="Z51" s="631"/>
      <c r="AA51" s="631"/>
      <c r="AB51" s="631"/>
      <c r="AC51" s="631"/>
      <c r="AD51" s="631"/>
    </row>
    <row r="52" spans="1:30">
      <c r="A52" s="694" t="s">
        <v>638</v>
      </c>
      <c r="B52" s="609"/>
      <c r="C52" s="695">
        <f>D23</f>
        <v>1982263.02</v>
      </c>
      <c r="D52" s="682">
        <f>C52-B34-B45</f>
        <v>39.667423076927662</v>
      </c>
      <c r="E52" s="609"/>
      <c r="F52" s="63"/>
      <c r="G52" s="63"/>
      <c r="H52" s="63"/>
      <c r="I52" s="63"/>
      <c r="J52" s="63"/>
      <c r="K52" s="63"/>
      <c r="T52" s="623"/>
      <c r="U52" s="609"/>
      <c r="V52" s="628"/>
      <c r="W52" s="651"/>
      <c r="X52" s="651"/>
      <c r="Y52" s="611"/>
      <c r="Z52" s="631"/>
      <c r="AA52" s="631"/>
      <c r="AB52" s="631"/>
      <c r="AC52" s="631"/>
      <c r="AD52" s="631"/>
    </row>
    <row r="53" spans="1:30">
      <c r="A53" s="694" t="s">
        <v>152</v>
      </c>
      <c r="C53" s="682">
        <f>E23</f>
        <v>943459.2</v>
      </c>
      <c r="D53" s="682">
        <f>C53-B35</f>
        <v>936659.2</v>
      </c>
      <c r="E53" s="63"/>
      <c r="F53" s="63"/>
      <c r="G53" s="63"/>
      <c r="H53" s="63"/>
      <c r="I53" s="63"/>
      <c r="J53" s="63"/>
      <c r="K53" s="63"/>
      <c r="T53" s="623"/>
      <c r="U53" s="609"/>
      <c r="V53" s="628"/>
      <c r="W53" s="651"/>
      <c r="X53" s="651"/>
      <c r="Y53" s="611"/>
      <c r="Z53" s="631"/>
      <c r="AA53" s="631"/>
      <c r="AB53" s="631"/>
      <c r="AC53" s="631"/>
      <c r="AD53" s="631"/>
    </row>
    <row r="54" spans="1:30">
      <c r="A54" s="694" t="s">
        <v>156</v>
      </c>
      <c r="C54" s="682">
        <f>F23</f>
        <v>147840</v>
      </c>
      <c r="D54" s="682">
        <f>C54-B36-B46</f>
        <v>122832.5</v>
      </c>
      <c r="E54" s="63"/>
      <c r="F54" s="63"/>
      <c r="G54" s="63"/>
      <c r="H54" s="63"/>
      <c r="I54" s="63"/>
      <c r="J54" s="63"/>
      <c r="K54" s="63"/>
      <c r="T54" s="990" t="s">
        <v>25</v>
      </c>
      <c r="U54" s="991"/>
      <c r="V54" s="638" t="s">
        <v>45</v>
      </c>
      <c r="W54" s="639" t="s">
        <v>26</v>
      </c>
      <c r="X54" s="640" t="s">
        <v>27</v>
      </c>
      <c r="Y54" s="611"/>
      <c r="Z54" s="631"/>
      <c r="AA54" s="631"/>
      <c r="AB54" s="631"/>
      <c r="AC54" s="631"/>
      <c r="AD54" s="631"/>
    </row>
    <row r="55" spans="1:30">
      <c r="A55" s="694" t="s">
        <v>203</v>
      </c>
      <c r="C55" s="682">
        <f>G23</f>
        <v>462500</v>
      </c>
      <c r="D55" s="682">
        <f>C55-B37-B47</f>
        <v>213912.5</v>
      </c>
      <c r="E55" s="63"/>
      <c r="F55" s="63"/>
      <c r="G55" s="63"/>
      <c r="H55" s="63"/>
      <c r="I55" s="63"/>
      <c r="J55" s="63"/>
      <c r="K55" s="63"/>
      <c r="T55" s="995" t="s">
        <v>226</v>
      </c>
      <c r="U55" s="996"/>
      <c r="V55" s="641" t="s">
        <v>227</v>
      </c>
      <c r="W55" s="642">
        <f>C14+C17</f>
        <v>31109459.629999999</v>
      </c>
      <c r="X55" s="643"/>
      <c r="Y55" s="611"/>
      <c r="Z55" s="631"/>
      <c r="AA55" s="631"/>
      <c r="AB55" s="631"/>
      <c r="AC55" s="631"/>
      <c r="AD55" s="631"/>
    </row>
    <row r="56" spans="1:30">
      <c r="A56" s="694" t="s">
        <v>159</v>
      </c>
      <c r="C56" s="682">
        <f>H23</f>
        <v>140052.15</v>
      </c>
      <c r="D56" s="682">
        <f>C56-B38</f>
        <v>135412.15</v>
      </c>
      <c r="E56" s="63"/>
      <c r="F56" s="63"/>
      <c r="G56" s="63"/>
      <c r="H56" s="63"/>
      <c r="I56" s="63"/>
      <c r="J56" s="63"/>
      <c r="K56" s="63"/>
      <c r="T56" s="997" t="s">
        <v>173</v>
      </c>
      <c r="U56" s="998"/>
      <c r="V56" s="648" t="s">
        <v>151</v>
      </c>
      <c r="W56" s="649"/>
      <c r="X56" s="650">
        <f>W55</f>
        <v>31109459.629999999</v>
      </c>
      <c r="Y56" s="611"/>
      <c r="Z56" s="631"/>
      <c r="AA56" s="631"/>
      <c r="AB56" s="631"/>
      <c r="AC56" s="631"/>
      <c r="AD56" s="631"/>
    </row>
    <row r="57" spans="1:30">
      <c r="A57" s="694" t="s">
        <v>437</v>
      </c>
      <c r="C57" s="682">
        <f>I23</f>
        <v>6000</v>
      </c>
      <c r="D57" s="682">
        <f>C57-B39</f>
        <v>0</v>
      </c>
      <c r="E57" s="63"/>
      <c r="F57" s="63"/>
      <c r="G57" s="63"/>
      <c r="H57" s="63"/>
      <c r="I57" s="63"/>
      <c r="J57" s="63"/>
      <c r="K57" s="63"/>
      <c r="T57" s="623"/>
      <c r="U57" s="609"/>
      <c r="V57" s="628"/>
      <c r="W57" s="623"/>
      <c r="X57" s="623"/>
      <c r="Y57" s="611"/>
      <c r="Z57" s="631"/>
      <c r="AA57" s="631"/>
      <c r="AB57" s="631"/>
      <c r="AC57" s="631"/>
      <c r="AD57" s="631"/>
    </row>
    <row r="58" spans="1:30">
      <c r="A58" s="694" t="s">
        <v>639</v>
      </c>
      <c r="C58" s="682">
        <f>J23</f>
        <v>1114175.56</v>
      </c>
      <c r="D58" s="682">
        <f>C58-B40</f>
        <v>1113035.6170000001</v>
      </c>
      <c r="E58" s="63"/>
      <c r="F58" s="63"/>
      <c r="G58" s="63"/>
      <c r="H58" s="63"/>
      <c r="I58" s="63"/>
      <c r="J58" s="63"/>
      <c r="K58" s="63"/>
      <c r="T58" s="623"/>
      <c r="U58" s="609"/>
      <c r="V58" s="628"/>
      <c r="W58" s="651">
        <f>SUM(W55:W57)</f>
        <v>31109459.629999999</v>
      </c>
      <c r="X58" s="651">
        <f>SUM(X55:X57)</f>
        <v>31109459.629999999</v>
      </c>
      <c r="Y58" s="611"/>
      <c r="Z58" s="631"/>
      <c r="AA58" s="631"/>
      <c r="AB58" s="631"/>
      <c r="AC58" s="631"/>
      <c r="AD58" s="631"/>
    </row>
    <row r="59" spans="1:30">
      <c r="A59" s="694" t="s">
        <v>204</v>
      </c>
      <c r="C59" s="682">
        <f>K23</f>
        <v>1834157.69</v>
      </c>
      <c r="D59" s="682">
        <f>C59-B41-B48</f>
        <v>137506.3544999999</v>
      </c>
      <c r="E59" s="63"/>
      <c r="F59" s="63"/>
      <c r="G59" s="63"/>
      <c r="H59" s="63"/>
      <c r="I59" s="63"/>
      <c r="J59" s="63"/>
      <c r="K59" s="63"/>
      <c r="T59" s="623"/>
      <c r="U59" s="609"/>
      <c r="V59" s="628"/>
      <c r="W59" s="651"/>
      <c r="X59" s="651"/>
      <c r="Y59" s="611"/>
      <c r="Z59" s="631"/>
      <c r="AA59" s="631"/>
      <c r="AB59" s="631"/>
      <c r="AC59" s="631"/>
      <c r="AD59" s="631"/>
    </row>
    <row r="60" spans="1:30">
      <c r="A60" s="694" t="s">
        <v>640</v>
      </c>
      <c r="C60" s="682">
        <f>L23</f>
        <v>1173781.21</v>
      </c>
      <c r="D60" s="682">
        <f>C60-B42-B49</f>
        <v>-2853736.6513999999</v>
      </c>
      <c r="E60" s="63"/>
      <c r="F60" s="63"/>
      <c r="G60" s="63"/>
      <c r="H60" s="63"/>
      <c r="I60" s="63"/>
      <c r="J60" s="63"/>
      <c r="K60" s="63"/>
      <c r="T60" s="623"/>
      <c r="U60" s="609"/>
      <c r="V60" s="628"/>
      <c r="W60" s="651"/>
      <c r="X60" s="651"/>
      <c r="Y60" s="611"/>
      <c r="Z60" s="631"/>
      <c r="AA60" s="631"/>
      <c r="AB60" s="631"/>
      <c r="AC60" s="631"/>
      <c r="AD60" s="631"/>
    </row>
    <row r="61" spans="1:30">
      <c r="A61" s="694" t="s">
        <v>288</v>
      </c>
      <c r="C61" s="682">
        <f>M23</f>
        <v>1193125.8899999999</v>
      </c>
      <c r="D61" s="682">
        <f>C61</f>
        <v>1193125.8899999999</v>
      </c>
      <c r="E61" s="63"/>
      <c r="F61" s="63"/>
      <c r="G61" s="63"/>
      <c r="H61" s="63"/>
      <c r="I61" s="63"/>
      <c r="J61" s="63"/>
      <c r="K61" s="63"/>
      <c r="T61" s="990" t="s">
        <v>25</v>
      </c>
      <c r="U61" s="991"/>
      <c r="V61" s="638" t="s">
        <v>45</v>
      </c>
      <c r="W61" s="639" t="s">
        <v>26</v>
      </c>
      <c r="X61" s="640" t="s">
        <v>27</v>
      </c>
      <c r="Y61" s="611"/>
      <c r="Z61" s="631"/>
      <c r="AA61" s="631"/>
      <c r="AB61" s="631"/>
      <c r="AC61" s="631"/>
      <c r="AD61" s="631"/>
    </row>
    <row r="62" spans="1:30">
      <c r="A62" s="625" t="s">
        <v>157</v>
      </c>
      <c r="B62" s="829">
        <f>SUM(D51:D61)</f>
        <v>989136.07363107777</v>
      </c>
      <c r="C62" s="828"/>
      <c r="D62" s="761" t="s">
        <v>660</v>
      </c>
      <c r="E62" s="762"/>
      <c r="F62" s="682"/>
      <c r="G62" s="63"/>
      <c r="H62" s="63"/>
      <c r="I62" s="63"/>
      <c r="J62" s="63"/>
      <c r="K62" s="63"/>
      <c r="T62" s="995" t="s">
        <v>226</v>
      </c>
      <c r="U62" s="996"/>
      <c r="V62" s="641" t="s">
        <v>227</v>
      </c>
      <c r="W62" s="642">
        <f>-'Variación Patrimonio 2017-2016'!O11</f>
        <v>0</v>
      </c>
      <c r="X62" s="643"/>
      <c r="Y62" s="611"/>
      <c r="Z62" s="631"/>
      <c r="AA62" s="631"/>
      <c r="AB62" s="631"/>
      <c r="AC62" s="631"/>
      <c r="AD62" s="631"/>
    </row>
    <row r="63" spans="1:30">
      <c r="A63" s="625" t="s">
        <v>642</v>
      </c>
      <c r="B63" s="696">
        <f>SUM(B33:B62)</f>
        <v>36856053.990000002</v>
      </c>
      <c r="C63" s="696">
        <f>SUM(C33:C62)</f>
        <v>36856053.989999995</v>
      </c>
      <c r="D63" s="696">
        <f>B63-C63</f>
        <v>0</v>
      </c>
      <c r="E63" s="63"/>
      <c r="F63" s="63"/>
      <c r="G63" s="63"/>
      <c r="H63" s="63"/>
      <c r="I63" s="63"/>
      <c r="J63" s="63"/>
      <c r="K63" s="63"/>
      <c r="T63" s="644" t="s">
        <v>267</v>
      </c>
      <c r="U63" s="645"/>
      <c r="V63" s="641" t="s">
        <v>158</v>
      </c>
      <c r="W63" s="646">
        <f>-'Variación Patrimonio 2017-2016'!G4-'Variación Patrimonio 2017-2016'!O11</f>
        <v>124195.31419999999</v>
      </c>
      <c r="X63" s="647"/>
      <c r="Y63" s="611"/>
      <c r="Z63" s="631"/>
      <c r="AA63" s="631"/>
      <c r="AB63" s="631"/>
      <c r="AC63" s="631"/>
      <c r="AD63" s="631"/>
    </row>
    <row r="64" spans="1:30">
      <c r="C64" s="63"/>
      <c r="D64" s="63"/>
      <c r="E64" s="63"/>
      <c r="F64" s="63"/>
      <c r="G64" s="63"/>
      <c r="H64" s="63"/>
      <c r="I64" s="63"/>
      <c r="J64" s="63"/>
      <c r="K64" s="63"/>
      <c r="T64" s="644" t="s">
        <v>157</v>
      </c>
      <c r="U64" s="645"/>
      <c r="V64" s="641" t="s">
        <v>227</v>
      </c>
      <c r="W64" s="646">
        <f>'Variación Patrimonio 2017-2016'!G10</f>
        <v>661360.23820000002</v>
      </c>
      <c r="X64" s="647"/>
      <c r="Y64" s="611"/>
      <c r="Z64" s="631"/>
      <c r="AA64" s="631"/>
      <c r="AB64" s="631"/>
      <c r="AC64" s="631"/>
      <c r="AD64" s="631"/>
    </row>
    <row r="65" spans="1:30">
      <c r="A65" s="625" t="s">
        <v>645</v>
      </c>
      <c r="B65" s="627" t="s">
        <v>26</v>
      </c>
      <c r="C65" s="627" t="s">
        <v>27</v>
      </c>
      <c r="D65" s="627" t="s">
        <v>591</v>
      </c>
      <c r="E65" s="63"/>
      <c r="F65" s="63"/>
      <c r="G65" s="63"/>
      <c r="H65" s="63"/>
      <c r="I65" s="63"/>
      <c r="J65" s="63"/>
      <c r="K65" s="63"/>
      <c r="T65" s="644" t="s">
        <v>228</v>
      </c>
      <c r="U65" s="645"/>
      <c r="V65" s="641" t="s">
        <v>227</v>
      </c>
      <c r="W65" s="646">
        <v>0</v>
      </c>
      <c r="X65" s="659">
        <f>-'Variación Patrimonio 2017-2016'!G11</f>
        <v>724846.40859999997</v>
      </c>
      <c r="Y65" s="611"/>
      <c r="Z65" s="631"/>
      <c r="AA65" s="631"/>
      <c r="AB65" s="631"/>
      <c r="AC65" s="631"/>
      <c r="AD65" s="631"/>
    </row>
    <row r="66" spans="1:30">
      <c r="A66" s="625" t="s">
        <v>646</v>
      </c>
      <c r="C66" s="63"/>
      <c r="D66" s="63"/>
      <c r="E66" s="63"/>
      <c r="F66" s="63"/>
      <c r="G66" s="63"/>
      <c r="H66" s="63"/>
      <c r="I66" s="63"/>
      <c r="J66" s="63"/>
      <c r="K66" s="63"/>
      <c r="T66" s="992" t="s">
        <v>196</v>
      </c>
      <c r="U66" s="993"/>
      <c r="V66" s="648" t="s">
        <v>158</v>
      </c>
      <c r="W66" s="649"/>
      <c r="X66" s="650">
        <f>SUM(W62:W65)-X65</f>
        <v>60709.143800000078</v>
      </c>
      <c r="Y66" s="611"/>
      <c r="Z66" s="631"/>
      <c r="AA66" s="631"/>
      <c r="AB66" s="631"/>
      <c r="AC66" s="631"/>
      <c r="AD66" s="631"/>
    </row>
    <row r="67" spans="1:30">
      <c r="A67" s="63" t="s">
        <v>378</v>
      </c>
      <c r="B67" s="630">
        <f>-W16</f>
        <v>1598182.88</v>
      </c>
      <c r="C67" s="630"/>
      <c r="D67" s="63"/>
      <c r="E67" s="63"/>
      <c r="F67" s="63"/>
      <c r="G67" s="63"/>
      <c r="H67" s="63"/>
      <c r="I67" s="63"/>
      <c r="J67" s="63"/>
      <c r="K67" s="63"/>
      <c r="T67" s="623"/>
      <c r="U67" s="609"/>
      <c r="V67" s="628"/>
      <c r="W67" s="623"/>
      <c r="X67" s="623"/>
      <c r="Y67" s="611"/>
      <c r="Z67" s="631"/>
      <c r="AA67" s="631"/>
      <c r="AB67" s="631"/>
      <c r="AC67" s="631"/>
      <c r="AD67" s="631"/>
    </row>
    <row r="68" spans="1:30">
      <c r="A68" s="63" t="s">
        <v>379</v>
      </c>
      <c r="C68" s="630">
        <f>-Y16</f>
        <v>366831.5299999998</v>
      </c>
      <c r="D68" s="63"/>
      <c r="E68" s="63"/>
      <c r="F68" s="63"/>
      <c r="G68" s="63"/>
      <c r="H68" s="63"/>
      <c r="I68" s="63"/>
      <c r="J68" s="63"/>
      <c r="K68" s="63"/>
      <c r="T68" s="623"/>
      <c r="U68" s="609"/>
      <c r="V68" s="628"/>
      <c r="W68" s="651">
        <f>SUM(W62:W67)</f>
        <v>785555.55240000004</v>
      </c>
      <c r="X68" s="651">
        <f>SUM(X62:X67)</f>
        <v>785555.55240000004</v>
      </c>
      <c r="Y68" s="611"/>
      <c r="Z68" s="631"/>
      <c r="AA68" s="631"/>
      <c r="AB68" s="631"/>
      <c r="AC68" s="631"/>
      <c r="AD68" s="631"/>
    </row>
    <row r="69" spans="1:30">
      <c r="A69" s="63" t="s">
        <v>206</v>
      </c>
      <c r="C69" s="779">
        <f>-X16</f>
        <v>1231351.3500000001</v>
      </c>
      <c r="D69" s="755">
        <f>-C62+B95-C69</f>
        <v>-1231351.3500000001</v>
      </c>
      <c r="E69" s="63"/>
      <c r="F69" s="63"/>
      <c r="G69" s="63"/>
      <c r="H69" s="63"/>
      <c r="I69" s="63"/>
      <c r="J69" s="63"/>
      <c r="K69" s="63"/>
      <c r="T69" s="623"/>
      <c r="U69" s="609"/>
      <c r="V69" s="628"/>
      <c r="W69" s="651"/>
      <c r="X69" s="651"/>
      <c r="Y69" s="611"/>
      <c r="Z69" s="631"/>
      <c r="AA69" s="631"/>
      <c r="AB69" s="631"/>
      <c r="AC69" s="631"/>
      <c r="AD69" s="631"/>
    </row>
    <row r="70" spans="1:30">
      <c r="B70" s="678">
        <f>SUM(B67:B69)</f>
        <v>1598182.88</v>
      </c>
      <c r="C70" s="678">
        <f>SUM(C67:C69)</f>
        <v>1598182.88</v>
      </c>
      <c r="D70" s="63"/>
      <c r="E70" s="63"/>
      <c r="F70" s="63"/>
      <c r="G70" s="63"/>
      <c r="H70" s="63"/>
      <c r="I70" s="63"/>
      <c r="J70" s="63"/>
      <c r="K70" s="63"/>
      <c r="T70" s="622" t="s">
        <v>377</v>
      </c>
      <c r="U70" s="609"/>
      <c r="V70" s="628"/>
      <c r="W70" s="651"/>
      <c r="X70" s="651"/>
      <c r="Y70" s="611"/>
      <c r="Z70" s="631"/>
      <c r="AA70" s="631"/>
      <c r="AB70" s="631"/>
      <c r="AC70" s="631"/>
      <c r="AD70" s="631"/>
    </row>
    <row r="71" spans="1:30">
      <c r="C71" s="63"/>
      <c r="D71" s="63"/>
      <c r="E71" s="63"/>
      <c r="F71" s="63"/>
      <c r="G71" s="63"/>
      <c r="H71" s="63"/>
      <c r="I71" s="63"/>
      <c r="J71" s="63"/>
      <c r="K71" s="63"/>
      <c r="T71" s="990" t="s">
        <v>25</v>
      </c>
      <c r="U71" s="991"/>
      <c r="V71" s="638" t="s">
        <v>45</v>
      </c>
      <c r="W71" s="639" t="s">
        <v>26</v>
      </c>
      <c r="X71" s="640" t="s">
        <v>27</v>
      </c>
      <c r="Y71" s="611"/>
      <c r="Z71" s="631"/>
      <c r="AA71" s="631"/>
      <c r="AB71" s="631"/>
      <c r="AC71" s="631"/>
      <c r="AD71" s="631"/>
    </row>
    <row r="72" spans="1:30">
      <c r="A72" s="625"/>
      <c r="C72" s="63"/>
      <c r="D72" s="63"/>
      <c r="E72" s="63"/>
      <c r="F72" s="63"/>
      <c r="G72" s="63"/>
      <c r="H72" s="63"/>
      <c r="I72" s="63"/>
      <c r="J72" s="63"/>
      <c r="K72" s="63"/>
      <c r="T72" s="995" t="s">
        <v>378</v>
      </c>
      <c r="U72" s="996"/>
      <c r="V72" s="641" t="s">
        <v>227</v>
      </c>
      <c r="W72" s="642">
        <v>1231351</v>
      </c>
      <c r="X72" s="643"/>
      <c r="Y72" s="611"/>
      <c r="Z72" s="631"/>
      <c r="AA72" s="631"/>
      <c r="AB72" s="631"/>
      <c r="AC72" s="631"/>
      <c r="AD72" s="631"/>
    </row>
    <row r="73" spans="1:30">
      <c r="A73" s="625" t="s">
        <v>670</v>
      </c>
      <c r="C73" s="63"/>
      <c r="D73" s="63"/>
      <c r="E73" s="63"/>
      <c r="F73" s="63"/>
      <c r="G73" s="63"/>
      <c r="H73" s="63"/>
      <c r="I73" s="63"/>
      <c r="J73" s="63"/>
      <c r="K73" s="63"/>
      <c r="T73" s="999" t="s">
        <v>379</v>
      </c>
      <c r="U73" s="1000"/>
      <c r="V73" s="648" t="s">
        <v>151</v>
      </c>
      <c r="W73" s="649"/>
      <c r="X73" s="650">
        <f>W72</f>
        <v>1231351</v>
      </c>
      <c r="Y73" s="611"/>
      <c r="Z73" s="631"/>
      <c r="AA73" s="631"/>
      <c r="AB73" s="631"/>
      <c r="AC73" s="631"/>
      <c r="AD73" s="631"/>
    </row>
    <row r="74" spans="1:30">
      <c r="A74" s="625" t="s">
        <v>648</v>
      </c>
      <c r="C74" s="63"/>
      <c r="D74" s="63"/>
      <c r="E74" s="63"/>
      <c r="F74" s="63"/>
      <c r="G74" s="63"/>
      <c r="H74" s="63"/>
      <c r="I74" s="63"/>
      <c r="J74" s="63"/>
      <c r="K74" s="63"/>
      <c r="T74" s="623"/>
      <c r="U74" s="609"/>
      <c r="V74" s="628"/>
      <c r="W74" s="623"/>
      <c r="X74" s="623"/>
      <c r="Y74" s="611"/>
      <c r="Z74" s="631"/>
      <c r="AA74" s="631"/>
      <c r="AB74" s="631"/>
      <c r="AC74" s="631"/>
      <c r="AD74" s="631"/>
    </row>
    <row r="75" spans="1:30">
      <c r="A75" s="694" t="s">
        <v>152</v>
      </c>
      <c r="B75" s="756"/>
      <c r="C75" s="755"/>
      <c r="D75" s="63"/>
      <c r="E75" s="755"/>
      <c r="F75" s="63"/>
      <c r="G75" s="63"/>
      <c r="H75" s="63"/>
      <c r="I75" s="63"/>
      <c r="J75" s="63"/>
      <c r="K75" s="63"/>
      <c r="T75" s="623"/>
      <c r="U75" s="609"/>
      <c r="V75" s="628"/>
      <c r="W75" s="651">
        <f>SUM(W72:W74)</f>
        <v>1231351</v>
      </c>
      <c r="X75" s="651">
        <f>SUM(X72:X74)</f>
        <v>1231351</v>
      </c>
      <c r="Y75" s="611"/>
      <c r="Z75" s="631"/>
      <c r="AA75" s="631"/>
      <c r="AB75" s="631"/>
      <c r="AC75" s="631"/>
      <c r="AD75" s="631"/>
    </row>
    <row r="76" spans="1:30">
      <c r="A76" s="694" t="s">
        <v>156</v>
      </c>
      <c r="B76" s="756"/>
      <c r="C76" s="755"/>
      <c r="D76" s="63"/>
      <c r="E76" s="755"/>
      <c r="F76" s="63"/>
      <c r="G76" s="63"/>
      <c r="H76" s="63"/>
      <c r="I76" s="63"/>
      <c r="J76" s="63"/>
      <c r="K76" s="63"/>
      <c r="T76" s="609"/>
      <c r="U76" s="609"/>
      <c r="V76" s="611"/>
      <c r="W76" s="611"/>
      <c r="X76" s="611"/>
      <c r="Y76" s="611"/>
      <c r="Z76" s="631"/>
      <c r="AA76" s="631"/>
      <c r="AB76" s="631"/>
      <c r="AC76" s="631"/>
      <c r="AD76" s="631"/>
    </row>
    <row r="77" spans="1:30">
      <c r="A77" s="694" t="s">
        <v>159</v>
      </c>
      <c r="B77" s="756"/>
      <c r="C77" s="755"/>
      <c r="D77" s="63"/>
      <c r="E77" s="755"/>
      <c r="F77" s="63"/>
      <c r="G77" s="63"/>
      <c r="H77" s="63"/>
      <c r="I77" s="63"/>
      <c r="J77" s="63"/>
      <c r="K77" s="63"/>
      <c r="T77" s="660" t="s">
        <v>229</v>
      </c>
      <c r="U77" s="609"/>
      <c r="V77" s="611"/>
      <c r="W77" s="611"/>
      <c r="X77" s="611"/>
      <c r="Y77" s="611"/>
      <c r="Z77" s="631"/>
      <c r="AA77" s="631"/>
      <c r="AB77" s="631"/>
      <c r="AC77" s="631"/>
      <c r="AD77" s="631"/>
    </row>
    <row r="78" spans="1:30">
      <c r="A78" s="625" t="s">
        <v>421</v>
      </c>
      <c r="B78" s="755"/>
      <c r="C78" s="755"/>
      <c r="D78" s="63"/>
      <c r="E78" s="63"/>
      <c r="F78" s="63"/>
      <c r="G78" s="63"/>
      <c r="H78" s="63"/>
      <c r="I78" s="63"/>
      <c r="J78" s="63"/>
      <c r="K78" s="63"/>
      <c r="T78" s="990" t="s">
        <v>25</v>
      </c>
      <c r="U78" s="991"/>
      <c r="V78" s="638" t="s">
        <v>45</v>
      </c>
      <c r="W78" s="639" t="s">
        <v>26</v>
      </c>
      <c r="X78" s="640" t="s">
        <v>27</v>
      </c>
      <c r="Y78" s="611"/>
      <c r="Z78" s="631"/>
      <c r="AA78" s="631"/>
      <c r="AB78" s="631"/>
      <c r="AC78" s="631"/>
      <c r="AD78" s="631"/>
    </row>
    <row r="79" spans="1:30">
      <c r="A79" s="694" t="s">
        <v>203</v>
      </c>
      <c r="B79" s="774"/>
      <c r="C79" s="774"/>
      <c r="D79" s="609"/>
      <c r="E79" s="609"/>
      <c r="F79" s="63"/>
      <c r="G79" s="63"/>
      <c r="H79" s="63"/>
      <c r="I79" s="63"/>
      <c r="J79" s="63"/>
      <c r="K79" s="63"/>
      <c r="T79" s="995" t="s">
        <v>411</v>
      </c>
      <c r="U79" s="996"/>
      <c r="V79" s="641" t="s">
        <v>158</v>
      </c>
      <c r="W79" s="611"/>
      <c r="X79" s="661">
        <f>+W80+W81</f>
        <v>9.1172398190045243</v>
      </c>
      <c r="Y79" s="611"/>
      <c r="Z79" s="631"/>
      <c r="AA79" s="631"/>
      <c r="AB79" s="631"/>
      <c r="AC79" s="631"/>
      <c r="AD79" s="631"/>
    </row>
    <row r="80" spans="1:30">
      <c r="A80" s="694" t="s">
        <v>639</v>
      </c>
      <c r="B80" s="774"/>
      <c r="C80" s="774"/>
      <c r="D80" s="609"/>
      <c r="E80" s="609"/>
      <c r="F80" s="63"/>
      <c r="G80" s="63"/>
      <c r="H80" s="63"/>
      <c r="I80" s="63"/>
      <c r="J80" s="63"/>
      <c r="K80" s="63"/>
      <c r="T80" s="995" t="s">
        <v>228</v>
      </c>
      <c r="U80" s="996"/>
      <c r="V80" s="641" t="s">
        <v>225</v>
      </c>
      <c r="W80" s="646">
        <f>'Variación Patrimonio 2017-2016'!G27</f>
        <v>6.001131221719457</v>
      </c>
      <c r="X80" s="659">
        <v>0</v>
      </c>
      <c r="Y80" s="611"/>
      <c r="Z80" s="631"/>
      <c r="AA80" s="631"/>
      <c r="AB80" s="631"/>
      <c r="AC80" s="631"/>
      <c r="AD80" s="631"/>
    </row>
    <row r="81" spans="1:30">
      <c r="A81" s="625" t="s">
        <v>426</v>
      </c>
      <c r="B81" s="774"/>
      <c r="C81" s="774"/>
      <c r="D81" s="609"/>
      <c r="E81" s="609"/>
      <c r="F81" s="63"/>
      <c r="G81" s="63"/>
      <c r="H81" s="63"/>
      <c r="I81" s="63"/>
      <c r="J81" s="63"/>
      <c r="K81" s="63"/>
      <c r="T81" s="995" t="s">
        <v>157</v>
      </c>
      <c r="U81" s="996"/>
      <c r="V81" s="648" t="s">
        <v>158</v>
      </c>
      <c r="W81" s="650">
        <f>'Variación Patrimonio 2017-2016'!G26</f>
        <v>3.1161085972850677</v>
      </c>
      <c r="X81" s="650">
        <v>0</v>
      </c>
      <c r="Y81" s="611" t="s">
        <v>340</v>
      </c>
      <c r="Z81" s="631"/>
      <c r="AA81" s="631"/>
      <c r="AB81" s="631"/>
      <c r="AC81" s="631"/>
      <c r="AD81" s="631"/>
    </row>
    <row r="82" spans="1:30">
      <c r="A82" s="694" t="s">
        <v>418</v>
      </c>
      <c r="B82" s="774"/>
      <c r="C82" s="774"/>
      <c r="D82" s="609"/>
      <c r="E82" s="609"/>
      <c r="F82" s="63"/>
      <c r="G82" s="63"/>
      <c r="H82" s="63"/>
      <c r="I82" s="63"/>
      <c r="J82" s="63"/>
      <c r="K82" s="63"/>
      <c r="T82" s="623"/>
      <c r="U82" s="609"/>
      <c r="V82" s="628"/>
      <c r="W82" s="623"/>
      <c r="X82" s="623"/>
      <c r="Y82" s="611"/>
      <c r="Z82" s="631"/>
      <c r="AA82" s="631"/>
      <c r="AB82" s="631"/>
      <c r="AC82" s="631"/>
      <c r="AD82" s="631"/>
    </row>
    <row r="83" spans="1:30">
      <c r="A83" s="694" t="s">
        <v>640</v>
      </c>
      <c r="B83" s="774"/>
      <c r="C83" s="774"/>
      <c r="D83" s="609"/>
      <c r="E83" s="609"/>
      <c r="F83" s="63"/>
      <c r="G83" s="63"/>
      <c r="H83" s="63"/>
      <c r="I83" s="63"/>
      <c r="J83" s="63"/>
      <c r="K83" s="63"/>
      <c r="T83" s="623"/>
      <c r="U83" s="609"/>
      <c r="V83" s="628"/>
      <c r="W83" s="651">
        <f>SUM(W79:W82)</f>
        <v>9.1172398190045243</v>
      </c>
      <c r="X83" s="651">
        <f>SUM(X79:X82)</f>
        <v>9.1172398190045243</v>
      </c>
      <c r="Y83" s="611"/>
      <c r="Z83" s="631"/>
      <c r="AA83" s="631"/>
      <c r="AB83" s="631"/>
      <c r="AC83" s="631"/>
      <c r="AD83" s="631"/>
    </row>
    <row r="84" spans="1:30">
      <c r="A84" s="625" t="s">
        <v>157</v>
      </c>
      <c r="B84" s="774"/>
      <c r="C84" s="774"/>
      <c r="D84" s="609"/>
      <c r="E84" s="609"/>
      <c r="F84" s="63"/>
      <c r="G84" s="63"/>
      <c r="H84" s="63"/>
      <c r="I84" s="63"/>
      <c r="J84" s="63"/>
      <c r="K84" s="63"/>
      <c r="T84" s="609"/>
      <c r="U84" s="609"/>
      <c r="V84" s="611"/>
      <c r="W84" s="611"/>
      <c r="X84" s="611"/>
      <c r="Y84" s="611"/>
      <c r="Z84" s="631"/>
      <c r="AA84" s="631"/>
      <c r="AB84" s="631"/>
      <c r="AC84" s="631"/>
      <c r="AD84" s="631"/>
    </row>
    <row r="85" spans="1:30">
      <c r="A85" s="694" t="s">
        <v>418</v>
      </c>
      <c r="B85" s="774"/>
      <c r="C85" s="774"/>
      <c r="D85" s="609"/>
      <c r="E85" s="609"/>
      <c r="F85" s="63"/>
      <c r="G85" s="63"/>
      <c r="H85" s="63"/>
      <c r="I85" s="63"/>
      <c r="J85" s="63"/>
      <c r="K85" s="63"/>
      <c r="T85" s="660" t="s">
        <v>230</v>
      </c>
      <c r="U85" s="609"/>
      <c r="V85" s="611"/>
      <c r="W85" s="611"/>
      <c r="X85" s="611"/>
      <c r="Y85" s="611"/>
      <c r="Z85" s="631"/>
      <c r="AA85" s="631"/>
      <c r="AB85" s="631"/>
      <c r="AC85" s="631"/>
      <c r="AD85" s="631"/>
    </row>
    <row r="86" spans="1:30">
      <c r="A86" s="694" t="s">
        <v>638</v>
      </c>
      <c r="B86" s="774"/>
      <c r="C86" s="774"/>
      <c r="D86" s="609"/>
      <c r="E86" s="609"/>
      <c r="F86" s="63"/>
      <c r="G86" s="63"/>
      <c r="H86" s="63"/>
      <c r="I86" s="63"/>
      <c r="J86" s="63"/>
      <c r="K86" s="63"/>
      <c r="T86" s="990" t="s">
        <v>25</v>
      </c>
      <c r="U86" s="991"/>
      <c r="V86" s="638" t="s">
        <v>45</v>
      </c>
      <c r="W86" s="639" t="s">
        <v>26</v>
      </c>
      <c r="X86" s="640" t="s">
        <v>27</v>
      </c>
      <c r="Y86" s="611"/>
      <c r="Z86" s="631"/>
      <c r="AA86" s="631"/>
      <c r="AB86" s="631"/>
      <c r="AC86" s="631"/>
      <c r="AD86" s="631"/>
    </row>
    <row r="87" spans="1:30">
      <c r="A87" s="694" t="s">
        <v>152</v>
      </c>
      <c r="B87" s="774"/>
      <c r="C87" s="774"/>
      <c r="D87" s="609"/>
      <c r="E87" s="609"/>
      <c r="F87" s="63"/>
      <c r="G87" s="63"/>
      <c r="H87" s="63"/>
      <c r="I87" s="63"/>
      <c r="J87" s="63"/>
      <c r="K87" s="63"/>
      <c r="T87" s="995" t="s">
        <v>157</v>
      </c>
      <c r="U87" s="996"/>
      <c r="V87" s="641" t="s">
        <v>152</v>
      </c>
      <c r="W87" s="661">
        <v>0</v>
      </c>
      <c r="X87" s="662">
        <f>-'Variación Patrimonio 2017-2016'!G45</f>
        <v>25052.48</v>
      </c>
      <c r="Y87" s="611"/>
      <c r="Z87" s="631"/>
      <c r="AA87" s="631"/>
      <c r="AB87" s="631"/>
      <c r="AC87" s="631"/>
      <c r="AD87" s="631"/>
    </row>
    <row r="88" spans="1:30">
      <c r="A88" s="694" t="s">
        <v>156</v>
      </c>
      <c r="B88" s="774"/>
      <c r="C88" s="774"/>
      <c r="D88" s="609"/>
      <c r="E88" s="609"/>
      <c r="F88" s="63"/>
      <c r="G88" s="63"/>
      <c r="H88" s="63"/>
      <c r="I88" s="63"/>
      <c r="J88" s="63"/>
      <c r="K88" s="63"/>
      <c r="T88" s="663" t="s">
        <v>228</v>
      </c>
      <c r="U88" s="645"/>
      <c r="V88" s="641" t="s">
        <v>152</v>
      </c>
      <c r="W88" s="646">
        <f>'Variación Patrimonio 2017-2016'!G46</f>
        <v>12957.76</v>
      </c>
      <c r="X88" s="659">
        <v>0</v>
      </c>
      <c r="Y88" s="611"/>
      <c r="Z88" s="631"/>
      <c r="AA88" s="631"/>
      <c r="AB88" s="631"/>
      <c r="AC88" s="631"/>
      <c r="AD88" s="631"/>
    </row>
    <row r="89" spans="1:30">
      <c r="A89" s="694" t="s">
        <v>203</v>
      </c>
      <c r="B89" s="774"/>
      <c r="C89" s="774"/>
      <c r="D89" s="609"/>
      <c r="E89" s="609"/>
      <c r="F89" s="63"/>
      <c r="G89" s="63"/>
      <c r="H89" s="63"/>
      <c r="I89" s="63"/>
      <c r="J89" s="63"/>
      <c r="K89" s="63"/>
      <c r="T89" s="992" t="s">
        <v>196</v>
      </c>
      <c r="U89" s="993"/>
      <c r="V89" s="648" t="s">
        <v>158</v>
      </c>
      <c r="W89" s="650">
        <f>X87-W88</f>
        <v>12094.72</v>
      </c>
      <c r="X89" s="664"/>
      <c r="Y89" s="611"/>
      <c r="Z89" s="631"/>
      <c r="AA89" s="631"/>
      <c r="AB89" s="631"/>
      <c r="AC89" s="631"/>
      <c r="AD89" s="631"/>
    </row>
    <row r="90" spans="1:30">
      <c r="A90" s="694" t="s">
        <v>159</v>
      </c>
      <c r="B90" s="774"/>
      <c r="C90" s="774"/>
      <c r="D90" s="609"/>
      <c r="E90" s="609"/>
      <c r="F90" s="63"/>
      <c r="G90" s="63"/>
      <c r="H90" s="63"/>
      <c r="I90" s="63"/>
      <c r="J90" s="63"/>
      <c r="K90" s="63"/>
      <c r="T90" s="623"/>
      <c r="U90" s="609"/>
      <c r="V90" s="628"/>
      <c r="W90" s="623"/>
      <c r="X90" s="623"/>
      <c r="Y90" s="611"/>
      <c r="Z90" s="631"/>
      <c r="AA90" s="631"/>
      <c r="AB90" s="631"/>
      <c r="AC90" s="631"/>
      <c r="AD90" s="631"/>
    </row>
    <row r="91" spans="1:30">
      <c r="A91" s="694" t="s">
        <v>639</v>
      </c>
      <c r="B91" s="774"/>
      <c r="C91" s="774"/>
      <c r="D91" s="609"/>
      <c r="E91" s="609"/>
      <c r="F91" s="63"/>
      <c r="G91" s="63"/>
      <c r="H91" s="63"/>
      <c r="I91" s="63"/>
      <c r="J91" s="63"/>
      <c r="K91" s="63"/>
      <c r="T91" s="623"/>
      <c r="U91" s="609"/>
      <c r="V91" s="628"/>
      <c r="W91" s="651">
        <f>SUM(W87:W90)</f>
        <v>25052.48</v>
      </c>
      <c r="X91" s="651">
        <f>SUM(X87:X90)</f>
        <v>25052.48</v>
      </c>
      <c r="Y91" s="611"/>
      <c r="Z91" s="631"/>
      <c r="AA91" s="631"/>
      <c r="AB91" s="631"/>
      <c r="AC91" s="631"/>
      <c r="AD91" s="631"/>
    </row>
    <row r="92" spans="1:30">
      <c r="A92" s="694" t="s">
        <v>204</v>
      </c>
      <c r="B92" s="774"/>
      <c r="C92" s="774"/>
      <c r="D92" s="609"/>
      <c r="E92" s="609"/>
      <c r="F92" s="63"/>
      <c r="G92" s="63"/>
      <c r="H92" s="63"/>
      <c r="I92" s="63"/>
      <c r="J92" s="63"/>
      <c r="K92" s="63"/>
      <c r="T92" s="609"/>
      <c r="U92" s="609"/>
      <c r="V92" s="611"/>
      <c r="W92" s="611"/>
      <c r="X92" s="611"/>
      <c r="Y92" s="611"/>
      <c r="Z92" s="631"/>
      <c r="AA92" s="631"/>
      <c r="AB92" s="631"/>
      <c r="AC92" s="631"/>
      <c r="AD92" s="631"/>
    </row>
    <row r="93" spans="1:30">
      <c r="A93" s="694" t="s">
        <v>640</v>
      </c>
      <c r="B93" s="774"/>
      <c r="C93" s="774"/>
      <c r="D93" s="609"/>
      <c r="E93" s="609"/>
      <c r="F93" s="63"/>
      <c r="G93" s="63"/>
      <c r="H93" s="63"/>
      <c r="I93" s="63"/>
      <c r="J93" s="63"/>
      <c r="K93" s="63"/>
      <c r="T93" s="660" t="s">
        <v>231</v>
      </c>
      <c r="U93" s="609"/>
      <c r="V93" s="611"/>
      <c r="W93" s="611"/>
      <c r="X93" s="611"/>
      <c r="Y93" s="611"/>
      <c r="Z93" s="631"/>
      <c r="AA93" s="631"/>
      <c r="AB93" s="631"/>
      <c r="AC93" s="631"/>
      <c r="AD93" s="631"/>
    </row>
    <row r="94" spans="1:30">
      <c r="A94" s="694" t="s">
        <v>288</v>
      </c>
      <c r="B94" s="774"/>
      <c r="C94" s="774"/>
      <c r="D94" s="830"/>
      <c r="E94" s="609"/>
      <c r="F94" s="63"/>
      <c r="G94" s="63"/>
      <c r="H94" s="63"/>
      <c r="I94" s="63"/>
      <c r="J94" s="63"/>
      <c r="K94" s="63"/>
      <c r="T94" s="990" t="s">
        <v>25</v>
      </c>
      <c r="U94" s="991"/>
      <c r="V94" s="638" t="s">
        <v>45</v>
      </c>
      <c r="W94" s="639" t="s">
        <v>26</v>
      </c>
      <c r="X94" s="640" t="s">
        <v>27</v>
      </c>
      <c r="Y94" s="611"/>
      <c r="Z94" s="631"/>
      <c r="AA94" s="631"/>
      <c r="AB94" s="631"/>
      <c r="AC94" s="631"/>
      <c r="AD94" s="631"/>
    </row>
    <row r="95" spans="1:30">
      <c r="A95" s="775" t="s">
        <v>680</v>
      </c>
      <c r="B95" s="773"/>
      <c r="C95" s="774"/>
      <c r="D95" s="831"/>
      <c r="E95" s="616"/>
      <c r="F95" s="63"/>
      <c r="G95" s="63"/>
      <c r="H95" s="63"/>
      <c r="I95" s="63"/>
      <c r="J95" s="63"/>
      <c r="K95" s="63"/>
      <c r="T95" s="644" t="s">
        <v>196</v>
      </c>
      <c r="U95" s="645"/>
      <c r="V95" s="641" t="s">
        <v>156</v>
      </c>
      <c r="W95" s="665">
        <f>SUM(X100:X102)</f>
        <v>246692.21003125</v>
      </c>
      <c r="X95" s="666"/>
      <c r="Y95" s="611"/>
      <c r="Z95" s="631"/>
      <c r="AA95" s="631"/>
      <c r="AB95" s="631"/>
      <c r="AC95" s="631"/>
      <c r="AD95" s="631"/>
    </row>
    <row r="96" spans="1:30">
      <c r="A96" s="757"/>
      <c r="B96" s="773">
        <f>SUM(B75:B95)</f>
        <v>0</v>
      </c>
      <c r="C96" s="773">
        <f>SUM(C75:C95)</f>
        <v>0</v>
      </c>
      <c r="D96" s="988"/>
      <c r="E96" s="988"/>
      <c r="F96" s="63"/>
      <c r="G96" s="63"/>
      <c r="H96" s="63"/>
      <c r="I96" s="63"/>
      <c r="J96" s="63"/>
      <c r="K96" s="63"/>
      <c r="T96" s="667"/>
      <c r="U96" s="667"/>
      <c r="V96" s="641"/>
      <c r="W96" s="772"/>
      <c r="X96" s="669"/>
      <c r="Y96" s="611"/>
      <c r="Z96" s="631"/>
      <c r="AA96" s="631"/>
      <c r="AB96" s="631"/>
      <c r="AC96" s="631"/>
      <c r="AD96" s="631"/>
    </row>
    <row r="97" spans="1:30" ht="12.75" customHeight="1">
      <c r="A97" s="757"/>
      <c r="B97" s="773">
        <f>B96-C96</f>
        <v>0</v>
      </c>
      <c r="C97" s="774"/>
      <c r="D97" s="832"/>
      <c r="E97" s="832"/>
      <c r="F97" s="63"/>
      <c r="G97" s="63"/>
      <c r="H97" s="63"/>
      <c r="I97" s="63"/>
      <c r="J97" s="63"/>
      <c r="K97" s="63"/>
      <c r="T97" s="667"/>
      <c r="U97" s="667"/>
      <c r="V97" s="641"/>
      <c r="W97" s="772"/>
      <c r="X97" s="669"/>
      <c r="Y97" s="611"/>
      <c r="Z97" s="631"/>
      <c r="AA97" s="631"/>
      <c r="AB97" s="631"/>
      <c r="AC97" s="631"/>
      <c r="AD97" s="631"/>
    </row>
    <row r="98" spans="1:30">
      <c r="A98" s="625" t="s">
        <v>647</v>
      </c>
      <c r="B98" s="773"/>
      <c r="C98" s="774"/>
      <c r="D98" s="832"/>
      <c r="E98" s="832"/>
      <c r="F98" s="63"/>
      <c r="G98" s="63"/>
      <c r="H98" s="63"/>
      <c r="I98" s="63"/>
      <c r="J98" s="63"/>
      <c r="K98" s="63"/>
      <c r="T98" s="667"/>
      <c r="U98" s="667"/>
      <c r="V98" s="641"/>
      <c r="W98" s="772"/>
      <c r="X98" s="669"/>
      <c r="Y98" s="611"/>
      <c r="Z98" s="631"/>
      <c r="AA98" s="631"/>
      <c r="AB98" s="631"/>
      <c r="AC98" s="631"/>
      <c r="AD98" s="631"/>
    </row>
    <row r="99" spans="1:30">
      <c r="A99" s="625" t="s">
        <v>681</v>
      </c>
      <c r="B99" s="609"/>
      <c r="C99" s="609"/>
      <c r="D99" s="832"/>
      <c r="E99" s="832"/>
      <c r="F99" s="63"/>
      <c r="G99" s="63"/>
      <c r="H99" s="63"/>
      <c r="I99" s="63"/>
      <c r="J99" s="63"/>
      <c r="K99" s="63"/>
      <c r="T99" s="667"/>
      <c r="U99" s="667"/>
      <c r="V99" s="641"/>
      <c r="W99" s="772"/>
      <c r="X99" s="669"/>
      <c r="Y99" s="611"/>
      <c r="Z99" s="631"/>
      <c r="AA99" s="631"/>
      <c r="AB99" s="631"/>
      <c r="AC99" s="631"/>
      <c r="AD99" s="631"/>
    </row>
    <row r="100" spans="1:30" ht="12.75" customHeight="1">
      <c r="A100" s="694" t="s">
        <v>193</v>
      </c>
      <c r="B100" s="774">
        <f>'Participaciones 2018'!AG31</f>
        <v>46283.040000000001</v>
      </c>
      <c r="C100" s="774"/>
      <c r="D100" s="832"/>
      <c r="E100" s="832"/>
      <c r="F100" s="63"/>
      <c r="G100" s="63"/>
      <c r="H100" s="63"/>
      <c r="I100" s="63"/>
      <c r="J100" s="63"/>
      <c r="K100" s="63"/>
      <c r="T100" s="667" t="s">
        <v>412</v>
      </c>
      <c r="U100" s="667"/>
      <c r="V100" s="641" t="s">
        <v>156</v>
      </c>
      <c r="W100" s="668"/>
      <c r="X100" s="659">
        <f>-'Variación Patrimonio 2017-2016'!G61</f>
        <v>63838.315031250007</v>
      </c>
      <c r="Y100" s="611"/>
      <c r="Z100" s="631"/>
      <c r="AA100" s="631"/>
      <c r="AB100" s="631"/>
      <c r="AC100" s="631"/>
      <c r="AD100" s="631"/>
    </row>
    <row r="101" spans="1:30">
      <c r="A101" s="694" t="s">
        <v>650</v>
      </c>
      <c r="B101" s="755">
        <f>'Participaciones 2018'!AG32</f>
        <v>9527029.0566310789</v>
      </c>
      <c r="C101" s="755"/>
      <c r="D101" s="63"/>
      <c r="E101" s="63"/>
      <c r="F101" s="63"/>
      <c r="G101" s="63"/>
      <c r="H101" s="63"/>
      <c r="I101" s="63"/>
      <c r="J101" s="63"/>
      <c r="K101" s="63"/>
      <c r="T101" s="609" t="s">
        <v>20</v>
      </c>
      <c r="U101" s="609"/>
      <c r="V101" s="641" t="s">
        <v>156</v>
      </c>
      <c r="W101" s="609"/>
      <c r="X101" s="646">
        <f>-'Variación Patrimonio 2017-2016'!G60</f>
        <v>41075.224999999999</v>
      </c>
      <c r="Y101" s="611"/>
      <c r="Z101" s="631"/>
      <c r="AA101" s="631"/>
      <c r="AB101" s="631"/>
      <c r="AC101" s="631"/>
      <c r="AD101" s="631"/>
    </row>
    <row r="102" spans="1:30">
      <c r="A102" s="694" t="s">
        <v>651</v>
      </c>
      <c r="B102" s="755">
        <f>'Participaciones 2018'!AG33</f>
        <v>24154.783039999998</v>
      </c>
      <c r="C102" s="755"/>
      <c r="D102" s="63"/>
      <c r="E102" s="63"/>
      <c r="F102" s="63"/>
      <c r="G102" s="63"/>
      <c r="H102" s="63"/>
      <c r="I102" s="63"/>
      <c r="J102" s="63"/>
      <c r="K102" s="63"/>
      <c r="T102" s="992" t="s">
        <v>228</v>
      </c>
      <c r="U102" s="993"/>
      <c r="V102" s="648" t="s">
        <v>158</v>
      </c>
      <c r="W102" s="649"/>
      <c r="X102" s="650">
        <f>-'Variación Patrimonio 2017-2016'!G62</f>
        <v>141778.66999999998</v>
      </c>
      <c r="Y102" s="611"/>
      <c r="Z102" s="631"/>
      <c r="AA102" s="631"/>
      <c r="AB102" s="631"/>
      <c r="AC102" s="631"/>
      <c r="AD102" s="631"/>
    </row>
    <row r="103" spans="1:30">
      <c r="A103" s="694" t="s">
        <v>652</v>
      </c>
      <c r="B103" s="755">
        <f>'Participaciones 2018'!AG34</f>
        <v>0</v>
      </c>
      <c r="C103" s="755"/>
      <c r="D103" s="63"/>
      <c r="E103" s="63"/>
      <c r="F103" s="63"/>
      <c r="G103" s="63"/>
      <c r="H103" s="63"/>
      <c r="I103" s="63"/>
      <c r="J103" s="63"/>
      <c r="K103" s="63"/>
      <c r="T103" s="623"/>
      <c r="U103" s="609"/>
      <c r="V103" s="628"/>
      <c r="W103" s="623"/>
      <c r="X103" s="623"/>
      <c r="Y103" s="611"/>
      <c r="Z103" s="631"/>
      <c r="AA103" s="631"/>
      <c r="AB103" s="631"/>
      <c r="AC103" s="631"/>
      <c r="AD103" s="631"/>
    </row>
    <row r="104" spans="1:30">
      <c r="A104" s="694" t="s">
        <v>421</v>
      </c>
      <c r="B104" s="755">
        <f>'Participaciones 2018'!AG35</f>
        <v>27408.267</v>
      </c>
      <c r="C104" s="755"/>
      <c r="D104" s="63"/>
      <c r="E104" s="63"/>
      <c r="F104" s="63"/>
      <c r="G104" s="63"/>
      <c r="H104" s="63"/>
      <c r="I104" s="63"/>
      <c r="J104" s="63"/>
      <c r="K104" s="63"/>
      <c r="T104" s="623"/>
      <c r="U104" s="609"/>
      <c r="V104" s="628"/>
      <c r="W104" s="651">
        <f>SUM(W95:W103)</f>
        <v>246692.21003125</v>
      </c>
      <c r="X104" s="651">
        <f>SUM(X95:X103)</f>
        <v>246692.21003125</v>
      </c>
      <c r="Y104" s="611"/>
      <c r="Z104" s="631"/>
      <c r="AA104" s="631"/>
      <c r="AB104" s="631"/>
      <c r="AC104" s="631"/>
      <c r="AD104" s="631"/>
    </row>
    <row r="105" spans="1:30">
      <c r="A105" s="694" t="s">
        <v>426</v>
      </c>
      <c r="B105" s="755"/>
      <c r="C105" s="755">
        <f>-'Participaciones 2018'!AG36</f>
        <v>252716.93240600004</v>
      </c>
      <c r="D105" s="63"/>
      <c r="E105" s="63"/>
      <c r="F105" s="63"/>
      <c r="G105" s="63"/>
      <c r="H105" s="63"/>
      <c r="I105" s="63"/>
      <c r="J105" s="63"/>
      <c r="K105" s="63"/>
      <c r="T105" s="609"/>
      <c r="U105" s="609"/>
      <c r="V105" s="611"/>
      <c r="W105" s="611"/>
      <c r="X105" s="611"/>
      <c r="Y105" s="611"/>
      <c r="Z105" s="631"/>
      <c r="AA105" s="631"/>
      <c r="AB105" s="631"/>
      <c r="AC105" s="631"/>
      <c r="AD105" s="631"/>
    </row>
    <row r="106" spans="1:30">
      <c r="A106" s="757" t="s">
        <v>157</v>
      </c>
      <c r="C106" s="755">
        <f>-'Participaciones 2018'!AG39</f>
        <v>1596989.1013880994</v>
      </c>
      <c r="D106" s="63"/>
      <c r="E106" s="63"/>
      <c r="F106" s="63"/>
      <c r="G106" s="63"/>
      <c r="H106" s="63"/>
      <c r="I106" s="63"/>
      <c r="J106" s="63"/>
      <c r="K106" s="63"/>
      <c r="T106" s="660" t="s">
        <v>232</v>
      </c>
      <c r="U106" s="609"/>
      <c r="V106" s="611"/>
      <c r="W106" s="611"/>
      <c r="X106" s="611"/>
      <c r="Y106" s="611"/>
      <c r="Z106" s="631"/>
      <c r="AA106" s="631"/>
      <c r="AB106" s="631"/>
      <c r="AC106" s="631"/>
      <c r="AD106" s="631"/>
    </row>
    <row r="107" spans="1:30">
      <c r="A107" s="625" t="s">
        <v>649</v>
      </c>
      <c r="C107" s="759">
        <f>'Participaciones 2018'!AG40</f>
        <v>7775169.1128769787</v>
      </c>
      <c r="D107" s="760" t="s">
        <v>657</v>
      </c>
      <c r="E107" s="760"/>
      <c r="F107" s="63"/>
      <c r="G107" s="63"/>
      <c r="H107" s="63"/>
      <c r="I107" s="63"/>
      <c r="J107" s="63"/>
      <c r="K107" s="63"/>
      <c r="T107" s="990" t="s">
        <v>25</v>
      </c>
      <c r="U107" s="991"/>
      <c r="V107" s="638" t="s">
        <v>45</v>
      </c>
      <c r="W107" s="639" t="s">
        <v>26</v>
      </c>
      <c r="X107" s="640" t="s">
        <v>27</v>
      </c>
      <c r="Y107" s="611"/>
      <c r="Z107" s="631"/>
      <c r="AA107" s="631"/>
      <c r="AB107" s="631"/>
      <c r="AC107" s="631"/>
      <c r="AD107" s="631"/>
    </row>
    <row r="108" spans="1:30" ht="14.25">
      <c r="B108" s="758">
        <f>SUM(B100:B107)</f>
        <v>9624875.1466710791</v>
      </c>
      <c r="C108" s="758">
        <f>SUM(C100:C107)</f>
        <v>9624875.1466710791</v>
      </c>
      <c r="D108" s="63"/>
      <c r="E108" s="63"/>
      <c r="F108" s="63"/>
      <c r="G108" s="63"/>
      <c r="H108" s="63"/>
      <c r="I108" s="63"/>
      <c r="J108" s="63"/>
      <c r="K108" s="63"/>
      <c r="T108" s="782" t="s">
        <v>196</v>
      </c>
      <c r="U108" s="783"/>
      <c r="V108" s="52" t="s">
        <v>203</v>
      </c>
      <c r="W108" s="784">
        <f>-'Variación Patrimonio 2017-2016'!E86</f>
        <v>3368.492499999993</v>
      </c>
      <c r="X108" s="785"/>
      <c r="Y108" s="611"/>
      <c r="Z108" s="631"/>
      <c r="AA108" s="631"/>
      <c r="AB108" s="631"/>
      <c r="AC108" s="631"/>
      <c r="AD108" s="631"/>
    </row>
    <row r="109" spans="1:30" ht="14.25">
      <c r="B109" s="755">
        <f>C108-B108</f>
        <v>0</v>
      </c>
      <c r="C109" s="63"/>
      <c r="D109" s="63"/>
      <c r="E109" s="63"/>
      <c r="F109" s="63"/>
      <c r="G109" s="63"/>
      <c r="H109" s="63"/>
      <c r="I109" s="63"/>
      <c r="J109" s="63"/>
      <c r="K109" s="63"/>
      <c r="T109" s="1001" t="s">
        <v>412</v>
      </c>
      <c r="U109" s="1002"/>
      <c r="V109" s="57" t="s">
        <v>158</v>
      </c>
      <c r="W109" s="25"/>
      <c r="X109" s="786">
        <f>W108</f>
        <v>3368.492499999993</v>
      </c>
      <c r="Y109" s="611"/>
      <c r="Z109" s="631"/>
      <c r="AA109" s="631"/>
      <c r="AB109" s="631"/>
      <c r="AC109" s="631"/>
      <c r="AD109" s="631"/>
    </row>
    <row r="110" spans="1:30" ht="14.25">
      <c r="B110" s="755"/>
      <c r="C110" s="755"/>
      <c r="D110" s="63"/>
      <c r="E110" s="63"/>
      <c r="F110" s="63"/>
      <c r="G110" s="63"/>
      <c r="H110" s="63"/>
      <c r="I110" s="63"/>
      <c r="J110" s="63"/>
      <c r="K110" s="63"/>
      <c r="T110" s="27"/>
      <c r="U110" s="147"/>
      <c r="V110" s="51"/>
      <c r="W110" s="27"/>
      <c r="X110" s="27"/>
      <c r="Y110" s="611"/>
      <c r="Z110" s="631"/>
      <c r="AA110" s="631"/>
      <c r="AB110" s="631"/>
      <c r="AC110" s="631"/>
      <c r="AD110" s="631"/>
    </row>
    <row r="111" spans="1:30" ht="15">
      <c r="B111" s="755">
        <f>SUM(B100:B104)</f>
        <v>9624875.1466710791</v>
      </c>
      <c r="C111" s="755">
        <f>SUM(C105:C106)</f>
        <v>1849706.0337940995</v>
      </c>
      <c r="D111" s="63"/>
      <c r="E111" s="63"/>
      <c r="F111" s="63"/>
      <c r="G111" s="63"/>
      <c r="H111" s="63"/>
      <c r="I111" s="63"/>
      <c r="J111" s="63"/>
      <c r="K111" s="63"/>
      <c r="T111" s="27"/>
      <c r="U111" s="147"/>
      <c r="V111" s="51"/>
      <c r="W111" s="35">
        <f>SUM(W108:W110)</f>
        <v>3368.492499999993</v>
      </c>
      <c r="X111" s="35">
        <f>SUM(X108:X110)</f>
        <v>3368.492499999993</v>
      </c>
      <c r="Y111" s="611"/>
      <c r="Z111" s="631"/>
      <c r="AA111" s="631"/>
      <c r="AB111" s="631"/>
      <c r="AC111" s="631"/>
      <c r="AD111" s="631"/>
    </row>
    <row r="112" spans="1:30">
      <c r="B112" s="759">
        <f>B111-C111</f>
        <v>7775169.1128769796</v>
      </c>
      <c r="C112" s="63"/>
      <c r="D112" s="63"/>
      <c r="E112" s="63"/>
      <c r="F112" s="63"/>
      <c r="G112" s="63"/>
      <c r="H112" s="63"/>
      <c r="I112" s="63"/>
      <c r="J112" s="63"/>
      <c r="K112" s="63"/>
      <c r="T112" s="660" t="s">
        <v>233</v>
      </c>
      <c r="U112" s="609"/>
      <c r="V112" s="611"/>
      <c r="W112" s="611"/>
      <c r="X112" s="611"/>
      <c r="Y112" s="611"/>
      <c r="Z112" s="631"/>
      <c r="AA112" s="631"/>
      <c r="AB112" s="631"/>
      <c r="AC112" s="631"/>
      <c r="AD112" s="631"/>
    </row>
    <row r="113" spans="1:30">
      <c r="F113" s="63"/>
      <c r="G113" s="63"/>
      <c r="H113" s="63"/>
      <c r="I113" s="63"/>
      <c r="J113" s="63"/>
      <c r="K113" s="63"/>
      <c r="T113" s="990" t="s">
        <v>25</v>
      </c>
      <c r="U113" s="991"/>
      <c r="V113" s="638" t="s">
        <v>45</v>
      </c>
      <c r="W113" s="639" t="s">
        <v>26</v>
      </c>
      <c r="X113" s="640" t="s">
        <v>27</v>
      </c>
      <c r="Y113" s="611"/>
      <c r="Z113" s="631"/>
      <c r="AA113" s="631"/>
      <c r="AB113" s="631"/>
      <c r="AC113" s="631"/>
      <c r="AD113" s="631"/>
    </row>
    <row r="114" spans="1:30">
      <c r="B114" s="755"/>
      <c r="C114" s="755"/>
      <c r="D114" s="63"/>
      <c r="E114" s="63"/>
      <c r="F114" s="63"/>
      <c r="G114" s="63"/>
      <c r="H114" s="63"/>
      <c r="I114" s="63"/>
      <c r="J114" s="63"/>
      <c r="K114" s="63"/>
      <c r="T114" s="644" t="s">
        <v>157</v>
      </c>
      <c r="U114" s="645"/>
      <c r="V114" s="641" t="s">
        <v>159</v>
      </c>
      <c r="W114" s="646">
        <v>0</v>
      </c>
      <c r="X114" s="669"/>
      <c r="Y114" s="611"/>
      <c r="Z114" s="631"/>
      <c r="AA114" s="631"/>
      <c r="AB114" s="631"/>
      <c r="AC114" s="631"/>
      <c r="AD114" s="631"/>
    </row>
    <row r="115" spans="1:30" ht="12.75" customHeight="1">
      <c r="A115" s="625"/>
      <c r="C115" s="63"/>
      <c r="D115" s="63"/>
      <c r="E115" s="63"/>
      <c r="F115" s="63"/>
      <c r="G115" s="63"/>
      <c r="H115" s="63"/>
      <c r="I115" s="63"/>
      <c r="J115" s="63"/>
      <c r="K115" s="63"/>
      <c r="T115" s="992" t="s">
        <v>196</v>
      </c>
      <c r="U115" s="993"/>
      <c r="V115" s="648" t="s">
        <v>158</v>
      </c>
      <c r="W115" s="649"/>
      <c r="X115" s="650">
        <f>+W114</f>
        <v>0</v>
      </c>
      <c r="Y115" s="611"/>
      <c r="Z115" s="631"/>
      <c r="AA115" s="631"/>
      <c r="AB115" s="631"/>
      <c r="AC115" s="631"/>
      <c r="AD115" s="631"/>
    </row>
    <row r="116" spans="1:30" ht="12.75" customHeight="1">
      <c r="A116" s="625" t="s">
        <v>682</v>
      </c>
      <c r="C116" s="63"/>
      <c r="D116" s="63"/>
      <c r="E116" s="63"/>
      <c r="F116" s="63"/>
      <c r="G116" s="63"/>
      <c r="H116" s="63"/>
      <c r="I116" s="63"/>
      <c r="J116" s="63"/>
      <c r="K116" s="63"/>
      <c r="T116" s="676"/>
      <c r="U116" s="676"/>
      <c r="V116" s="633"/>
      <c r="W116" s="668"/>
      <c r="X116" s="772"/>
      <c r="Y116" s="611"/>
      <c r="Z116" s="631"/>
      <c r="AA116" s="631"/>
      <c r="AB116" s="631"/>
      <c r="AC116" s="631"/>
      <c r="AD116" s="631"/>
    </row>
    <row r="117" spans="1:30">
      <c r="A117" s="63" t="s">
        <v>683</v>
      </c>
      <c r="B117" s="755"/>
      <c r="C117" s="63"/>
      <c r="D117" s="63"/>
      <c r="E117" s="63"/>
      <c r="F117" s="63"/>
      <c r="G117" s="63"/>
      <c r="H117" s="63"/>
      <c r="I117" s="63"/>
      <c r="J117" s="63"/>
      <c r="K117" s="63"/>
      <c r="T117" s="623"/>
      <c r="U117" s="609"/>
      <c r="V117" s="628"/>
      <c r="W117" s="623"/>
      <c r="X117" s="623"/>
      <c r="Y117" s="611"/>
      <c r="Z117" s="631"/>
      <c r="AA117" s="631"/>
      <c r="AB117" s="631"/>
      <c r="AC117" s="631"/>
      <c r="AD117" s="631"/>
    </row>
    <row r="118" spans="1:30">
      <c r="A118" s="63" t="s">
        <v>157</v>
      </c>
      <c r="C118" s="755">
        <f>B117</f>
        <v>0</v>
      </c>
      <c r="D118" s="63"/>
      <c r="E118" s="63"/>
      <c r="F118" s="63"/>
      <c r="G118" s="63"/>
      <c r="H118" s="63"/>
      <c r="I118" s="63"/>
      <c r="J118" s="63"/>
      <c r="K118" s="63"/>
      <c r="T118" s="623"/>
      <c r="U118" s="609"/>
      <c r="V118" s="628"/>
      <c r="W118" s="651">
        <f>SUM(W114:W117)</f>
        <v>0</v>
      </c>
      <c r="X118" s="651">
        <f>SUM(X114:X117)</f>
        <v>0</v>
      </c>
      <c r="Y118" s="611"/>
      <c r="Z118" s="631"/>
      <c r="AA118" s="631"/>
      <c r="AB118" s="631"/>
      <c r="AC118" s="631"/>
      <c r="AD118" s="631"/>
    </row>
    <row r="119" spans="1:30">
      <c r="B119" s="755"/>
      <c r="C119" s="63"/>
      <c r="D119" s="63"/>
      <c r="E119" s="63"/>
      <c r="F119" s="63"/>
      <c r="G119" s="63"/>
      <c r="H119" s="63"/>
      <c r="I119" s="63"/>
      <c r="J119" s="63"/>
      <c r="K119" s="63"/>
      <c r="T119" s="609"/>
      <c r="U119" s="609"/>
      <c r="V119" s="611"/>
      <c r="W119" s="611"/>
      <c r="X119" s="611"/>
      <c r="Y119" s="611"/>
      <c r="Z119" s="631"/>
      <c r="AA119" s="631"/>
      <c r="AB119" s="631"/>
      <c r="AC119" s="631"/>
      <c r="AD119" s="631"/>
    </row>
    <row r="120" spans="1:30">
      <c r="C120" s="63"/>
      <c r="D120" s="63"/>
      <c r="E120" s="63"/>
      <c r="F120" s="63"/>
      <c r="G120" s="63"/>
      <c r="H120" s="63"/>
      <c r="I120" s="63"/>
      <c r="J120" s="63"/>
      <c r="K120" s="63"/>
      <c r="T120" s="660" t="s">
        <v>234</v>
      </c>
      <c r="U120" s="609"/>
      <c r="V120" s="611"/>
      <c r="W120" s="611"/>
      <c r="X120" s="611"/>
      <c r="Y120" s="611"/>
      <c r="Z120" s="631"/>
      <c r="AA120" s="631"/>
      <c r="AB120" s="631"/>
      <c r="AC120" s="631"/>
      <c r="AD120" s="631"/>
    </row>
    <row r="121" spans="1:30">
      <c r="A121" s="63" t="s">
        <v>675</v>
      </c>
      <c r="B121" s="776">
        <f>+B62+SUM(B86:B95)</f>
        <v>989136.07363107777</v>
      </c>
      <c r="C121" s="777">
        <f>+C62+C69+SUM(C85:C94)+C106+C118</f>
        <v>2828340.4513880992</v>
      </c>
      <c r="D121" s="63"/>
      <c r="E121" s="63"/>
      <c r="F121" s="63"/>
      <c r="G121" s="63"/>
      <c r="H121" s="63"/>
      <c r="I121" s="63"/>
      <c r="J121" s="63"/>
      <c r="K121" s="63"/>
      <c r="T121" s="990" t="s">
        <v>25</v>
      </c>
      <c r="U121" s="991"/>
      <c r="V121" s="638" t="s">
        <v>45</v>
      </c>
      <c r="W121" s="639" t="s">
        <v>26</v>
      </c>
      <c r="X121" s="640" t="s">
        <v>27</v>
      </c>
      <c r="Y121" s="611"/>
      <c r="Z121" s="631"/>
      <c r="AA121" s="631"/>
      <c r="AB121" s="631"/>
      <c r="AC121" s="631"/>
      <c r="AD121" s="631"/>
    </row>
    <row r="122" spans="1:30">
      <c r="B122" s="755"/>
      <c r="C122" s="755">
        <f>C121-B121</f>
        <v>1839204.3777570215</v>
      </c>
      <c r="D122" s="63"/>
      <c r="E122" s="63"/>
      <c r="F122" s="63"/>
      <c r="G122" s="63"/>
      <c r="H122" s="63"/>
      <c r="I122" s="63"/>
      <c r="J122" s="63"/>
      <c r="K122" s="63"/>
      <c r="T122" s="644" t="s">
        <v>196</v>
      </c>
      <c r="U122" s="645"/>
      <c r="V122" s="641" t="s">
        <v>204</v>
      </c>
      <c r="W122" s="646">
        <f>SUM(X123:X124)</f>
        <v>25810.725000000002</v>
      </c>
      <c r="X122" s="669"/>
      <c r="Y122" s="611"/>
      <c r="Z122" s="631"/>
      <c r="AA122" s="631"/>
      <c r="AB122" s="631"/>
      <c r="AC122" s="631"/>
      <c r="AD122" s="631"/>
    </row>
    <row r="123" spans="1:30">
      <c r="C123" s="63"/>
      <c r="D123" s="63"/>
      <c r="E123" s="63"/>
      <c r="F123" s="63"/>
      <c r="G123" s="63"/>
      <c r="H123" s="63"/>
      <c r="I123" s="63"/>
      <c r="J123" s="63"/>
      <c r="K123" s="63"/>
      <c r="T123" s="644" t="s">
        <v>412</v>
      </c>
      <c r="U123" s="645"/>
      <c r="V123" s="641"/>
      <c r="W123" s="670"/>
      <c r="X123" s="659">
        <f>-'Variación Patrimonio 2017-2016'!G148</f>
        <v>1156.6499999999999</v>
      </c>
      <c r="Y123" s="611"/>
      <c r="Z123" s="631"/>
      <c r="AA123" s="631"/>
      <c r="AB123" s="631"/>
      <c r="AC123" s="631"/>
      <c r="AD123" s="631"/>
    </row>
    <row r="124" spans="1:30">
      <c r="C124" s="63"/>
      <c r="D124" s="63"/>
      <c r="E124" s="63"/>
      <c r="F124" s="63"/>
      <c r="G124" s="63"/>
      <c r="H124" s="63"/>
      <c r="I124" s="63"/>
      <c r="J124" s="63"/>
      <c r="K124" s="63"/>
      <c r="T124" s="992" t="s">
        <v>228</v>
      </c>
      <c r="U124" s="993"/>
      <c r="V124" s="648" t="s">
        <v>158</v>
      </c>
      <c r="W124" s="649"/>
      <c r="X124" s="650">
        <f>-'Variación Patrimonio 2017-2016'!G149</f>
        <v>24654.075000000001</v>
      </c>
      <c r="Y124" s="611"/>
      <c r="Z124" s="631"/>
      <c r="AA124" s="631"/>
      <c r="AB124" s="631"/>
      <c r="AC124" s="631"/>
      <c r="AD124" s="631"/>
    </row>
    <row r="125" spans="1:30">
      <c r="C125" s="63"/>
      <c r="D125" s="63"/>
      <c r="E125" s="63"/>
      <c r="F125" s="63"/>
      <c r="G125" s="63"/>
      <c r="H125" s="63"/>
      <c r="I125" s="63"/>
      <c r="J125" s="63"/>
      <c r="K125" s="63"/>
      <c r="T125" s="623"/>
      <c r="U125" s="609"/>
      <c r="V125" s="628"/>
      <c r="W125" s="623"/>
      <c r="X125" s="623"/>
      <c r="Y125" s="611"/>
      <c r="Z125" s="631"/>
      <c r="AA125" s="631"/>
      <c r="AB125" s="631"/>
      <c r="AC125" s="631"/>
      <c r="AD125" s="631"/>
    </row>
    <row r="126" spans="1:30">
      <c r="C126" s="63"/>
      <c r="D126" s="63"/>
      <c r="E126" s="63"/>
      <c r="F126" s="63"/>
      <c r="G126" s="63"/>
      <c r="H126" s="63"/>
      <c r="I126" s="63"/>
      <c r="J126" s="63"/>
      <c r="K126" s="63"/>
      <c r="T126" s="623"/>
      <c r="U126" s="609"/>
      <c r="V126" s="628"/>
      <c r="W126" s="651">
        <f>SUM(W122:W125)</f>
        <v>25810.725000000002</v>
      </c>
      <c r="X126" s="651">
        <f>SUM(X122:X125)</f>
        <v>25810.725000000002</v>
      </c>
      <c r="Y126" s="611"/>
      <c r="Z126" s="631"/>
      <c r="AA126" s="631"/>
      <c r="AB126" s="631"/>
      <c r="AC126" s="631"/>
      <c r="AD126" s="631"/>
    </row>
    <row r="127" spans="1:30">
      <c r="C127" s="63"/>
      <c r="D127" s="63"/>
      <c r="E127" s="63"/>
      <c r="F127" s="63"/>
      <c r="G127" s="63"/>
      <c r="H127" s="63"/>
      <c r="I127" s="63"/>
      <c r="J127" s="63"/>
      <c r="K127" s="63"/>
      <c r="T127" s="623"/>
      <c r="U127" s="609"/>
      <c r="V127" s="628"/>
      <c r="W127" s="651"/>
      <c r="X127" s="651"/>
      <c r="Y127" s="611"/>
      <c r="Z127" s="631"/>
      <c r="AA127" s="631"/>
      <c r="AB127" s="631"/>
      <c r="AC127" s="631"/>
      <c r="AD127" s="631"/>
    </row>
    <row r="128" spans="1:30">
      <c r="C128" s="63"/>
      <c r="D128" s="63"/>
      <c r="E128" s="63"/>
      <c r="F128" s="63"/>
      <c r="G128" s="63"/>
      <c r="H128" s="63"/>
      <c r="I128" s="63"/>
      <c r="J128" s="63"/>
      <c r="K128" s="63"/>
      <c r="T128" s="623"/>
      <c r="U128" s="609"/>
      <c r="V128" s="628"/>
      <c r="W128" s="651"/>
      <c r="X128" s="651"/>
      <c r="Y128" s="611"/>
      <c r="Z128" s="631"/>
      <c r="AA128" s="631"/>
      <c r="AB128" s="631"/>
      <c r="AC128" s="631"/>
      <c r="AD128" s="631"/>
    </row>
    <row r="129" spans="3:30">
      <c r="C129" s="63"/>
      <c r="D129" s="63"/>
      <c r="E129" s="63"/>
      <c r="F129" s="63"/>
      <c r="G129" s="63"/>
      <c r="H129" s="63"/>
      <c r="I129" s="63"/>
      <c r="J129" s="63"/>
      <c r="K129" s="63"/>
      <c r="T129" s="660" t="s">
        <v>277</v>
      </c>
      <c r="U129" s="609"/>
      <c r="V129" s="611"/>
      <c r="W129" s="611"/>
      <c r="X129" s="611"/>
      <c r="Y129" s="611"/>
      <c r="Z129" s="631"/>
      <c r="AA129" s="631"/>
      <c r="AB129" s="631"/>
      <c r="AC129" s="631"/>
      <c r="AD129" s="631"/>
    </row>
    <row r="130" spans="3:30">
      <c r="C130" s="63"/>
      <c r="D130" s="63"/>
      <c r="E130" s="63"/>
      <c r="F130" s="63"/>
      <c r="G130" s="63"/>
      <c r="H130" s="63"/>
      <c r="I130" s="63"/>
      <c r="J130" s="63"/>
      <c r="K130" s="63"/>
      <c r="T130" s="990" t="s">
        <v>25</v>
      </c>
      <c r="U130" s="991"/>
      <c r="V130" s="638" t="s">
        <v>45</v>
      </c>
      <c r="W130" s="639" t="s">
        <v>26</v>
      </c>
      <c r="X130" s="640" t="s">
        <v>27</v>
      </c>
      <c r="Y130" s="611"/>
      <c r="Z130" s="631"/>
      <c r="AA130" s="631"/>
      <c r="AB130" s="631"/>
      <c r="AC130" s="631"/>
      <c r="AD130" s="631"/>
    </row>
    <row r="131" spans="3:30">
      <c r="C131" s="63"/>
      <c r="D131" s="63"/>
      <c r="E131" s="63"/>
      <c r="F131" s="63"/>
      <c r="G131" s="63"/>
      <c r="H131" s="63"/>
      <c r="I131" s="63"/>
      <c r="J131" s="63"/>
      <c r="K131" s="63"/>
      <c r="T131" s="644" t="s">
        <v>8</v>
      </c>
      <c r="U131" s="645"/>
      <c r="V131" s="641" t="s">
        <v>260</v>
      </c>
      <c r="W131" s="646">
        <v>3661400</v>
      </c>
      <c r="X131" s="669"/>
      <c r="Y131" s="611" t="s">
        <v>420</v>
      </c>
      <c r="Z131" s="631"/>
      <c r="AA131" s="631"/>
      <c r="AB131" s="631"/>
      <c r="AC131" s="631"/>
      <c r="AD131" s="631"/>
    </row>
    <row r="132" spans="3:30" s="609" customFormat="1">
      <c r="L132" s="611"/>
      <c r="M132" s="611"/>
      <c r="N132" s="611"/>
      <c r="T132" s="644" t="s">
        <v>88</v>
      </c>
      <c r="U132" s="645"/>
      <c r="V132" s="641" t="s">
        <v>260</v>
      </c>
      <c r="W132" s="646">
        <v>112799</v>
      </c>
      <c r="X132" s="669"/>
      <c r="Y132" s="611" t="s">
        <v>420</v>
      </c>
      <c r="Z132" s="611"/>
      <c r="AA132" s="611"/>
      <c r="AB132" s="611"/>
      <c r="AC132" s="611"/>
      <c r="AD132" s="611"/>
    </row>
    <row r="133" spans="3:30" s="609" customFormat="1">
      <c r="L133" s="611"/>
      <c r="M133" s="611"/>
      <c r="N133" s="611"/>
      <c r="T133" s="644" t="s">
        <v>209</v>
      </c>
      <c r="U133" s="645"/>
      <c r="V133" s="641" t="s">
        <v>158</v>
      </c>
      <c r="W133" s="646">
        <f>'Variación Patrimonio 2017-2016'!D179</f>
        <v>269120.21999999997</v>
      </c>
      <c r="X133" s="669"/>
      <c r="Y133" s="611" t="s">
        <v>420</v>
      </c>
      <c r="Z133" s="611"/>
      <c r="AA133" s="611"/>
      <c r="AB133" s="611"/>
      <c r="AC133" s="611"/>
      <c r="AD133" s="611"/>
    </row>
    <row r="134" spans="3:30" s="609" customFormat="1">
      <c r="L134" s="611"/>
      <c r="M134" s="611"/>
      <c r="N134" s="611"/>
      <c r="T134" s="644" t="s">
        <v>20</v>
      </c>
      <c r="U134" s="645"/>
      <c r="V134" s="641" t="s">
        <v>260</v>
      </c>
      <c r="W134" s="670"/>
      <c r="X134" s="659">
        <v>56932</v>
      </c>
      <c r="Y134" s="611" t="s">
        <v>420</v>
      </c>
      <c r="Z134" s="611"/>
      <c r="AA134" s="611"/>
      <c r="AB134" s="611"/>
      <c r="AC134" s="611"/>
      <c r="AD134" s="611"/>
    </row>
    <row r="135" spans="3:30" s="609" customFormat="1">
      <c r="L135" s="611"/>
      <c r="M135" s="611"/>
      <c r="N135" s="611"/>
      <c r="T135" s="644" t="s">
        <v>21</v>
      </c>
      <c r="U135" s="645"/>
      <c r="V135" s="641" t="s">
        <v>260</v>
      </c>
      <c r="W135" s="670"/>
      <c r="X135" s="659">
        <v>3026105</v>
      </c>
      <c r="Y135" s="611" t="s">
        <v>420</v>
      </c>
      <c r="Z135" s="611"/>
      <c r="AA135" s="611"/>
      <c r="AB135" s="611"/>
      <c r="AC135" s="611"/>
      <c r="AD135" s="611"/>
    </row>
    <row r="136" spans="3:30" s="609" customFormat="1">
      <c r="L136" s="611"/>
      <c r="M136" s="611"/>
      <c r="N136" s="611"/>
      <c r="T136" s="644" t="s">
        <v>209</v>
      </c>
      <c r="U136" s="645"/>
      <c r="V136" s="641" t="s">
        <v>260</v>
      </c>
      <c r="W136" s="670"/>
      <c r="X136" s="659">
        <v>484416</v>
      </c>
      <c r="Y136" s="611" t="s">
        <v>420</v>
      </c>
      <c r="Z136" s="611">
        <f>X136-W133</f>
        <v>215295.78000000003</v>
      </c>
      <c r="AA136" s="611"/>
      <c r="AB136" s="611"/>
      <c r="AC136" s="611"/>
      <c r="AD136" s="611"/>
    </row>
    <row r="137" spans="3:30" s="609" customFormat="1">
      <c r="L137" s="611"/>
      <c r="M137" s="611"/>
      <c r="N137" s="611"/>
      <c r="T137" s="644" t="s">
        <v>228</v>
      </c>
      <c r="U137" s="645"/>
      <c r="V137" s="641" t="s">
        <v>260</v>
      </c>
      <c r="W137" s="670"/>
      <c r="X137" s="659">
        <v>9886</v>
      </c>
      <c r="Y137" s="611" t="s">
        <v>420</v>
      </c>
      <c r="Z137" s="611"/>
      <c r="AA137" s="611"/>
      <c r="AB137" s="611"/>
      <c r="AC137" s="611"/>
      <c r="AD137" s="611"/>
    </row>
    <row r="138" spans="3:30" s="609" customFormat="1">
      <c r="L138" s="611"/>
      <c r="M138" s="611"/>
      <c r="N138" s="611"/>
      <c r="T138" s="644" t="s">
        <v>270</v>
      </c>
      <c r="U138" s="645"/>
      <c r="V138" s="641" t="s">
        <v>158</v>
      </c>
      <c r="W138" s="670"/>
      <c r="X138" s="659">
        <f>+W132</f>
        <v>112799</v>
      </c>
      <c r="Y138" s="611" t="s">
        <v>420</v>
      </c>
      <c r="Z138" s="611"/>
      <c r="AA138" s="611"/>
      <c r="AB138" s="611"/>
      <c r="AC138" s="611"/>
      <c r="AD138" s="611"/>
    </row>
    <row r="139" spans="3:30" s="609" customFormat="1">
      <c r="L139" s="611"/>
      <c r="M139" s="611"/>
      <c r="N139" s="611"/>
      <c r="T139" s="644" t="s">
        <v>282</v>
      </c>
      <c r="U139" s="645"/>
      <c r="V139" s="641" t="s">
        <v>151</v>
      </c>
      <c r="W139" s="670"/>
      <c r="X139" s="659">
        <f>'Variación Patrimonio 2017-2016'!D175</f>
        <v>351500</v>
      </c>
      <c r="Y139" s="611" t="s">
        <v>420</v>
      </c>
      <c r="Z139" s="611"/>
      <c r="AA139" s="611"/>
      <c r="AB139" s="611"/>
      <c r="AC139" s="611"/>
      <c r="AD139" s="611"/>
    </row>
    <row r="140" spans="3:30">
      <c r="C140" s="63"/>
      <c r="D140" s="63"/>
      <c r="E140" s="63"/>
      <c r="F140" s="63"/>
      <c r="G140" s="63"/>
      <c r="H140" s="63"/>
      <c r="I140" s="63"/>
      <c r="J140" s="63"/>
      <c r="K140" s="63"/>
      <c r="T140" s="992" t="s">
        <v>196</v>
      </c>
      <c r="U140" s="993"/>
      <c r="V140" s="648" t="s">
        <v>158</v>
      </c>
      <c r="W140" s="649"/>
      <c r="X140" s="650">
        <f>'Variación Patrimonio 2017-2016'!D176</f>
        <v>1681.22</v>
      </c>
      <c r="Y140" s="611" t="s">
        <v>420</v>
      </c>
      <c r="Z140" s="631"/>
      <c r="AA140" s="631"/>
      <c r="AB140" s="631"/>
      <c r="AC140" s="631"/>
      <c r="AD140" s="631"/>
    </row>
    <row r="141" spans="3:30">
      <c r="C141" s="63"/>
      <c r="D141" s="63"/>
      <c r="E141" s="63"/>
      <c r="F141" s="63"/>
      <c r="G141" s="63"/>
      <c r="H141" s="63"/>
      <c r="I141" s="63"/>
      <c r="J141" s="63"/>
      <c r="K141" s="63"/>
      <c r="T141" s="623"/>
      <c r="U141" s="609"/>
      <c r="V141" s="628"/>
      <c r="W141" s="623"/>
      <c r="X141" s="623"/>
      <c r="Y141" s="611"/>
      <c r="Z141" s="631"/>
      <c r="AA141" s="631"/>
      <c r="AB141" s="631"/>
      <c r="AC141" s="631"/>
      <c r="AD141" s="631"/>
    </row>
    <row r="142" spans="3:30">
      <c r="C142" s="63"/>
      <c r="D142" s="63"/>
      <c r="E142" s="63"/>
      <c r="F142" s="63"/>
      <c r="G142" s="63"/>
      <c r="H142" s="63"/>
      <c r="I142" s="63"/>
      <c r="J142" s="63"/>
      <c r="K142" s="63"/>
      <c r="T142" s="623"/>
      <c r="U142" s="609"/>
      <c r="V142" s="628"/>
      <c r="W142" s="651">
        <f>SUM(W131:W141)</f>
        <v>4043319.2199999997</v>
      </c>
      <c r="X142" s="651">
        <f>SUM(X131:X141)</f>
        <v>4043319.22</v>
      </c>
      <c r="Y142" s="611">
        <f>W142-X142</f>
        <v>0</v>
      </c>
      <c r="Z142" s="631"/>
      <c r="AA142" s="631"/>
      <c r="AB142" s="631"/>
      <c r="AC142" s="631"/>
      <c r="AD142" s="631"/>
    </row>
    <row r="143" spans="3:30">
      <c r="C143" s="63"/>
      <c r="D143" s="63"/>
      <c r="E143" s="63"/>
      <c r="F143" s="63"/>
      <c r="G143" s="63"/>
      <c r="H143" s="63"/>
      <c r="I143" s="63"/>
      <c r="J143" s="63"/>
      <c r="K143" s="63"/>
      <c r="T143" s="623"/>
      <c r="U143" s="609"/>
      <c r="V143" s="628"/>
      <c r="W143" s="651"/>
      <c r="X143" s="651"/>
      <c r="Y143" s="611"/>
      <c r="Z143" s="631"/>
      <c r="AA143" s="631"/>
      <c r="AB143" s="631"/>
      <c r="AC143" s="631"/>
      <c r="AD143" s="631"/>
    </row>
    <row r="144" spans="3:30">
      <c r="C144" s="63"/>
      <c r="D144" s="63"/>
      <c r="E144" s="63"/>
      <c r="F144" s="63"/>
      <c r="G144" s="63"/>
      <c r="H144" s="63"/>
      <c r="I144" s="63"/>
      <c r="J144" s="63"/>
      <c r="K144" s="63"/>
      <c r="T144" s="660" t="s">
        <v>266</v>
      </c>
      <c r="U144" s="609"/>
      <c r="V144" s="611"/>
      <c r="W144" s="611"/>
      <c r="X144" s="611"/>
      <c r="Y144" s="611"/>
      <c r="Z144" s="631"/>
      <c r="AA144" s="631"/>
      <c r="AB144" s="631"/>
      <c r="AC144" s="631"/>
      <c r="AD144" s="631"/>
    </row>
    <row r="145" spans="3:30">
      <c r="C145" s="63"/>
      <c r="D145" s="63"/>
      <c r="E145" s="63"/>
      <c r="F145" s="63"/>
      <c r="G145" s="63"/>
      <c r="H145" s="63"/>
      <c r="I145" s="63"/>
      <c r="J145" s="63"/>
      <c r="K145" s="63"/>
      <c r="T145" s="990" t="s">
        <v>25</v>
      </c>
      <c r="U145" s="991"/>
      <c r="V145" s="638" t="s">
        <v>45</v>
      </c>
      <c r="W145" s="639" t="s">
        <v>26</v>
      </c>
      <c r="X145" s="640" t="s">
        <v>27</v>
      </c>
      <c r="Y145" s="611"/>
      <c r="Z145" s="631"/>
      <c r="AA145" s="631">
        <v>6513113</v>
      </c>
      <c r="AB145" s="631"/>
      <c r="AC145" s="631"/>
      <c r="AD145" s="631"/>
    </row>
    <row r="146" spans="3:30">
      <c r="C146" s="63"/>
      <c r="D146" s="63"/>
      <c r="E146" s="63"/>
      <c r="F146" s="63"/>
      <c r="G146" s="63"/>
      <c r="H146" s="63"/>
      <c r="I146" s="63"/>
      <c r="J146" s="63"/>
      <c r="K146" s="63"/>
      <c r="T146" s="644" t="s">
        <v>92</v>
      </c>
      <c r="U146" s="645"/>
      <c r="V146" s="641" t="s">
        <v>198</v>
      </c>
      <c r="W146" s="671">
        <v>0</v>
      </c>
      <c r="X146" s="672">
        <f>-((894555*0.49)-W147)</f>
        <v>45243.049999999988</v>
      </c>
      <c r="Y146" s="611"/>
      <c r="Z146" s="631"/>
      <c r="AA146" s="631">
        <f>AA145*0.49</f>
        <v>3191425.37</v>
      </c>
      <c r="AB146" s="631"/>
      <c r="AC146" s="631"/>
      <c r="AD146" s="631"/>
    </row>
    <row r="147" spans="3:30">
      <c r="C147" s="63"/>
      <c r="D147" s="63"/>
      <c r="E147" s="63"/>
      <c r="F147" s="63"/>
      <c r="G147" s="63"/>
      <c r="H147" s="63"/>
      <c r="I147" s="63"/>
      <c r="J147" s="63"/>
      <c r="K147" s="63"/>
      <c r="T147" s="644" t="s">
        <v>157</v>
      </c>
      <c r="U147" s="645"/>
      <c r="V147" s="641" t="s">
        <v>198</v>
      </c>
      <c r="W147" s="646">
        <v>483575</v>
      </c>
      <c r="X147" s="669"/>
      <c r="Y147" s="611"/>
      <c r="Z147" s="631"/>
      <c r="AA147" s="631"/>
      <c r="AB147" s="631"/>
      <c r="AC147" s="631"/>
      <c r="AD147" s="631"/>
    </row>
    <row r="148" spans="3:30">
      <c r="C148" s="63"/>
      <c r="D148" s="63"/>
      <c r="E148" s="63"/>
      <c r="F148" s="63"/>
      <c r="G148" s="63"/>
      <c r="H148" s="63"/>
      <c r="I148" s="63"/>
      <c r="J148" s="63"/>
      <c r="K148" s="63"/>
      <c r="T148" s="673" t="s">
        <v>199</v>
      </c>
      <c r="U148" s="674"/>
      <c r="V148" s="648" t="s">
        <v>198</v>
      </c>
      <c r="W148" s="649"/>
      <c r="X148" s="650">
        <f>-(X146-W147)</f>
        <v>438331.95</v>
      </c>
      <c r="Y148" s="611"/>
      <c r="Z148" s="631"/>
      <c r="AA148" s="631">
        <v>6945032</v>
      </c>
      <c r="AB148" s="631"/>
      <c r="AC148" s="631"/>
      <c r="AD148" s="631"/>
    </row>
    <row r="149" spans="3:30">
      <c r="C149" s="63"/>
      <c r="D149" s="63"/>
      <c r="E149" s="63"/>
      <c r="F149" s="63"/>
      <c r="G149" s="63"/>
      <c r="H149" s="63"/>
      <c r="I149" s="63"/>
      <c r="J149" s="63"/>
      <c r="K149" s="63"/>
      <c r="T149" s="623"/>
      <c r="U149" s="609"/>
      <c r="V149" s="628"/>
      <c r="W149" s="623"/>
      <c r="X149" s="623"/>
      <c r="Y149" s="611"/>
      <c r="Z149" s="631"/>
      <c r="AA149" s="631">
        <f>AA148-AA146</f>
        <v>3753606.63</v>
      </c>
      <c r="AB149" s="631"/>
      <c r="AC149" s="631"/>
      <c r="AD149" s="631"/>
    </row>
    <row r="150" spans="3:30">
      <c r="C150" s="63"/>
      <c r="D150" s="63"/>
      <c r="E150" s="63"/>
      <c r="F150" s="63"/>
      <c r="G150" s="63"/>
      <c r="H150" s="63"/>
      <c r="I150" s="63"/>
      <c r="J150" s="63"/>
      <c r="K150" s="63"/>
      <c r="T150" s="623"/>
      <c r="U150" s="609"/>
      <c r="V150" s="628"/>
      <c r="W150" s="651">
        <f>SUM(W146:W149)</f>
        <v>483575</v>
      </c>
      <c r="X150" s="651">
        <f>SUM(X146:X149)</f>
        <v>483575</v>
      </c>
      <c r="Y150" s="611"/>
      <c r="Z150" s="631"/>
      <c r="AA150" s="631">
        <f>AA149-AA146</f>
        <v>562181.25999999978</v>
      </c>
      <c r="AB150" s="631"/>
      <c r="AC150" s="631"/>
      <c r="AD150" s="631"/>
    </row>
    <row r="151" spans="3:30">
      <c r="C151" s="63"/>
      <c r="D151" s="63"/>
      <c r="E151" s="63"/>
      <c r="F151" s="63"/>
      <c r="G151" s="63"/>
      <c r="H151" s="63"/>
      <c r="I151" s="63"/>
      <c r="J151" s="63"/>
      <c r="K151" s="63"/>
      <c r="T151" s="623"/>
      <c r="U151" s="609"/>
      <c r="V151" s="628"/>
      <c r="W151" s="651"/>
      <c r="X151" s="651"/>
      <c r="Y151" s="611"/>
      <c r="Z151" s="631"/>
      <c r="AA151" s="631"/>
      <c r="AB151" s="631"/>
      <c r="AC151" s="631"/>
      <c r="AD151" s="631"/>
    </row>
    <row r="152" spans="3:30">
      <c r="C152" s="63"/>
      <c r="D152" s="63"/>
      <c r="E152" s="63"/>
      <c r="F152" s="63"/>
      <c r="G152" s="63"/>
      <c r="H152" s="63"/>
      <c r="I152" s="63"/>
      <c r="J152" s="63"/>
      <c r="K152" s="63"/>
      <c r="T152" s="623"/>
      <c r="U152" s="609"/>
      <c r="V152" s="628"/>
      <c r="W152" s="651"/>
      <c r="X152" s="651"/>
      <c r="Y152" s="611"/>
      <c r="Z152" s="631"/>
      <c r="AA152" s="631"/>
      <c r="AB152" s="631"/>
      <c r="AC152" s="631"/>
      <c r="AD152" s="631"/>
    </row>
    <row r="153" spans="3:30">
      <c r="C153" s="63"/>
      <c r="D153" s="63"/>
      <c r="E153" s="63"/>
      <c r="F153" s="63"/>
      <c r="G153" s="63"/>
      <c r="H153" s="63"/>
      <c r="I153" s="63"/>
      <c r="J153" s="63"/>
      <c r="K153" s="63"/>
      <c r="T153" s="623"/>
      <c r="V153" s="621"/>
      <c r="W153" s="651"/>
      <c r="X153" s="651"/>
      <c r="Y153" s="631"/>
      <c r="Z153" s="631"/>
      <c r="AA153" s="631"/>
      <c r="AB153" s="631"/>
      <c r="AC153" s="631"/>
      <c r="AD153" s="631"/>
    </row>
    <row r="154" spans="3:30">
      <c r="C154" s="63"/>
      <c r="D154" s="63"/>
      <c r="E154" s="63"/>
      <c r="F154" s="63"/>
      <c r="G154" s="63"/>
      <c r="H154" s="63"/>
      <c r="I154" s="63"/>
      <c r="J154" s="63"/>
      <c r="K154" s="63"/>
      <c r="V154" s="631"/>
      <c r="W154" s="631"/>
      <c r="X154" s="631"/>
      <c r="Y154" s="631"/>
      <c r="Z154" s="631"/>
      <c r="AA154" s="631"/>
      <c r="AB154" s="631"/>
      <c r="AC154" s="631"/>
      <c r="AD154" s="631"/>
    </row>
    <row r="155" spans="3:30">
      <c r="C155" s="63"/>
      <c r="D155" s="63"/>
      <c r="E155" s="63"/>
      <c r="F155" s="63"/>
      <c r="G155" s="63"/>
      <c r="H155" s="63"/>
      <c r="I155" s="63"/>
      <c r="J155" s="63"/>
      <c r="K155" s="63"/>
      <c r="V155" s="631"/>
      <c r="W155" s="637">
        <f>W68+W83+W91+W104+W111+W118+W126+W34+W40+W50+W58+W142+W150+W75</f>
        <v>46689994.187171064</v>
      </c>
      <c r="X155" s="637">
        <f>X68+X83+X91+X104+X111+X118+X126+X34+X40+X50+X58+X142+X150+X75</f>
        <v>46689994.187171064</v>
      </c>
      <c r="Y155" s="631"/>
      <c r="Z155" s="631"/>
      <c r="AA155" s="631"/>
      <c r="AB155" s="631"/>
      <c r="AC155" s="631"/>
      <c r="AD155" s="631"/>
    </row>
    <row r="156" spans="3:30">
      <c r="C156" s="63"/>
      <c r="D156" s="63"/>
      <c r="E156" s="63"/>
      <c r="F156" s="63"/>
      <c r="G156" s="63"/>
      <c r="H156" s="63"/>
      <c r="I156" s="63"/>
      <c r="J156" s="63"/>
      <c r="K156" s="63"/>
      <c r="V156" s="631"/>
      <c r="W156" s="631"/>
      <c r="X156" s="631"/>
      <c r="Y156" s="631"/>
      <c r="Z156" s="631"/>
      <c r="AA156" s="631"/>
      <c r="AB156" s="631"/>
      <c r="AC156" s="631"/>
      <c r="AD156" s="631"/>
    </row>
    <row r="157" spans="3:30">
      <c r="C157" s="63"/>
      <c r="D157" s="63"/>
      <c r="E157" s="63"/>
      <c r="F157" s="63"/>
      <c r="G157" s="63"/>
      <c r="H157" s="63"/>
      <c r="I157" s="63"/>
      <c r="J157" s="63"/>
      <c r="K157" s="63"/>
      <c r="V157" s="631"/>
      <c r="W157" s="631"/>
      <c r="X157" s="631"/>
      <c r="Y157" s="631"/>
      <c r="Z157" s="631"/>
      <c r="AA157" s="631"/>
      <c r="AB157" s="631"/>
      <c r="AC157" s="631"/>
      <c r="AD157" s="631"/>
    </row>
    <row r="158" spans="3:30">
      <c r="C158" s="63"/>
      <c r="D158" s="63"/>
      <c r="E158" s="63"/>
      <c r="F158" s="63"/>
      <c r="G158" s="63"/>
      <c r="H158" s="63"/>
      <c r="I158" s="63"/>
      <c r="J158" s="63"/>
      <c r="K158" s="63"/>
      <c r="T158" s="637" t="s">
        <v>259</v>
      </c>
      <c r="W158" s="631"/>
      <c r="X158" s="631"/>
      <c r="Y158" s="631"/>
      <c r="Z158" s="631"/>
      <c r="AA158" s="631"/>
      <c r="AB158" s="631"/>
      <c r="AC158" s="631"/>
      <c r="AD158" s="631"/>
    </row>
    <row r="159" spans="3:30">
      <c r="C159" s="63"/>
      <c r="D159" s="63"/>
      <c r="E159" s="63"/>
      <c r="F159" s="63"/>
      <c r="G159" s="63"/>
      <c r="H159" s="63"/>
      <c r="I159" s="63"/>
      <c r="J159" s="63"/>
      <c r="K159" s="63"/>
      <c r="T159" s="631"/>
      <c r="W159" s="631"/>
      <c r="X159" s="631"/>
      <c r="Y159" s="631"/>
      <c r="Z159" s="631"/>
      <c r="AA159" s="631"/>
      <c r="AB159" s="631"/>
      <c r="AC159" s="631"/>
      <c r="AD159" s="631"/>
    </row>
    <row r="160" spans="3:30">
      <c r="C160" s="63"/>
      <c r="D160" s="63"/>
      <c r="E160" s="63"/>
      <c r="F160" s="63"/>
      <c r="G160" s="63"/>
      <c r="H160" s="63"/>
      <c r="I160" s="63"/>
      <c r="J160" s="63"/>
      <c r="K160" s="63"/>
      <c r="T160" s="631" t="s">
        <v>193</v>
      </c>
      <c r="W160" s="671">
        <f>W37+W131</f>
        <v>4671400.0199999996</v>
      </c>
      <c r="X160" s="631">
        <v>0</v>
      </c>
      <c r="Y160" s="631"/>
      <c r="Z160" s="631"/>
      <c r="AA160" s="631"/>
      <c r="AB160" s="631"/>
      <c r="AC160" s="631"/>
      <c r="AD160" s="631"/>
    </row>
    <row r="161" spans="3:30">
      <c r="C161" s="63"/>
      <c r="D161" s="63"/>
      <c r="E161" s="63"/>
      <c r="F161" s="63"/>
      <c r="G161" s="63"/>
      <c r="H161" s="63"/>
      <c r="I161" s="63"/>
      <c r="J161" s="63"/>
      <c r="K161" s="63"/>
      <c r="T161" s="636" t="s">
        <v>226</v>
      </c>
      <c r="W161" s="675">
        <f>W62+W55+W30+W132</f>
        <v>32277736.629999999</v>
      </c>
      <c r="X161" s="631">
        <v>0</v>
      </c>
      <c r="Y161" s="631"/>
      <c r="Z161" s="631"/>
      <c r="AA161" s="631"/>
      <c r="AB161" s="631"/>
      <c r="AC161" s="631"/>
      <c r="AD161" s="631"/>
    </row>
    <row r="162" spans="3:30">
      <c r="C162" s="63"/>
      <c r="D162" s="63"/>
      <c r="E162" s="63"/>
      <c r="F162" s="63"/>
      <c r="G162" s="63"/>
      <c r="H162" s="63"/>
      <c r="I162" s="63"/>
      <c r="J162" s="63"/>
      <c r="K162" s="63"/>
      <c r="T162" s="636" t="s">
        <v>7</v>
      </c>
      <c r="W162" s="675">
        <f>W45</f>
        <v>6262957</v>
      </c>
      <c r="X162" s="631">
        <v>0</v>
      </c>
      <c r="Y162" s="631"/>
      <c r="Z162" s="631"/>
      <c r="AA162" s="631"/>
      <c r="AB162" s="631"/>
      <c r="AC162" s="631"/>
      <c r="AD162" s="631"/>
    </row>
    <row r="163" spans="3:30">
      <c r="C163" s="63"/>
      <c r="D163" s="63"/>
      <c r="E163" s="63"/>
      <c r="F163" s="63"/>
      <c r="G163" s="63"/>
      <c r="H163" s="63"/>
      <c r="I163" s="63"/>
      <c r="J163" s="63"/>
      <c r="K163" s="63"/>
      <c r="T163" s="636" t="s">
        <v>271</v>
      </c>
      <c r="W163" s="675">
        <f>W72</f>
        <v>1231351</v>
      </c>
      <c r="X163" s="671">
        <f>X32+X38+X56+X148+X139</f>
        <v>34372135.340000004</v>
      </c>
      <c r="Y163" s="631"/>
      <c r="Z163" s="631"/>
      <c r="AA163" s="631"/>
      <c r="AB163" s="631"/>
      <c r="AC163" s="631"/>
      <c r="AD163" s="631"/>
    </row>
    <row r="164" spans="3:30">
      <c r="C164" s="63"/>
      <c r="D164" s="63"/>
      <c r="E164" s="63"/>
      <c r="F164" s="63"/>
      <c r="G164" s="63"/>
      <c r="H164" s="63"/>
      <c r="I164" s="63"/>
      <c r="J164" s="63"/>
      <c r="K164" s="63"/>
      <c r="T164" s="636" t="s">
        <v>74</v>
      </c>
      <c r="W164" s="636"/>
      <c r="X164" s="671">
        <f>X47</f>
        <v>6262957</v>
      </c>
      <c r="Y164" s="631"/>
      <c r="Z164" s="631"/>
      <c r="AA164" s="631"/>
      <c r="AB164" s="631"/>
      <c r="AC164" s="631"/>
      <c r="AD164" s="631"/>
    </row>
    <row r="165" spans="3:30">
      <c r="C165" s="63"/>
      <c r="D165" s="63"/>
      <c r="E165" s="63"/>
      <c r="F165" s="63"/>
      <c r="G165" s="63"/>
      <c r="H165" s="63"/>
      <c r="I165" s="63"/>
      <c r="J165" s="63"/>
      <c r="K165" s="63"/>
      <c r="T165" s="636" t="s">
        <v>272</v>
      </c>
      <c r="W165" s="636">
        <v>0</v>
      </c>
      <c r="X165" s="671">
        <f>+X138</f>
        <v>112799</v>
      </c>
      <c r="Y165" s="631"/>
      <c r="Z165" s="631"/>
      <c r="AA165" s="631"/>
      <c r="AB165" s="631"/>
      <c r="AC165" s="631"/>
      <c r="AD165" s="631"/>
    </row>
    <row r="166" spans="3:30">
      <c r="C166" s="63"/>
      <c r="D166" s="63"/>
      <c r="E166" s="63"/>
      <c r="F166" s="63"/>
      <c r="G166" s="63"/>
      <c r="H166" s="63"/>
      <c r="I166" s="63"/>
      <c r="J166" s="63"/>
      <c r="K166" s="63"/>
      <c r="T166" s="636" t="s">
        <v>196</v>
      </c>
      <c r="W166" s="671">
        <f>+W95+W108+W122+W182+W195+W89</f>
        <v>1295038.14753125</v>
      </c>
      <c r="X166" s="671">
        <f>X66+X115+X140+X79</f>
        <v>62399.481039819082</v>
      </c>
      <c r="Y166" s="631"/>
      <c r="Z166" s="631"/>
      <c r="AA166" s="631"/>
      <c r="AB166" s="631"/>
      <c r="AC166" s="631"/>
      <c r="AD166" s="631"/>
    </row>
    <row r="167" spans="3:30">
      <c r="C167" s="63"/>
      <c r="D167" s="63"/>
      <c r="E167" s="63"/>
      <c r="F167" s="63"/>
      <c r="G167" s="63"/>
      <c r="H167" s="63"/>
      <c r="I167" s="63"/>
      <c r="J167" s="63"/>
      <c r="K167" s="63"/>
      <c r="T167" s="636" t="s">
        <v>157</v>
      </c>
      <c r="W167" s="671">
        <f>W87+W114+W46+W147+W133+W63+W64+W31+W81</f>
        <v>1945619.6285085953</v>
      </c>
      <c r="X167" s="671">
        <f>X81+X123+X135+X136+X184+X196+X109+X100+X87</f>
        <v>4608692.9375312505</v>
      </c>
      <c r="Y167" s="631"/>
      <c r="Z167" s="631"/>
      <c r="AA167" s="631"/>
      <c r="AB167" s="631"/>
      <c r="AC167" s="631"/>
      <c r="AD167" s="631"/>
    </row>
    <row r="168" spans="3:30">
      <c r="C168" s="63"/>
      <c r="D168" s="63"/>
      <c r="E168" s="63"/>
      <c r="F168" s="63"/>
      <c r="G168" s="63"/>
      <c r="H168" s="63"/>
      <c r="I168" s="63"/>
      <c r="J168" s="63"/>
      <c r="K168" s="63"/>
      <c r="T168" s="635" t="s">
        <v>228</v>
      </c>
      <c r="W168" s="671">
        <f>W65+W88+W80</f>
        <v>12963.76113122172</v>
      </c>
      <c r="X168" s="671">
        <f>X80+X88+X102+X124+X137+X65+X185+X197</f>
        <v>1178171.1535999998</v>
      </c>
      <c r="Y168" s="631">
        <f>+X168-W168</f>
        <v>1165207.3924687782</v>
      </c>
      <c r="Z168" s="631"/>
      <c r="AA168" s="631"/>
      <c r="AB168" s="631"/>
      <c r="AC168" s="631"/>
      <c r="AD168" s="631"/>
    </row>
    <row r="169" spans="3:30">
      <c r="C169" s="63"/>
      <c r="D169" s="63"/>
      <c r="E169" s="63"/>
      <c r="F169" s="63"/>
      <c r="G169" s="63"/>
      <c r="H169" s="63"/>
      <c r="I169" s="63"/>
      <c r="J169" s="63"/>
      <c r="K169" s="63"/>
      <c r="T169" s="635" t="s">
        <v>379</v>
      </c>
      <c r="W169" s="631">
        <f>W146</f>
        <v>0</v>
      </c>
      <c r="X169" s="671">
        <f>X73+X146</f>
        <v>1276594.05</v>
      </c>
      <c r="Y169" s="631"/>
      <c r="Z169" s="631"/>
      <c r="AA169" s="631"/>
      <c r="AB169" s="631"/>
      <c r="AC169" s="631"/>
      <c r="AD169" s="631"/>
    </row>
    <row r="170" spans="3:30">
      <c r="C170" s="63"/>
      <c r="D170" s="63"/>
      <c r="E170" s="63"/>
      <c r="F170" s="63"/>
      <c r="G170" s="63"/>
      <c r="H170" s="63"/>
      <c r="I170" s="63"/>
      <c r="J170" s="63"/>
      <c r="K170" s="63"/>
      <c r="T170" s="635" t="s">
        <v>421</v>
      </c>
      <c r="W170" s="671">
        <f>W183</f>
        <v>274690</v>
      </c>
      <c r="X170" s="631"/>
      <c r="Y170" s="631"/>
      <c r="Z170" s="631"/>
      <c r="AA170" s="631"/>
      <c r="AB170" s="631"/>
      <c r="AC170" s="631"/>
      <c r="AD170" s="631"/>
    </row>
    <row r="171" spans="3:30">
      <c r="C171" s="63"/>
      <c r="D171" s="63"/>
      <c r="E171" s="63"/>
      <c r="F171" s="63"/>
      <c r="G171" s="63"/>
      <c r="H171" s="63"/>
      <c r="I171" s="63"/>
      <c r="J171" s="63"/>
      <c r="K171" s="63"/>
      <c r="T171" s="635" t="s">
        <v>20</v>
      </c>
      <c r="W171" s="631"/>
      <c r="X171" s="671">
        <f>X134+X101</f>
        <v>98007.225000000006</v>
      </c>
      <c r="Y171" s="631"/>
      <c r="Z171" s="631"/>
      <c r="AA171" s="631"/>
      <c r="AB171" s="631"/>
      <c r="AC171" s="631"/>
      <c r="AD171" s="631"/>
    </row>
    <row r="172" spans="3:30">
      <c r="C172" s="63"/>
      <c r="D172" s="63"/>
      <c r="E172" s="63"/>
      <c r="F172" s="63"/>
      <c r="G172" s="63"/>
      <c r="H172" s="63"/>
      <c r="I172" s="63"/>
      <c r="J172" s="63"/>
      <c r="K172" s="63"/>
      <c r="V172" s="631"/>
      <c r="W172" s="637">
        <f>SUM(W160:W171)</f>
        <v>47971756.187171064</v>
      </c>
      <c r="X172" s="637">
        <f>SUM(X160:X171)</f>
        <v>47971756.187171072</v>
      </c>
      <c r="Y172" s="631"/>
      <c r="Z172" s="631"/>
      <c r="AA172" s="631"/>
      <c r="AB172" s="631"/>
      <c r="AC172" s="631"/>
      <c r="AD172" s="631"/>
    </row>
    <row r="173" spans="3:30">
      <c r="C173" s="63"/>
      <c r="D173" s="63"/>
      <c r="E173" s="63"/>
      <c r="F173" s="63"/>
      <c r="G173" s="63"/>
      <c r="H173" s="63"/>
      <c r="I173" s="63"/>
      <c r="J173" s="63"/>
      <c r="K173" s="63"/>
      <c r="V173" s="631"/>
      <c r="W173" s="631"/>
      <c r="X173" s="631"/>
      <c r="Y173" s="631"/>
      <c r="Z173" s="631"/>
      <c r="AA173" s="631"/>
      <c r="AB173" s="631"/>
      <c r="AC173" s="631"/>
      <c r="AD173" s="631"/>
    </row>
    <row r="174" spans="3:30">
      <c r="C174" s="63"/>
      <c r="D174" s="63"/>
      <c r="E174" s="63"/>
      <c r="F174" s="63"/>
      <c r="G174" s="63"/>
      <c r="H174" s="63"/>
      <c r="I174" s="63"/>
      <c r="J174" s="63"/>
      <c r="K174" s="63"/>
      <c r="V174" s="631"/>
      <c r="W174" s="631">
        <f>W155-W172</f>
        <v>-1281762</v>
      </c>
      <c r="X174" s="631">
        <f>X155-X172</f>
        <v>-1281762.0000000075</v>
      </c>
      <c r="Y174" s="631"/>
      <c r="Z174" s="631"/>
      <c r="AA174" s="631"/>
      <c r="AB174" s="631"/>
      <c r="AC174" s="631"/>
      <c r="AD174" s="631"/>
    </row>
    <row r="175" spans="3:30">
      <c r="C175" s="63"/>
      <c r="D175" s="63"/>
      <c r="E175" s="63"/>
      <c r="F175" s="63"/>
      <c r="G175" s="63"/>
      <c r="H175" s="63"/>
      <c r="I175" s="63"/>
      <c r="J175" s="63"/>
      <c r="K175" s="63"/>
      <c r="V175" s="631"/>
      <c r="W175" s="631"/>
      <c r="X175" s="631"/>
      <c r="Y175" s="631"/>
      <c r="Z175" s="631"/>
      <c r="AA175" s="631"/>
      <c r="AB175" s="631"/>
      <c r="AC175" s="631"/>
      <c r="AD175" s="631"/>
    </row>
    <row r="176" spans="3:30">
      <c r="C176" s="63"/>
      <c r="D176" s="63"/>
      <c r="E176" s="63"/>
      <c r="F176" s="63"/>
      <c r="G176" s="63"/>
      <c r="H176" s="63"/>
      <c r="I176" s="63"/>
      <c r="J176" s="63"/>
      <c r="K176" s="63"/>
      <c r="V176" s="631"/>
      <c r="W176" s="631"/>
      <c r="X176" s="631"/>
      <c r="Y176" s="631"/>
      <c r="Z176" s="631"/>
      <c r="AA176" s="631"/>
      <c r="AB176" s="631"/>
      <c r="AC176" s="631"/>
      <c r="AD176" s="631"/>
    </row>
    <row r="177" spans="3:30">
      <c r="C177" s="63"/>
      <c r="D177" s="63"/>
      <c r="E177" s="63"/>
      <c r="F177" s="63"/>
      <c r="G177" s="63"/>
      <c r="H177" s="63"/>
      <c r="I177" s="63"/>
      <c r="J177" s="63"/>
      <c r="K177" s="63"/>
      <c r="V177" s="631"/>
      <c r="W177" s="631">
        <f>W172+'Diario 2015 (a)'!C15+'Diarios Cxc Cxp relac (c)'!D38</f>
        <v>69945074.227764025</v>
      </c>
      <c r="X177" s="631"/>
      <c r="Y177" s="631"/>
      <c r="Z177" s="631"/>
      <c r="AA177" s="631"/>
      <c r="AB177" s="631"/>
      <c r="AC177" s="631"/>
      <c r="AD177" s="631"/>
    </row>
    <row r="178" spans="3:30">
      <c r="C178" s="63"/>
      <c r="D178" s="63"/>
      <c r="E178" s="63"/>
      <c r="F178" s="63"/>
      <c r="G178" s="63"/>
      <c r="H178" s="63"/>
      <c r="I178" s="63"/>
      <c r="J178" s="63"/>
      <c r="K178" s="63"/>
      <c r="V178" s="631"/>
      <c r="W178" s="631"/>
      <c r="X178" s="631"/>
      <c r="Y178" s="631"/>
      <c r="Z178" s="631"/>
      <c r="AA178" s="631"/>
      <c r="AB178" s="631"/>
      <c r="AC178" s="631"/>
      <c r="AD178" s="631"/>
    </row>
    <row r="179" spans="3:30">
      <c r="C179" s="63"/>
      <c r="D179" s="63"/>
      <c r="E179" s="63"/>
      <c r="F179" s="63"/>
      <c r="G179" s="63"/>
      <c r="H179" s="63"/>
      <c r="I179" s="63"/>
      <c r="J179" s="63"/>
      <c r="K179" s="63"/>
      <c r="T179" s="609"/>
      <c r="U179" s="609"/>
      <c r="V179" s="611"/>
      <c r="W179" s="611"/>
      <c r="X179" s="611"/>
      <c r="Y179" s="611"/>
      <c r="Z179" s="631"/>
      <c r="AA179" s="631"/>
      <c r="AB179" s="631"/>
      <c r="AC179" s="631"/>
      <c r="AD179" s="631"/>
    </row>
    <row r="180" spans="3:30">
      <c r="C180" s="63"/>
      <c r="D180" s="63"/>
      <c r="E180" s="63"/>
      <c r="F180" s="63"/>
      <c r="G180" s="63"/>
      <c r="H180" s="63"/>
      <c r="I180" s="63"/>
      <c r="J180" s="63"/>
      <c r="K180" s="63"/>
      <c r="T180" s="660" t="s">
        <v>413</v>
      </c>
      <c r="U180" s="609"/>
      <c r="V180" s="611"/>
      <c r="W180" s="611"/>
      <c r="X180" s="611"/>
      <c r="Y180" s="611"/>
      <c r="Z180" s="631"/>
      <c r="AA180" s="631"/>
      <c r="AB180" s="631"/>
      <c r="AC180" s="631"/>
      <c r="AD180" s="631"/>
    </row>
    <row r="181" spans="3:30">
      <c r="C181" s="63"/>
      <c r="D181" s="63"/>
      <c r="E181" s="63"/>
      <c r="F181" s="63"/>
      <c r="G181" s="63"/>
      <c r="H181" s="63"/>
      <c r="I181" s="63"/>
      <c r="J181" s="63"/>
      <c r="K181" s="63"/>
      <c r="T181" s="990" t="s">
        <v>25</v>
      </c>
      <c r="U181" s="991"/>
      <c r="V181" s="638" t="s">
        <v>45</v>
      </c>
      <c r="W181" s="639" t="s">
        <v>26</v>
      </c>
      <c r="X181" s="640" t="s">
        <v>27</v>
      </c>
      <c r="Y181" s="611"/>
      <c r="Z181" s="631"/>
      <c r="AA181" s="631"/>
      <c r="AB181" s="631"/>
      <c r="AC181" s="631"/>
      <c r="AD181" s="631"/>
    </row>
    <row r="182" spans="3:30">
      <c r="C182" s="63"/>
      <c r="D182" s="63"/>
      <c r="E182" s="63"/>
      <c r="F182" s="63"/>
      <c r="G182" s="63"/>
      <c r="H182" s="63"/>
      <c r="I182" s="63"/>
      <c r="J182" s="63"/>
      <c r="K182" s="63"/>
      <c r="T182" s="644" t="s">
        <v>196</v>
      </c>
      <c r="U182" s="645"/>
      <c r="V182" s="641" t="s">
        <v>204</v>
      </c>
      <c r="W182" s="646">
        <f>SUM(X184:X185)-W183</f>
        <v>593830</v>
      </c>
      <c r="X182" s="669"/>
      <c r="Y182" s="611"/>
      <c r="Z182" s="631"/>
      <c r="AA182" s="631"/>
      <c r="AB182" s="631"/>
      <c r="AC182" s="631"/>
      <c r="AD182" s="631"/>
    </row>
    <row r="183" spans="3:30">
      <c r="C183" s="63"/>
      <c r="D183" s="63"/>
      <c r="E183" s="63"/>
      <c r="F183" s="63"/>
      <c r="G183" s="63"/>
      <c r="H183" s="63"/>
      <c r="I183" s="63"/>
      <c r="J183" s="63"/>
      <c r="K183" s="63"/>
      <c r="T183" s="641" t="s">
        <v>415</v>
      </c>
      <c r="U183" s="609"/>
      <c r="V183" s="641" t="s">
        <v>415</v>
      </c>
      <c r="W183" s="646">
        <f>'Variación Patrimonio 2017-2016'!E163</f>
        <v>274690</v>
      </c>
      <c r="X183" s="669"/>
      <c r="Y183" s="611"/>
      <c r="Z183" s="631"/>
      <c r="AA183" s="631"/>
      <c r="AB183" s="631"/>
      <c r="AC183" s="631"/>
      <c r="AD183" s="631"/>
    </row>
    <row r="184" spans="3:30">
      <c r="C184" s="63"/>
      <c r="D184" s="63"/>
      <c r="E184" s="63"/>
      <c r="F184" s="63"/>
      <c r="G184" s="63"/>
      <c r="H184" s="63"/>
      <c r="I184" s="63"/>
      <c r="J184" s="63"/>
      <c r="K184" s="63"/>
      <c r="T184" s="644" t="s">
        <v>412</v>
      </c>
      <c r="U184" s="645"/>
      <c r="V184" s="641"/>
      <c r="W184" s="670"/>
      <c r="X184" s="659">
        <f>-'Variación Patrimonio 2017-2016'!E165</f>
        <v>860421</v>
      </c>
      <c r="Y184" s="611"/>
      <c r="Z184" s="631"/>
      <c r="AA184" s="631"/>
      <c r="AB184" s="631"/>
      <c r="AC184" s="631"/>
      <c r="AD184" s="631"/>
    </row>
    <row r="185" spans="3:30">
      <c r="C185" s="63"/>
      <c r="D185" s="63"/>
      <c r="E185" s="63"/>
      <c r="F185" s="63"/>
      <c r="G185" s="63"/>
      <c r="H185" s="63"/>
      <c r="I185" s="63"/>
      <c r="J185" s="63"/>
      <c r="K185" s="63"/>
      <c r="T185" s="992" t="s">
        <v>228</v>
      </c>
      <c r="U185" s="993"/>
      <c r="V185" s="648" t="s">
        <v>158</v>
      </c>
      <c r="W185" s="649"/>
      <c r="X185" s="650">
        <f>-'Variación Patrimonio 2017-2016'!E166</f>
        <v>8099</v>
      </c>
      <c r="Y185" s="611"/>
      <c r="Z185" s="631"/>
      <c r="AA185" s="631"/>
      <c r="AB185" s="631"/>
      <c r="AC185" s="631"/>
      <c r="AD185" s="631"/>
    </row>
    <row r="186" spans="3:30">
      <c r="C186" s="63"/>
      <c r="D186" s="63"/>
      <c r="E186" s="63"/>
      <c r="F186" s="63"/>
      <c r="G186" s="63"/>
      <c r="H186" s="63"/>
      <c r="I186" s="63"/>
      <c r="J186" s="63"/>
      <c r="K186" s="63"/>
      <c r="T186" s="676"/>
      <c r="U186" s="676"/>
      <c r="V186" s="633"/>
      <c r="W186" s="668"/>
      <c r="X186" s="668"/>
      <c r="Y186" s="611"/>
      <c r="Z186" s="631"/>
      <c r="AA186" s="631"/>
      <c r="AB186" s="631"/>
      <c r="AC186" s="631"/>
      <c r="AD186" s="631"/>
    </row>
    <row r="187" spans="3:30">
      <c r="C187" s="63"/>
      <c r="D187" s="63"/>
      <c r="E187" s="63"/>
      <c r="F187" s="63"/>
      <c r="G187" s="63"/>
      <c r="H187" s="63"/>
      <c r="I187" s="63"/>
      <c r="J187" s="63"/>
      <c r="K187" s="63"/>
      <c r="T187" s="676"/>
      <c r="U187" s="676"/>
      <c r="V187" s="633"/>
      <c r="W187" s="668">
        <f>SUM(W182:W186)</f>
        <v>868520</v>
      </c>
      <c r="X187" s="668">
        <f>SUM(X182:X186)</f>
        <v>868520</v>
      </c>
      <c r="Y187" s="611"/>
      <c r="Z187" s="631"/>
      <c r="AA187" s="631"/>
      <c r="AB187" s="631"/>
      <c r="AC187" s="631"/>
      <c r="AD187" s="631"/>
    </row>
    <row r="188" spans="3:30">
      <c r="C188" s="63"/>
      <c r="D188" s="63"/>
      <c r="E188" s="63"/>
      <c r="F188" s="63"/>
      <c r="G188" s="63"/>
      <c r="H188" s="63"/>
      <c r="I188" s="63"/>
      <c r="J188" s="63"/>
      <c r="K188" s="63"/>
      <c r="T188" s="676"/>
      <c r="U188" s="676"/>
      <c r="V188" s="633"/>
      <c r="W188" s="668"/>
      <c r="X188" s="668"/>
      <c r="Y188" s="611"/>
      <c r="Z188" s="631"/>
      <c r="AA188" s="631"/>
      <c r="AB188" s="631"/>
      <c r="AC188" s="631"/>
      <c r="AD188" s="631"/>
    </row>
    <row r="189" spans="3:30">
      <c r="C189" s="63"/>
      <c r="D189" s="63"/>
      <c r="E189" s="63"/>
      <c r="F189" s="63"/>
      <c r="G189" s="63"/>
      <c r="H189" s="63"/>
      <c r="I189" s="63"/>
      <c r="J189" s="63"/>
      <c r="K189" s="63"/>
      <c r="T189" s="676"/>
      <c r="U189" s="676"/>
      <c r="V189" s="633"/>
      <c r="W189" s="668"/>
      <c r="X189" s="668"/>
      <c r="Y189" s="611"/>
      <c r="Z189" s="631"/>
      <c r="AA189" s="631"/>
      <c r="AB189" s="631"/>
      <c r="AC189" s="631"/>
      <c r="AD189" s="631"/>
    </row>
    <row r="190" spans="3:30" hidden="1">
      <c r="C190" s="63"/>
      <c r="D190" s="63"/>
      <c r="E190" s="63"/>
      <c r="F190" s="63"/>
      <c r="G190" s="63"/>
      <c r="H190" s="63"/>
      <c r="I190" s="63"/>
      <c r="J190" s="63"/>
      <c r="K190" s="63"/>
      <c r="T190" s="623"/>
      <c r="U190" s="609"/>
      <c r="V190" s="628"/>
      <c r="W190" s="651">
        <f>SUM(W182:W189)</f>
        <v>1737040</v>
      </c>
      <c r="X190" s="651">
        <f>SUM(X182:X189)</f>
        <v>1737040</v>
      </c>
      <c r="Y190" s="611"/>
      <c r="Z190" s="631"/>
      <c r="AA190" s="631">
        <f>W64-X81+W87+W114+W63</f>
        <v>785555.55240000004</v>
      </c>
      <c r="AB190" s="631" t="s">
        <v>297</v>
      </c>
      <c r="AC190" s="631"/>
      <c r="AD190" s="631"/>
    </row>
    <row r="191" spans="3:30" hidden="1">
      <c r="C191" s="63"/>
      <c r="D191" s="63"/>
      <c r="E191" s="63"/>
      <c r="F191" s="63"/>
      <c r="G191" s="63"/>
      <c r="H191" s="63"/>
      <c r="I191" s="63"/>
      <c r="J191" s="63"/>
      <c r="K191" s="63"/>
      <c r="T191" s="609"/>
      <c r="U191" s="609"/>
      <c r="V191" s="611"/>
      <c r="W191" s="611"/>
      <c r="X191" s="611"/>
      <c r="Y191" s="611"/>
      <c r="Z191" s="631"/>
      <c r="AA191" s="631">
        <f>W133+W147-X136-'Diarios Cxc Cxp relac (c)'!E37</f>
        <v>268279.21999999997</v>
      </c>
      <c r="AB191" s="631" t="s">
        <v>298</v>
      </c>
      <c r="AC191" s="631"/>
      <c r="AD191" s="631"/>
    </row>
    <row r="192" spans="3:30" hidden="1">
      <c r="C192" s="63"/>
      <c r="D192" s="63"/>
      <c r="E192" s="63"/>
      <c r="F192" s="63"/>
      <c r="G192" s="63"/>
      <c r="H192" s="63"/>
      <c r="I192" s="63"/>
      <c r="J192" s="63"/>
      <c r="K192" s="63"/>
      <c r="T192" s="609"/>
      <c r="U192" s="609"/>
      <c r="V192" s="611"/>
      <c r="W192" s="611"/>
      <c r="X192" s="611"/>
      <c r="Y192" s="611"/>
      <c r="Z192" s="631"/>
      <c r="AA192" s="631"/>
      <c r="AB192" s="631"/>
      <c r="AC192" s="631"/>
      <c r="AD192" s="631"/>
    </row>
    <row r="193" spans="1:30">
      <c r="C193" s="63"/>
      <c r="D193" s="63"/>
      <c r="E193" s="63"/>
      <c r="F193" s="63"/>
      <c r="G193" s="63"/>
      <c r="H193" s="63"/>
      <c r="I193" s="63"/>
      <c r="J193" s="63"/>
      <c r="K193" s="63"/>
      <c r="T193" s="660" t="s">
        <v>414</v>
      </c>
      <c r="U193" s="609"/>
      <c r="V193" s="611"/>
      <c r="W193" s="611"/>
      <c r="X193" s="611"/>
      <c r="Y193" s="611"/>
      <c r="Z193" s="631"/>
      <c r="AA193" s="631"/>
      <c r="AB193" s="631"/>
      <c r="AC193" s="631"/>
      <c r="AD193" s="631"/>
    </row>
    <row r="194" spans="1:30">
      <c r="C194" s="63"/>
      <c r="D194" s="63"/>
      <c r="E194" s="63"/>
      <c r="F194" s="63"/>
      <c r="G194" s="63"/>
      <c r="H194" s="63"/>
      <c r="I194" s="63"/>
      <c r="J194" s="63"/>
      <c r="K194" s="63"/>
      <c r="T194" s="990" t="s">
        <v>25</v>
      </c>
      <c r="U194" s="991"/>
      <c r="V194" s="638" t="s">
        <v>45</v>
      </c>
      <c r="W194" s="639" t="s">
        <v>26</v>
      </c>
      <c r="X194" s="640" t="s">
        <v>27</v>
      </c>
      <c r="Y194" s="611"/>
      <c r="Z194" s="631"/>
      <c r="AA194" s="631"/>
      <c r="AB194" s="631"/>
      <c r="AC194" s="631"/>
      <c r="AD194" s="631"/>
    </row>
    <row r="195" spans="1:30">
      <c r="C195" s="63"/>
      <c r="D195" s="63"/>
      <c r="E195" s="63"/>
      <c r="F195" s="63"/>
      <c r="G195" s="63"/>
      <c r="H195" s="63"/>
      <c r="I195" s="63"/>
      <c r="J195" s="63"/>
      <c r="K195" s="63"/>
      <c r="T195" s="644" t="s">
        <v>196</v>
      </c>
      <c r="U195" s="645"/>
      <c r="V195" s="641" t="s">
        <v>204</v>
      </c>
      <c r="W195" s="646">
        <f>SUM(X196:X197)</f>
        <v>413242</v>
      </c>
      <c r="X195" s="669"/>
      <c r="Y195" s="611"/>
      <c r="Z195" s="631"/>
      <c r="AA195" s="631"/>
      <c r="AB195" s="631"/>
      <c r="AC195" s="631"/>
      <c r="AD195" s="631"/>
    </row>
    <row r="196" spans="1:30">
      <c r="C196" s="63"/>
      <c r="D196" s="63"/>
      <c r="E196" s="63"/>
      <c r="F196" s="63"/>
      <c r="G196" s="63"/>
      <c r="H196" s="63"/>
      <c r="I196" s="63"/>
      <c r="J196" s="63"/>
      <c r="K196" s="63"/>
      <c r="T196" s="644" t="s">
        <v>412</v>
      </c>
      <c r="U196" s="645"/>
      <c r="V196" s="641"/>
      <c r="W196" s="670"/>
      <c r="X196" s="659">
        <f>-'Variación Patrimonio 2017-2016'!E190</f>
        <v>144335</v>
      </c>
      <c r="Y196" s="611"/>
      <c r="Z196" s="631"/>
      <c r="AA196" s="631"/>
      <c r="AB196" s="631"/>
      <c r="AC196" s="631"/>
      <c r="AD196" s="631"/>
    </row>
    <row r="197" spans="1:30">
      <c r="C197" s="63"/>
      <c r="D197" s="63"/>
      <c r="E197" s="63"/>
      <c r="F197" s="63"/>
      <c r="G197" s="63"/>
      <c r="H197" s="63"/>
      <c r="I197" s="63"/>
      <c r="J197" s="63"/>
      <c r="K197" s="63"/>
      <c r="T197" s="992" t="s">
        <v>228</v>
      </c>
      <c r="U197" s="993"/>
      <c r="V197" s="648" t="s">
        <v>158</v>
      </c>
      <c r="W197" s="649"/>
      <c r="X197" s="650">
        <f>-'Variación Patrimonio 2017-2016'!E191</f>
        <v>268907</v>
      </c>
      <c r="Y197" s="611"/>
      <c r="Z197" s="631"/>
      <c r="AA197" s="631"/>
      <c r="AB197" s="631"/>
      <c r="AC197" s="631"/>
      <c r="AD197" s="631"/>
    </row>
    <row r="198" spans="1:30">
      <c r="C198" s="63"/>
      <c r="D198" s="63"/>
      <c r="E198" s="63"/>
      <c r="F198" s="63"/>
      <c r="G198" s="63"/>
      <c r="H198" s="63"/>
      <c r="I198" s="63"/>
      <c r="J198" s="63"/>
      <c r="K198" s="63"/>
      <c r="T198" s="623"/>
      <c r="U198" s="609"/>
      <c r="V198" s="628"/>
      <c r="W198" s="623"/>
      <c r="X198" s="623"/>
      <c r="Y198" s="611"/>
      <c r="Z198" s="631"/>
      <c r="AA198" s="631"/>
      <c r="AB198" s="631"/>
      <c r="AC198" s="631"/>
      <c r="AD198" s="631"/>
    </row>
    <row r="199" spans="1:30">
      <c r="C199" s="63"/>
      <c r="D199" s="63"/>
      <c r="E199" s="63"/>
      <c r="F199" s="63"/>
      <c r="G199" s="63"/>
      <c r="H199" s="63"/>
      <c r="I199" s="63"/>
      <c r="J199" s="63"/>
      <c r="K199" s="63"/>
      <c r="T199" s="623"/>
      <c r="U199" s="609"/>
      <c r="V199" s="628"/>
      <c r="W199" s="651">
        <f>SUM(W195:W198)</f>
        <v>413242</v>
      </c>
      <c r="X199" s="651">
        <f>SUM(X195:X198)</f>
        <v>413242</v>
      </c>
      <c r="Y199" s="611"/>
      <c r="Z199" s="631"/>
      <c r="AA199" s="631"/>
      <c r="AB199" s="631"/>
      <c r="AC199" s="631"/>
      <c r="AD199" s="631"/>
    </row>
    <row r="200" spans="1:30">
      <c r="C200" s="63"/>
      <c r="D200" s="63"/>
      <c r="E200" s="63"/>
      <c r="F200" s="63"/>
      <c r="G200" s="63"/>
      <c r="H200" s="63"/>
      <c r="I200" s="63"/>
      <c r="J200" s="63"/>
      <c r="K200" s="63"/>
      <c r="T200" s="609"/>
      <c r="U200" s="609"/>
      <c r="V200" s="611"/>
      <c r="W200" s="611"/>
      <c r="X200" s="611"/>
      <c r="Y200" s="611"/>
      <c r="Z200" s="631"/>
      <c r="AA200" s="631"/>
      <c r="AB200" s="631"/>
      <c r="AC200" s="631"/>
      <c r="AD200" s="631"/>
    </row>
    <row r="201" spans="1:30">
      <c r="C201" s="63"/>
      <c r="D201" s="63"/>
      <c r="E201" s="63"/>
      <c r="F201" s="63"/>
      <c r="G201" s="63"/>
      <c r="H201" s="63"/>
      <c r="I201" s="63"/>
      <c r="J201" s="63"/>
      <c r="K201" s="63"/>
      <c r="T201" s="609"/>
      <c r="U201" s="609"/>
      <c r="V201" s="611"/>
      <c r="W201" s="611"/>
      <c r="X201" s="611"/>
      <c r="Y201" s="611"/>
      <c r="Z201" s="631"/>
      <c r="AA201" s="631"/>
      <c r="AB201" s="631"/>
      <c r="AC201" s="631"/>
      <c r="AD201" s="631"/>
    </row>
    <row r="202" spans="1:30">
      <c r="C202" s="63"/>
      <c r="D202" s="63"/>
      <c r="E202" s="63"/>
      <c r="F202" s="63"/>
      <c r="G202" s="63"/>
      <c r="H202" s="63"/>
      <c r="I202" s="63"/>
      <c r="J202" s="63"/>
      <c r="K202" s="63"/>
      <c r="T202" s="609"/>
      <c r="U202" s="609"/>
      <c r="V202" s="611"/>
      <c r="W202" s="611">
        <f>W155+W187+W199</f>
        <v>47971756.187171064</v>
      </c>
      <c r="X202" s="611">
        <f>X155+X187+X199</f>
        <v>47971756.187171064</v>
      </c>
      <c r="Y202" s="611"/>
      <c r="Z202" s="631"/>
      <c r="AA202" s="631"/>
      <c r="AB202" s="631"/>
      <c r="AC202" s="631"/>
      <c r="AD202" s="631"/>
    </row>
    <row r="203" spans="1:30">
      <c r="A203" s="609"/>
      <c r="B203" s="609"/>
      <c r="C203" s="611"/>
      <c r="D203" s="611"/>
      <c r="E203" s="611"/>
      <c r="F203" s="611"/>
    </row>
  </sheetData>
  <mergeCells count="51">
    <mergeCell ref="T115:U115"/>
    <mergeCell ref="T121:U121"/>
    <mergeCell ref="T124:U124"/>
    <mergeCell ref="T71:U71"/>
    <mergeCell ref="T72:U72"/>
    <mergeCell ref="T73:U73"/>
    <mergeCell ref="T80:U80"/>
    <mergeCell ref="T113:U113"/>
    <mergeCell ref="T109:U109"/>
    <mergeCell ref="T43:U43"/>
    <mergeCell ref="T48:U48"/>
    <mergeCell ref="T54:U54"/>
    <mergeCell ref="T55:U55"/>
    <mergeCell ref="T56:U56"/>
    <mergeCell ref="C7:C8"/>
    <mergeCell ref="D7:D8"/>
    <mergeCell ref="E7:E8"/>
    <mergeCell ref="F7:F8"/>
    <mergeCell ref="G7:G8"/>
    <mergeCell ref="T197:U197"/>
    <mergeCell ref="T130:U130"/>
    <mergeCell ref="T140:U140"/>
    <mergeCell ref="T145:U145"/>
    <mergeCell ref="T61:U61"/>
    <mergeCell ref="T66:U66"/>
    <mergeCell ref="T87:U87"/>
    <mergeCell ref="T89:U89"/>
    <mergeCell ref="T94:U94"/>
    <mergeCell ref="T102:U102"/>
    <mergeCell ref="T107:U107"/>
    <mergeCell ref="T62:U62"/>
    <mergeCell ref="T78:U78"/>
    <mergeCell ref="T79:U79"/>
    <mergeCell ref="T81:U81"/>
    <mergeCell ref="T86:U86"/>
    <mergeCell ref="D96:E96"/>
    <mergeCell ref="H7:H8"/>
    <mergeCell ref="T181:U181"/>
    <mergeCell ref="T185:U185"/>
    <mergeCell ref="T194:U194"/>
    <mergeCell ref="I7:I8"/>
    <mergeCell ref="J7:J8"/>
    <mergeCell ref="K7:K8"/>
    <mergeCell ref="M7:M8"/>
    <mergeCell ref="T30:U30"/>
    <mergeCell ref="T32:U32"/>
    <mergeCell ref="T36:U36"/>
    <mergeCell ref="T37:U37"/>
    <mergeCell ref="T38:U38"/>
    <mergeCell ref="L7:L8"/>
    <mergeCell ref="T29:U29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499984740745262"/>
  </sheetPr>
  <dimension ref="A1:W81"/>
  <sheetViews>
    <sheetView showGridLines="0" zoomScale="80" zoomScaleNormal="80" workbookViewId="0">
      <pane xSplit="1" ySplit="4" topLeftCell="J5" activePane="bottomRight" state="frozen"/>
      <selection activeCell="B10" sqref="B10"/>
      <selection pane="topRight" activeCell="B10" sqref="B10"/>
      <selection pane="bottomLeft" activeCell="B10" sqref="B10"/>
      <selection pane="bottomRight" activeCell="Q18" sqref="Q18"/>
    </sheetView>
  </sheetViews>
  <sheetFormatPr defaultColWidth="11.42578125" defaultRowHeight="12.75"/>
  <cols>
    <col min="1" max="1" width="47.7109375" style="609" bestFit="1" customWidth="1"/>
    <col min="2" max="2" width="20.85546875" style="609" bestFit="1" customWidth="1"/>
    <col min="3" max="3" width="17.140625" style="609" customWidth="1"/>
    <col min="4" max="4" width="19.140625" style="609" customWidth="1"/>
    <col min="5" max="5" width="14.28515625" style="609" bestFit="1" customWidth="1"/>
    <col min="6" max="6" width="14.85546875" style="609" bestFit="1" customWidth="1"/>
    <col min="7" max="7" width="13.7109375" style="609" customWidth="1"/>
    <col min="8" max="8" width="16.28515625" style="609" customWidth="1"/>
    <col min="9" max="9" width="15" style="609" bestFit="1" customWidth="1"/>
    <col min="10" max="10" width="15.85546875" style="609" customWidth="1"/>
    <col min="11" max="11" width="15" style="609" bestFit="1" customWidth="1"/>
    <col min="12" max="12" width="14.85546875" style="609" bestFit="1" customWidth="1"/>
    <col min="13" max="13" width="15.85546875" style="609" customWidth="1"/>
    <col min="14" max="14" width="18" style="609" customWidth="1"/>
    <col min="15" max="15" width="11" style="609" bestFit="1" customWidth="1"/>
    <col min="16" max="17" width="16.42578125" style="609" bestFit="1" customWidth="1"/>
    <col min="18" max="18" width="17.42578125" style="609" customWidth="1"/>
    <col min="19" max="19" width="24.140625" style="609" bestFit="1" customWidth="1"/>
    <col min="20" max="20" width="14.42578125" style="609" customWidth="1"/>
    <col min="21" max="21" width="12" style="609" bestFit="1" customWidth="1"/>
    <col min="22" max="22" width="14" style="609" customWidth="1"/>
    <col min="23" max="23" width="13.28515625" style="609" customWidth="1"/>
    <col min="24" max="16384" width="11.42578125" style="609"/>
  </cols>
  <sheetData>
    <row r="1" spans="1:22">
      <c r="A1" s="318" t="s">
        <v>49</v>
      </c>
      <c r="C1" s="610"/>
    </row>
    <row r="2" spans="1:22">
      <c r="A2" s="321" t="s">
        <v>36</v>
      </c>
      <c r="C2" s="611"/>
    </row>
    <row r="3" spans="1:22" ht="15" customHeight="1">
      <c r="A3" s="322"/>
      <c r="E3" s="610"/>
      <c r="P3" s="1003" t="s">
        <v>11</v>
      </c>
      <c r="Q3" s="1004"/>
    </row>
    <row r="4" spans="1:22" ht="38.25">
      <c r="A4" s="602" t="s">
        <v>4</v>
      </c>
      <c r="B4" s="603" t="s">
        <v>555</v>
      </c>
      <c r="C4" s="603" t="s">
        <v>556</v>
      </c>
      <c r="D4" s="603" t="s">
        <v>557</v>
      </c>
      <c r="E4" s="603" t="s">
        <v>558</v>
      </c>
      <c r="F4" s="603" t="s">
        <v>559</v>
      </c>
      <c r="G4" s="603" t="s">
        <v>560</v>
      </c>
      <c r="H4" s="603" t="s">
        <v>561</v>
      </c>
      <c r="I4" s="603" t="s">
        <v>562</v>
      </c>
      <c r="J4" s="603" t="s">
        <v>563</v>
      </c>
      <c r="K4" s="603" t="s">
        <v>564</v>
      </c>
      <c r="L4" s="603" t="s">
        <v>565</v>
      </c>
      <c r="M4" s="603" t="s">
        <v>566</v>
      </c>
      <c r="N4" s="603" t="s">
        <v>15</v>
      </c>
      <c r="O4" s="603" t="s">
        <v>10</v>
      </c>
      <c r="P4" s="603" t="s">
        <v>12</v>
      </c>
      <c r="Q4" s="603" t="s">
        <v>13</v>
      </c>
      <c r="R4" s="603" t="s">
        <v>567</v>
      </c>
    </row>
    <row r="5" spans="1:22" ht="15.75" customHeight="1">
      <c r="A5" s="5" t="s">
        <v>22</v>
      </c>
      <c r="B5" s="731">
        <v>579546.81000000006</v>
      </c>
      <c r="C5" s="731">
        <v>6893.23</v>
      </c>
      <c r="D5" s="731">
        <v>1428.21</v>
      </c>
      <c r="E5" s="731">
        <v>2689.4</v>
      </c>
      <c r="F5" s="731">
        <v>3845.25</v>
      </c>
      <c r="G5" s="693"/>
      <c r="H5" s="731"/>
      <c r="I5" s="731">
        <v>10000</v>
      </c>
      <c r="J5" s="731"/>
      <c r="K5" s="731">
        <v>2939.22</v>
      </c>
      <c r="L5" s="735">
        <v>7531.2000000000016</v>
      </c>
      <c r="M5" s="731">
        <v>35919</v>
      </c>
      <c r="N5" s="736">
        <f>SUM(B5:M5)</f>
        <v>650792.31999999995</v>
      </c>
      <c r="O5" s="737"/>
      <c r="P5" s="731"/>
      <c r="Q5" s="731"/>
      <c r="R5" s="738">
        <f>N5+P5-Q5</f>
        <v>650792.31999999995</v>
      </c>
      <c r="S5" s="611"/>
    </row>
    <row r="6" spans="1:22" ht="27.75" customHeight="1">
      <c r="A6" s="5" t="s">
        <v>65</v>
      </c>
      <c r="B6" s="731">
        <v>2393444.3199999998</v>
      </c>
      <c r="C6" s="731"/>
      <c r="D6" s="731"/>
      <c r="E6" s="731"/>
      <c r="F6" s="731"/>
      <c r="G6" s="731"/>
      <c r="H6" s="731"/>
      <c r="I6" s="731"/>
      <c r="J6" s="731"/>
      <c r="K6" s="731"/>
      <c r="L6" s="731"/>
      <c r="M6" s="731"/>
      <c r="N6" s="736">
        <f t="shared" ref="N6:N52" si="0">SUM(B6:M6)</f>
        <v>2393444.3199999998</v>
      </c>
      <c r="O6" s="737"/>
      <c r="P6" s="731"/>
      <c r="Q6" s="731"/>
      <c r="R6" s="738">
        <f>N6+P6-Q6</f>
        <v>2393444.3199999998</v>
      </c>
      <c r="S6" s="611"/>
    </row>
    <row r="7" spans="1:22" ht="26.25" customHeight="1">
      <c r="A7" s="5" t="s">
        <v>66</v>
      </c>
      <c r="B7" s="731">
        <v>72811</v>
      </c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6">
        <f t="shared" si="0"/>
        <v>72811</v>
      </c>
      <c r="O7" s="737"/>
      <c r="P7" s="731"/>
      <c r="Q7" s="731"/>
      <c r="R7" s="738">
        <f>N7+P7-Q7</f>
        <v>72811</v>
      </c>
      <c r="S7" s="611"/>
    </row>
    <row r="8" spans="1:22" ht="15.75" customHeight="1">
      <c r="A8" s="5" t="s">
        <v>67</v>
      </c>
      <c r="B8" s="731">
        <v>7451465</v>
      </c>
      <c r="C8" s="731">
        <v>1038743.58</v>
      </c>
      <c r="D8" s="731"/>
      <c r="E8" s="731"/>
      <c r="F8" s="731">
        <f>19327.4-435.11</f>
        <v>18892.29</v>
      </c>
      <c r="G8" s="731"/>
      <c r="H8" s="731"/>
      <c r="I8" s="731"/>
      <c r="J8" s="731"/>
      <c r="K8" s="731">
        <v>139244.6</v>
      </c>
      <c r="L8" s="731">
        <f>135004.74-46413.87</f>
        <v>88590.87</v>
      </c>
      <c r="M8" s="731">
        <v>508449</v>
      </c>
      <c r="N8" s="736">
        <f t="shared" si="0"/>
        <v>9245385.339999998</v>
      </c>
      <c r="O8" s="737"/>
      <c r="P8" s="731"/>
      <c r="Q8" s="731">
        <f>+'Diarios Cxc Cxp relac (c)'!E36</f>
        <v>0</v>
      </c>
      <c r="R8" s="738">
        <f t="shared" ref="R8:R22" si="1">N8+P8-Q8</f>
        <v>9245385.339999998</v>
      </c>
      <c r="S8" s="611"/>
      <c r="T8" s="610"/>
    </row>
    <row r="9" spans="1:22">
      <c r="A9" s="5" t="s">
        <v>5</v>
      </c>
      <c r="B9" s="731">
        <v>43714969</v>
      </c>
      <c r="C9" s="731"/>
      <c r="D9" s="731">
        <v>206183.31</v>
      </c>
      <c r="E9" s="731"/>
      <c r="F9" s="731"/>
      <c r="G9" s="731"/>
      <c r="H9" s="731"/>
      <c r="I9" s="731"/>
      <c r="J9" s="731"/>
      <c r="K9" s="731"/>
      <c r="L9" s="731"/>
      <c r="M9" s="731"/>
      <c r="N9" s="736">
        <f t="shared" si="0"/>
        <v>43921152.310000002</v>
      </c>
      <c r="O9" s="737" t="s">
        <v>654</v>
      </c>
      <c r="P9" s="731"/>
      <c r="Q9" s="731">
        <f>+'Saldos interco. 2018'!E35</f>
        <v>13532178</v>
      </c>
      <c r="R9" s="731">
        <f t="shared" si="1"/>
        <v>30388974.310000002</v>
      </c>
      <c r="S9" s="611"/>
    </row>
    <row r="10" spans="1:22" ht="15.75" customHeight="1">
      <c r="A10" s="5" t="s">
        <v>68</v>
      </c>
      <c r="B10" s="731">
        <v>4870336</v>
      </c>
      <c r="C10" s="778">
        <v>3965966.51</v>
      </c>
      <c r="D10" s="731">
        <v>748255.29</v>
      </c>
      <c r="E10" s="731"/>
      <c r="F10" s="731"/>
      <c r="G10" s="731"/>
      <c r="H10" s="731"/>
      <c r="I10" s="731"/>
      <c r="J10" s="731"/>
      <c r="K10" s="731">
        <v>559.4</v>
      </c>
      <c r="L10" s="731">
        <v>1575.41</v>
      </c>
      <c r="M10" s="731">
        <v>5794</v>
      </c>
      <c r="N10" s="736">
        <f t="shared" si="0"/>
        <v>9592486.6100000013</v>
      </c>
      <c r="O10" s="737"/>
      <c r="P10" s="731"/>
      <c r="Q10" s="731">
        <f>+'Saldos interco. 2018'!E38</f>
        <v>129109</v>
      </c>
      <c r="R10" s="731">
        <f t="shared" si="1"/>
        <v>9463377.6100000013</v>
      </c>
      <c r="S10" s="611"/>
    </row>
    <row r="11" spans="1:22" ht="15.75" customHeight="1">
      <c r="A11" s="5" t="s">
        <v>69</v>
      </c>
      <c r="B11" s="731">
        <v>4637.6499999999996</v>
      </c>
      <c r="C11" s="731"/>
      <c r="D11" s="731">
        <v>75998.52</v>
      </c>
      <c r="E11" s="731">
        <v>130280.91</v>
      </c>
      <c r="F11" s="731">
        <f>84834.91+68836.97</f>
        <v>153671.88</v>
      </c>
      <c r="G11" s="731"/>
      <c r="H11" s="731">
        <v>7988.59</v>
      </c>
      <c r="I11" s="731"/>
      <c r="J11" s="731"/>
      <c r="K11" s="731">
        <v>288551.28000000003</v>
      </c>
      <c r="L11" s="731">
        <v>90076</v>
      </c>
      <c r="M11" s="731">
        <v>8494</v>
      </c>
      <c r="N11" s="736">
        <f t="shared" si="0"/>
        <v>759698.83000000007</v>
      </c>
      <c r="O11" s="737"/>
      <c r="P11" s="731"/>
      <c r="Q11" s="731"/>
      <c r="R11" s="738">
        <f t="shared" si="1"/>
        <v>759698.83000000007</v>
      </c>
      <c r="S11" s="611"/>
    </row>
    <row r="12" spans="1:22" ht="15.75" customHeight="1">
      <c r="A12" s="5" t="s">
        <v>70</v>
      </c>
      <c r="B12" s="731">
        <v>501034</v>
      </c>
      <c r="C12" s="693">
        <v>4845.12</v>
      </c>
      <c r="D12" s="731"/>
      <c r="E12" s="731"/>
      <c r="F12" s="731"/>
      <c r="G12" s="731"/>
      <c r="H12" s="731"/>
      <c r="I12" s="731"/>
      <c r="J12" s="731"/>
      <c r="K12" s="731">
        <v>13778.19</v>
      </c>
      <c r="L12" s="731"/>
      <c r="M12" s="731"/>
      <c r="N12" s="736">
        <f t="shared" si="0"/>
        <v>519657.31</v>
      </c>
      <c r="O12" s="737"/>
      <c r="P12" s="731"/>
      <c r="Q12" s="731"/>
      <c r="R12" s="738">
        <f t="shared" si="1"/>
        <v>519657.31</v>
      </c>
      <c r="S12" s="611"/>
    </row>
    <row r="13" spans="1:22" ht="15.75" customHeight="1">
      <c r="A13" s="5" t="s">
        <v>6</v>
      </c>
      <c r="B13" s="731">
        <v>23914705.34</v>
      </c>
      <c r="C13" s="731"/>
      <c r="D13" s="731"/>
      <c r="E13" s="731"/>
      <c r="F13" s="731"/>
      <c r="G13" s="731"/>
      <c r="H13" s="731"/>
      <c r="I13" s="731"/>
      <c r="J13" s="731"/>
      <c r="K13" s="731">
        <v>498910.76</v>
      </c>
      <c r="L13" s="731"/>
      <c r="M13" s="731"/>
      <c r="N13" s="736">
        <f t="shared" si="0"/>
        <v>24413616.100000001</v>
      </c>
      <c r="O13" s="737"/>
      <c r="P13" s="731"/>
      <c r="Q13" s="731"/>
      <c r="R13" s="738">
        <f t="shared" si="1"/>
        <v>24413616.100000001</v>
      </c>
      <c r="S13" s="611"/>
    </row>
    <row r="14" spans="1:22" ht="15.75" customHeight="1">
      <c r="A14" s="5" t="s">
        <v>283</v>
      </c>
      <c r="B14" s="731">
        <v>3150764</v>
      </c>
      <c r="C14" s="731"/>
      <c r="D14" s="731"/>
      <c r="E14" s="731"/>
      <c r="F14" s="731"/>
      <c r="G14" s="731"/>
      <c r="H14" s="731"/>
      <c r="I14" s="731"/>
      <c r="J14" s="731"/>
      <c r="K14" s="731"/>
      <c r="L14" s="731"/>
      <c r="M14" s="731"/>
      <c r="N14" s="736">
        <f t="shared" si="0"/>
        <v>3150764</v>
      </c>
      <c r="O14" s="737"/>
      <c r="P14" s="731"/>
      <c r="Q14" s="731">
        <f>+'Saldos interco. 2018'!E36</f>
        <v>0</v>
      </c>
      <c r="R14" s="731">
        <f t="shared" si="1"/>
        <v>3150764</v>
      </c>
      <c r="S14" s="611"/>
    </row>
    <row r="15" spans="1:22" ht="15.75" customHeight="1">
      <c r="A15" s="5" t="s">
        <v>72</v>
      </c>
      <c r="B15" s="731">
        <v>1449893</v>
      </c>
      <c r="C15" s="731"/>
      <c r="D15" s="731"/>
      <c r="E15" s="731"/>
      <c r="F15" s="731"/>
      <c r="G15" s="731"/>
      <c r="H15" s="731"/>
      <c r="I15" s="731"/>
      <c r="J15" s="731"/>
      <c r="K15" s="731"/>
      <c r="L15" s="731">
        <v>1569.48</v>
      </c>
      <c r="M15" s="731"/>
      <c r="N15" s="736">
        <f t="shared" si="0"/>
        <v>1451462.48</v>
      </c>
      <c r="O15" s="737"/>
      <c r="P15" s="731"/>
      <c r="Q15" s="731"/>
      <c r="R15" s="731">
        <f t="shared" si="1"/>
        <v>1451462.48</v>
      </c>
      <c r="S15" s="611"/>
      <c r="V15" s="610">
        <f>B15-R15</f>
        <v>-1569.4799999999814</v>
      </c>
    </row>
    <row r="16" spans="1:22" ht="14.25" customHeight="1">
      <c r="A16" s="5" t="s">
        <v>73</v>
      </c>
      <c r="B16" s="731">
        <v>58219865</v>
      </c>
      <c r="C16" s="731">
        <v>38399112.32</v>
      </c>
      <c r="D16" s="731">
        <v>3405286.26</v>
      </c>
      <c r="E16" s="731"/>
      <c r="F16" s="731">
        <v>218630.81</v>
      </c>
      <c r="G16" s="731">
        <v>360239.48</v>
      </c>
      <c r="H16" s="731"/>
      <c r="I16" s="731"/>
      <c r="J16" s="731">
        <v>1140</v>
      </c>
      <c r="K16" s="731">
        <v>1161179.55</v>
      </c>
      <c r="L16" s="731">
        <v>314972.68000000023</v>
      </c>
      <c r="M16" s="731">
        <v>392648</v>
      </c>
      <c r="N16" s="736">
        <f t="shared" si="0"/>
        <v>102473074.10000001</v>
      </c>
      <c r="O16" s="737"/>
      <c r="P16" s="731"/>
      <c r="Q16" s="731"/>
      <c r="R16" s="738">
        <f t="shared" si="1"/>
        <v>102473074.10000001</v>
      </c>
      <c r="S16" s="611"/>
    </row>
    <row r="17" spans="1:20" ht="15.75" customHeight="1">
      <c r="A17" s="5" t="s">
        <v>16</v>
      </c>
      <c r="B17" s="731">
        <v>624011</v>
      </c>
      <c r="C17" s="731"/>
      <c r="D17" s="731"/>
      <c r="E17" s="731"/>
      <c r="F17" s="731"/>
      <c r="G17" s="731"/>
      <c r="H17" s="731"/>
      <c r="I17" s="731"/>
      <c r="J17" s="731"/>
      <c r="K17" s="731"/>
      <c r="L17" s="731"/>
      <c r="M17" s="731"/>
      <c r="N17" s="736">
        <f t="shared" si="0"/>
        <v>624011</v>
      </c>
      <c r="O17" s="737"/>
      <c r="P17" s="731"/>
      <c r="Q17" s="731"/>
      <c r="R17" s="738">
        <f t="shared" si="1"/>
        <v>624011</v>
      </c>
      <c r="S17" s="611"/>
    </row>
    <row r="18" spans="1:20" ht="15.75" customHeight="1">
      <c r="A18" s="5" t="s">
        <v>74</v>
      </c>
      <c r="B18" s="731">
        <v>14218560.43</v>
      </c>
      <c r="C18" s="737">
        <v>0</v>
      </c>
      <c r="D18" s="731"/>
      <c r="E18" s="731"/>
      <c r="F18" s="731"/>
      <c r="G18" s="731"/>
      <c r="H18" s="731"/>
      <c r="I18" s="731"/>
      <c r="J18" s="731"/>
      <c r="K18" s="731"/>
      <c r="L18" s="731">
        <v>78647.520000000019</v>
      </c>
      <c r="M18" s="731"/>
      <c r="N18" s="736">
        <f t="shared" si="0"/>
        <v>14297207.949999999</v>
      </c>
      <c r="O18" s="737" t="s">
        <v>671</v>
      </c>
      <c r="P18" s="731">
        <f>'Inversiones 2018'!B117</f>
        <v>0</v>
      </c>
      <c r="Q18" s="731">
        <f>+'Saldos interco. 2018'!E37</f>
        <v>865104</v>
      </c>
      <c r="R18" s="738">
        <f t="shared" si="1"/>
        <v>13432103.949999999</v>
      </c>
      <c r="S18" s="611"/>
      <c r="T18" s="610"/>
    </row>
    <row r="19" spans="1:20">
      <c r="A19" s="5" t="s">
        <v>212</v>
      </c>
      <c r="B19" s="731">
        <v>1422229</v>
      </c>
      <c r="C19" s="731"/>
      <c r="D19" s="731"/>
      <c r="E19" s="731"/>
      <c r="F19" s="731"/>
      <c r="G19" s="731"/>
      <c r="H19" s="731"/>
      <c r="I19" s="731"/>
      <c r="J19" s="731"/>
      <c r="K19" s="731"/>
      <c r="L19" s="731"/>
      <c r="M19" s="731"/>
      <c r="N19" s="736">
        <f t="shared" si="0"/>
        <v>1422229</v>
      </c>
      <c r="O19" s="737"/>
      <c r="P19" s="731"/>
      <c r="Q19" s="731"/>
      <c r="R19" s="738">
        <f t="shared" si="1"/>
        <v>1422229</v>
      </c>
      <c r="S19" s="611"/>
    </row>
    <row r="20" spans="1:20">
      <c r="A20" s="5" t="s">
        <v>685</v>
      </c>
      <c r="B20" s="731">
        <v>39016871</v>
      </c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6">
        <f t="shared" si="0"/>
        <v>39016871</v>
      </c>
      <c r="O20" s="737" t="s">
        <v>653</v>
      </c>
      <c r="P20" s="731">
        <f>'Inversiones 2018'!B67</f>
        <v>1598182.88</v>
      </c>
      <c r="Q20" s="731">
        <f>SUM('Inversiones 2018'!C51:C61)</f>
        <v>36856053.989999995</v>
      </c>
      <c r="R20" s="738">
        <f t="shared" si="1"/>
        <v>3758999.890000008</v>
      </c>
      <c r="S20" s="611"/>
    </row>
    <row r="21" spans="1:20">
      <c r="A21" s="5" t="s">
        <v>693</v>
      </c>
      <c r="B21" s="739">
        <v>261500</v>
      </c>
      <c r="C21" s="778">
        <v>100</v>
      </c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6">
        <f t="shared" si="0"/>
        <v>261600</v>
      </c>
      <c r="O21" s="737"/>
      <c r="P21" s="731"/>
      <c r="Q21" s="731"/>
      <c r="R21" s="738">
        <f t="shared" si="1"/>
        <v>261600</v>
      </c>
      <c r="S21" s="611"/>
    </row>
    <row r="22" spans="1:20">
      <c r="A22" s="5" t="s">
        <v>77</v>
      </c>
      <c r="B22" s="739">
        <v>105894</v>
      </c>
      <c r="C22" s="731"/>
      <c r="D22" s="731"/>
      <c r="E22" s="731"/>
      <c r="F22" s="731"/>
      <c r="G22" s="731"/>
      <c r="H22" s="731"/>
      <c r="I22" s="731"/>
      <c r="J22" s="731"/>
      <c r="K22" s="731">
        <v>2963500</v>
      </c>
      <c r="L22" s="731"/>
      <c r="M22" s="731">
        <v>71</v>
      </c>
      <c r="N22" s="736">
        <f t="shared" si="0"/>
        <v>3069465</v>
      </c>
      <c r="O22" s="737"/>
      <c r="P22" s="731"/>
      <c r="Q22" s="731"/>
      <c r="R22" s="738">
        <f t="shared" si="1"/>
        <v>3069465</v>
      </c>
      <c r="S22" s="611"/>
    </row>
    <row r="23" spans="1:20">
      <c r="A23" s="724" t="s">
        <v>39</v>
      </c>
      <c r="B23" s="740">
        <f t="shared" ref="B23:M23" si="2">SUM(B5:B22)</f>
        <v>201972536.55000001</v>
      </c>
      <c r="C23" s="734">
        <f t="shared" si="2"/>
        <v>43415660.759999998</v>
      </c>
      <c r="D23" s="734">
        <f t="shared" si="2"/>
        <v>4437151.59</v>
      </c>
      <c r="E23" s="734">
        <f t="shared" si="2"/>
        <v>132970.31</v>
      </c>
      <c r="F23" s="734">
        <f t="shared" si="2"/>
        <v>395040.23</v>
      </c>
      <c r="G23" s="734">
        <f t="shared" si="2"/>
        <v>360239.48</v>
      </c>
      <c r="H23" s="734">
        <f t="shared" si="2"/>
        <v>7988.59</v>
      </c>
      <c r="I23" s="734">
        <f t="shared" si="2"/>
        <v>10000</v>
      </c>
      <c r="J23" s="734">
        <f t="shared" si="2"/>
        <v>1140</v>
      </c>
      <c r="K23" s="734">
        <f t="shared" ref="K23" si="3">SUM(K5:K22)</f>
        <v>5068663</v>
      </c>
      <c r="L23" s="734">
        <f t="shared" si="2"/>
        <v>582963.16000000027</v>
      </c>
      <c r="M23" s="734">
        <f t="shared" si="2"/>
        <v>951375</v>
      </c>
      <c r="N23" s="734">
        <f t="shared" si="0"/>
        <v>257335728.66999999</v>
      </c>
      <c r="O23" s="734"/>
      <c r="P23" s="734">
        <f>+SUM(P5:P22)</f>
        <v>1598182.88</v>
      </c>
      <c r="Q23" s="734">
        <f>+SUM(Q5:Q22)</f>
        <v>51382444.989999995</v>
      </c>
      <c r="R23" s="734">
        <f>SUM(R5:R22)</f>
        <v>207551466.56000003</v>
      </c>
      <c r="S23" s="611"/>
      <c r="T23" s="695"/>
    </row>
    <row r="24" spans="1:20">
      <c r="A24" s="5" t="s">
        <v>387</v>
      </c>
      <c r="B24" s="731">
        <v>3792926</v>
      </c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6">
        <f t="shared" si="0"/>
        <v>3792926</v>
      </c>
      <c r="O24" s="737"/>
      <c r="P24" s="731"/>
      <c r="Q24" s="731"/>
      <c r="R24" s="738">
        <f>N24-P24+Q24</f>
        <v>3792926</v>
      </c>
      <c r="S24" s="611"/>
    </row>
    <row r="25" spans="1:20">
      <c r="A25" s="5" t="s">
        <v>388</v>
      </c>
      <c r="B25" s="731">
        <v>11469368</v>
      </c>
      <c r="C25" s="731"/>
      <c r="D25" s="731"/>
      <c r="E25" s="731"/>
      <c r="F25" s="731"/>
      <c r="G25" s="731"/>
      <c r="H25" s="731"/>
      <c r="I25" s="731"/>
      <c r="J25" s="731"/>
      <c r="K25" s="731"/>
      <c r="L25" s="731">
        <v>990769.2</v>
      </c>
      <c r="M25" s="731"/>
      <c r="N25" s="736">
        <f t="shared" si="0"/>
        <v>12460137.199999999</v>
      </c>
      <c r="O25" s="737"/>
      <c r="P25" s="731"/>
      <c r="Q25" s="731"/>
      <c r="R25" s="738">
        <f>N25-P25+Q25</f>
        <v>12460137.199999999</v>
      </c>
      <c r="S25" s="611"/>
    </row>
    <row r="26" spans="1:20">
      <c r="A26" s="5" t="s">
        <v>389</v>
      </c>
      <c r="B26" s="731">
        <v>8587943</v>
      </c>
      <c r="C26" s="731"/>
      <c r="D26" s="731"/>
      <c r="E26" s="731"/>
      <c r="F26" s="731"/>
      <c r="G26" s="731"/>
      <c r="H26" s="731"/>
      <c r="I26" s="731"/>
      <c r="J26" s="731"/>
      <c r="K26" s="731"/>
      <c r="L26" s="731"/>
      <c r="M26" s="731"/>
      <c r="N26" s="736">
        <f t="shared" si="0"/>
        <v>8587943</v>
      </c>
      <c r="O26" s="737"/>
      <c r="P26" s="731"/>
      <c r="Q26" s="731"/>
      <c r="R26" s="738">
        <f>N26-P26+Q26</f>
        <v>8587943</v>
      </c>
      <c r="S26" s="611"/>
    </row>
    <row r="27" spans="1:20" ht="15.75" customHeight="1">
      <c r="A27" s="5" t="s">
        <v>79</v>
      </c>
      <c r="B27" s="731">
        <v>15777543</v>
      </c>
      <c r="C27" s="731">
        <v>1116286.01</v>
      </c>
      <c r="D27" s="731">
        <v>38824.06</v>
      </c>
      <c r="E27" s="731"/>
      <c r="F27" s="731"/>
      <c r="G27" s="731"/>
      <c r="H27" s="731"/>
      <c r="I27" s="731"/>
      <c r="J27" s="731"/>
      <c r="K27" s="731">
        <v>147634.16</v>
      </c>
      <c r="L27" s="731"/>
      <c r="M27" s="731">
        <v>315289</v>
      </c>
      <c r="N27" s="736">
        <f t="shared" si="0"/>
        <v>17395576.23</v>
      </c>
      <c r="O27" s="737"/>
      <c r="P27" s="731">
        <f>+'Saldos interco. 2018'!D34</f>
        <v>282467</v>
      </c>
      <c r="Q27" s="731"/>
      <c r="R27" s="738">
        <f t="shared" ref="R27:R39" si="4">N27-P27+Q27</f>
        <v>17113109.23</v>
      </c>
      <c r="S27" s="611"/>
    </row>
    <row r="28" spans="1:20" ht="15.75" customHeight="1">
      <c r="A28" s="5" t="s">
        <v>7</v>
      </c>
      <c r="B28" s="731">
        <v>1933474</v>
      </c>
      <c r="C28" s="731">
        <v>2236854.65</v>
      </c>
      <c r="D28" s="731">
        <v>673934</v>
      </c>
      <c r="E28" s="731"/>
      <c r="F28" s="731">
        <v>1485555.22</v>
      </c>
      <c r="G28" s="731"/>
      <c r="H28" s="731"/>
      <c r="I28" s="731"/>
      <c r="J28" s="731"/>
      <c r="K28" s="731">
        <v>6330.5</v>
      </c>
      <c r="L28" s="731"/>
      <c r="M28" s="731">
        <v>1023076</v>
      </c>
      <c r="N28" s="736">
        <f t="shared" si="0"/>
        <v>7359224.3700000001</v>
      </c>
      <c r="O28" s="737"/>
      <c r="P28" s="731">
        <f>+'Saldos interco. 2018'!D31</f>
        <v>1261235</v>
      </c>
      <c r="Q28" s="731"/>
      <c r="R28" s="738">
        <f t="shared" si="4"/>
        <v>6097989.3700000001</v>
      </c>
      <c r="S28" s="611"/>
    </row>
    <row r="29" spans="1:20" ht="15.75" customHeight="1">
      <c r="A29" s="5" t="s">
        <v>350</v>
      </c>
      <c r="B29" s="731">
        <v>6713205</v>
      </c>
      <c r="C29" s="731"/>
      <c r="D29" s="731"/>
      <c r="E29" s="731"/>
      <c r="F29" s="731"/>
      <c r="G29" s="731"/>
      <c r="H29" s="731"/>
      <c r="I29" s="731"/>
      <c r="J29" s="731"/>
      <c r="K29" s="731">
        <v>3468.99</v>
      </c>
      <c r="L29" s="731">
        <v>13582.420000000002</v>
      </c>
      <c r="M29" s="731">
        <v>52570</v>
      </c>
      <c r="N29" s="736">
        <f t="shared" si="0"/>
        <v>6782826.4100000001</v>
      </c>
      <c r="O29" s="737"/>
      <c r="P29" s="731"/>
      <c r="Q29" s="731"/>
      <c r="R29" s="738">
        <f t="shared" si="4"/>
        <v>6782826.4100000001</v>
      </c>
      <c r="S29" s="611"/>
    </row>
    <row r="30" spans="1:20" ht="15.75" customHeight="1">
      <c r="A30" s="5" t="s">
        <v>80</v>
      </c>
      <c r="B30" s="731">
        <v>2325545</v>
      </c>
      <c r="C30" s="731"/>
      <c r="D30" s="731">
        <v>8993.91</v>
      </c>
      <c r="E30" s="731">
        <v>13780.01</v>
      </c>
      <c r="F30" s="731"/>
      <c r="G30" s="731"/>
      <c r="H30" s="731"/>
      <c r="I30" s="731"/>
      <c r="J30" s="731"/>
      <c r="K30" s="731"/>
      <c r="L30" s="731">
        <v>5839.7800000000279</v>
      </c>
      <c r="M30" s="731"/>
      <c r="N30" s="736">
        <f t="shared" si="0"/>
        <v>2354158.7000000002</v>
      </c>
      <c r="O30" s="737"/>
      <c r="P30" s="731"/>
      <c r="Q30" s="731"/>
      <c r="R30" s="738">
        <f>N30-P30+Q30</f>
        <v>2354158.7000000002</v>
      </c>
      <c r="S30" s="611"/>
    </row>
    <row r="31" spans="1:20" ht="15.75" customHeight="1">
      <c r="A31" s="5" t="s">
        <v>694</v>
      </c>
      <c r="B31" s="731">
        <v>9631317</v>
      </c>
      <c r="C31" s="731"/>
      <c r="D31" s="731"/>
      <c r="E31" s="731"/>
      <c r="F31" s="731"/>
      <c r="G31" s="731"/>
      <c r="H31" s="731"/>
      <c r="I31" s="731"/>
      <c r="J31" s="731"/>
      <c r="K31" s="731">
        <v>36596.53</v>
      </c>
      <c r="L31" s="731"/>
      <c r="M31" s="731"/>
      <c r="N31" s="736">
        <f t="shared" si="0"/>
        <v>9667913.5299999993</v>
      </c>
      <c r="O31" s="737"/>
      <c r="P31" s="731"/>
      <c r="Q31" s="731"/>
      <c r="R31" s="738">
        <f t="shared" si="4"/>
        <v>9667913.5299999993</v>
      </c>
      <c r="S31" s="611"/>
    </row>
    <row r="32" spans="1:20" ht="15.75" customHeight="1">
      <c r="A32" s="5" t="s">
        <v>82</v>
      </c>
      <c r="B32" s="731">
        <v>6162582</v>
      </c>
      <c r="C32" s="731"/>
      <c r="D32" s="731">
        <v>22081.119999999999</v>
      </c>
      <c r="E32" s="731"/>
      <c r="F32" s="731"/>
      <c r="G32" s="731"/>
      <c r="H32" s="731"/>
      <c r="I32" s="731"/>
      <c r="J32" s="731"/>
      <c r="K32" s="731">
        <v>8067.18</v>
      </c>
      <c r="L32" s="731">
        <v>17426.740000000002</v>
      </c>
      <c r="M32" s="731"/>
      <c r="N32" s="736">
        <f t="shared" si="0"/>
        <v>6210157.04</v>
      </c>
      <c r="O32" s="737"/>
      <c r="P32" s="731"/>
      <c r="Q32" s="731"/>
      <c r="R32" s="738">
        <f t="shared" si="4"/>
        <v>6210157.04</v>
      </c>
      <c r="S32" s="611"/>
    </row>
    <row r="33" spans="1:23" ht="15.75" customHeight="1">
      <c r="A33" s="5" t="s">
        <v>390</v>
      </c>
      <c r="B33" s="739">
        <v>4378387</v>
      </c>
      <c r="C33" s="731"/>
      <c r="D33" s="731"/>
      <c r="E33" s="731"/>
      <c r="F33" s="731"/>
      <c r="G33" s="731"/>
      <c r="H33" s="731"/>
      <c r="I33" s="731"/>
      <c r="J33" s="731"/>
      <c r="K33" s="731"/>
      <c r="L33" s="731"/>
      <c r="M33" s="731"/>
      <c r="N33" s="736">
        <f t="shared" si="0"/>
        <v>4378387</v>
      </c>
      <c r="O33" s="737"/>
      <c r="P33" s="731"/>
      <c r="Q33" s="731"/>
      <c r="R33" s="738">
        <f t="shared" si="4"/>
        <v>4378387</v>
      </c>
      <c r="S33" s="611"/>
    </row>
    <row r="34" spans="1:23" ht="15.75" customHeight="1">
      <c r="A34" s="5" t="s">
        <v>391</v>
      </c>
      <c r="B34" s="739">
        <v>2447101</v>
      </c>
      <c r="C34" s="731"/>
      <c r="D34" s="731"/>
      <c r="E34" s="731"/>
      <c r="F34" s="731"/>
      <c r="G34" s="731"/>
      <c r="H34" s="731"/>
      <c r="I34" s="731"/>
      <c r="J34" s="731"/>
      <c r="K34" s="731"/>
      <c r="L34" s="731"/>
      <c r="M34" s="731"/>
      <c r="N34" s="736">
        <f t="shared" si="0"/>
        <v>2447101</v>
      </c>
      <c r="O34" s="737"/>
      <c r="P34" s="731"/>
      <c r="Q34" s="731"/>
      <c r="R34" s="738">
        <f t="shared" si="4"/>
        <v>2447101</v>
      </c>
      <c r="S34" s="611"/>
    </row>
    <row r="35" spans="1:23" ht="15.75" customHeight="1">
      <c r="A35" s="5" t="s">
        <v>214</v>
      </c>
      <c r="B35" s="739">
        <v>2345800</v>
      </c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6">
        <f t="shared" si="0"/>
        <v>2345800</v>
      </c>
      <c r="O35" s="737"/>
      <c r="P35" s="731"/>
      <c r="Q35" s="731"/>
      <c r="R35" s="738">
        <f t="shared" si="4"/>
        <v>2345800</v>
      </c>
      <c r="S35" s="611"/>
    </row>
    <row r="36" spans="1:23" ht="15.75" customHeight="1">
      <c r="A36" s="5" t="s">
        <v>84</v>
      </c>
      <c r="B36" s="739">
        <v>10628880</v>
      </c>
      <c r="C36" s="731"/>
      <c r="D36" s="739">
        <v>1660951.53</v>
      </c>
      <c r="E36" s="731"/>
      <c r="F36" s="731"/>
      <c r="G36" s="731"/>
      <c r="H36" s="731"/>
      <c r="I36" s="731"/>
      <c r="J36" s="731"/>
      <c r="K36" s="739">
        <v>4045175.58</v>
      </c>
      <c r="L36" s="731"/>
      <c r="M36" s="731"/>
      <c r="N36" s="736">
        <f t="shared" si="0"/>
        <v>16335007.109999999</v>
      </c>
      <c r="O36" s="737"/>
      <c r="P36" s="731">
        <f>+'Saldos interco. 2018'!D32</f>
        <v>5743712</v>
      </c>
      <c r="Q36" s="731"/>
      <c r="R36" s="738">
        <f t="shared" si="4"/>
        <v>10591295.109999999</v>
      </c>
      <c r="S36" s="611"/>
    </row>
    <row r="37" spans="1:23" ht="15.75" customHeight="1">
      <c r="A37" s="5" t="s">
        <v>284</v>
      </c>
      <c r="B37" s="739">
        <v>1086071</v>
      </c>
      <c r="C37" s="731">
        <v>7512890</v>
      </c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6">
        <f t="shared" si="0"/>
        <v>8598961</v>
      </c>
      <c r="O37" s="737"/>
      <c r="P37" s="731">
        <f>+'Saldos interco. 2018'!D33</f>
        <v>7238977</v>
      </c>
      <c r="Q37" s="731"/>
      <c r="R37" s="738">
        <f>N37-P37+Q37</f>
        <v>1359984</v>
      </c>
      <c r="S37" s="611"/>
    </row>
    <row r="38" spans="1:23" ht="15.75" customHeight="1">
      <c r="A38" s="5" t="s">
        <v>86</v>
      </c>
      <c r="B38" s="739">
        <v>5909358.8300000001</v>
      </c>
      <c r="C38" s="731"/>
      <c r="D38" s="731"/>
      <c r="E38" s="731"/>
      <c r="F38" s="731"/>
      <c r="G38" s="731"/>
      <c r="H38" s="731"/>
      <c r="I38" s="731"/>
      <c r="J38" s="731"/>
      <c r="K38" s="739"/>
      <c r="L38" s="739">
        <v>49648.600000000006</v>
      </c>
      <c r="M38" s="731"/>
      <c r="N38" s="736">
        <f t="shared" si="0"/>
        <v>5959007.4299999997</v>
      </c>
      <c r="O38" s="737"/>
      <c r="P38" s="731"/>
      <c r="Q38" s="731"/>
      <c r="R38" s="738">
        <f t="shared" si="4"/>
        <v>5959007.4299999997</v>
      </c>
      <c r="S38" s="611"/>
    </row>
    <row r="39" spans="1:23" ht="15.75" customHeight="1">
      <c r="A39" s="5" t="s">
        <v>694</v>
      </c>
      <c r="B39" s="739">
        <v>24796057</v>
      </c>
      <c r="C39" s="731"/>
      <c r="D39" s="731"/>
      <c r="E39" s="731"/>
      <c r="F39" s="731"/>
      <c r="G39" s="731"/>
      <c r="H39" s="731"/>
      <c r="I39" s="731"/>
      <c r="J39" s="731"/>
      <c r="K39" s="739"/>
      <c r="L39" s="731"/>
      <c r="M39" s="731"/>
      <c r="N39" s="736">
        <f t="shared" si="0"/>
        <v>24796057</v>
      </c>
      <c r="O39" s="737"/>
      <c r="P39" s="731"/>
      <c r="Q39" s="731"/>
      <c r="R39" s="738">
        <f t="shared" si="4"/>
        <v>24796057</v>
      </c>
      <c r="S39" s="611"/>
    </row>
    <row r="40" spans="1:23" ht="15.75" customHeight="1" thickBot="1">
      <c r="A40" s="5" t="s">
        <v>676</v>
      </c>
      <c r="B40" s="741">
        <v>2580000</v>
      </c>
      <c r="C40" s="741"/>
      <c r="D40" s="741"/>
      <c r="E40" s="741"/>
      <c r="F40" s="741"/>
      <c r="G40" s="741"/>
      <c r="H40" s="741"/>
      <c r="I40" s="741"/>
      <c r="J40" s="741"/>
      <c r="K40" s="741"/>
      <c r="L40" s="741"/>
      <c r="M40" s="741"/>
      <c r="N40" s="742">
        <f t="shared" si="0"/>
        <v>2580000</v>
      </c>
      <c r="O40" s="737"/>
      <c r="P40" s="731"/>
      <c r="Q40" s="731"/>
      <c r="R40" s="743">
        <f>N40-P40+Q40</f>
        <v>2580000</v>
      </c>
      <c r="S40" s="611"/>
    </row>
    <row r="41" spans="1:23">
      <c r="A41" s="724" t="s">
        <v>40</v>
      </c>
      <c r="B41" s="740">
        <f>SUM(B24:B40)</f>
        <v>120565557.83</v>
      </c>
      <c r="C41" s="734">
        <f t="shared" ref="C41:M41" si="5">SUM(C25:C40)</f>
        <v>10866030.66</v>
      </c>
      <c r="D41" s="734">
        <f t="shared" si="5"/>
        <v>2404784.62</v>
      </c>
      <c r="E41" s="734">
        <f t="shared" si="5"/>
        <v>13780.01</v>
      </c>
      <c r="F41" s="734">
        <f t="shared" si="5"/>
        <v>1485555.22</v>
      </c>
      <c r="G41" s="734">
        <f t="shared" si="5"/>
        <v>0</v>
      </c>
      <c r="H41" s="734">
        <f t="shared" si="5"/>
        <v>0</v>
      </c>
      <c r="I41" s="734">
        <f t="shared" si="5"/>
        <v>0</v>
      </c>
      <c r="J41" s="734">
        <f t="shared" si="5"/>
        <v>0</v>
      </c>
      <c r="K41" s="734">
        <f t="shared" si="5"/>
        <v>4247272.9400000004</v>
      </c>
      <c r="L41" s="734">
        <f t="shared" si="5"/>
        <v>1077266.74</v>
      </c>
      <c r="M41" s="734">
        <f t="shared" si="5"/>
        <v>1390935</v>
      </c>
      <c r="N41" s="734">
        <f t="shared" si="0"/>
        <v>142051183.02000001</v>
      </c>
      <c r="O41" s="734"/>
      <c r="P41" s="734">
        <f>SUM(P24:P40)</f>
        <v>14526391</v>
      </c>
      <c r="Q41" s="734">
        <f>SUM(Q24:Q40)</f>
        <v>0</v>
      </c>
      <c r="R41" s="734">
        <f>SUM(R24:R40)</f>
        <v>127524792.02000001</v>
      </c>
      <c r="S41" s="611"/>
    </row>
    <row r="42" spans="1:23" ht="15.75" customHeight="1">
      <c r="A42" s="5" t="s">
        <v>8</v>
      </c>
      <c r="B42" s="731">
        <v>35042687</v>
      </c>
      <c r="C42" s="744">
        <v>5000</v>
      </c>
      <c r="D42" s="744">
        <v>1105000</v>
      </c>
      <c r="E42" s="744">
        <v>10000</v>
      </c>
      <c r="F42" s="731">
        <v>1000</v>
      </c>
      <c r="G42" s="731">
        <v>1000</v>
      </c>
      <c r="H42" s="731">
        <v>5000</v>
      </c>
      <c r="I42" s="731">
        <v>10000</v>
      </c>
      <c r="J42" s="731">
        <v>800</v>
      </c>
      <c r="K42" s="745">
        <v>800</v>
      </c>
      <c r="L42" s="731">
        <v>3661400</v>
      </c>
      <c r="M42" s="731">
        <v>10000</v>
      </c>
      <c r="N42" s="736">
        <f t="shared" si="0"/>
        <v>39852687</v>
      </c>
      <c r="O42" s="737" t="s">
        <v>656</v>
      </c>
      <c r="P42" s="731">
        <f>SUM('Inversiones 2018'!B33:B42)+'Inversiones 2018'!B100+Q43+P9</f>
        <v>4810339.983</v>
      </c>
      <c r="Q42" s="731">
        <f>-Q47</f>
        <v>339.983</v>
      </c>
      <c r="R42" s="738">
        <f>N42-P42+Q42</f>
        <v>35042687</v>
      </c>
      <c r="S42" s="611">
        <f>B42-R42+Q43</f>
        <v>10000</v>
      </c>
      <c r="T42" s="695"/>
    </row>
    <row r="43" spans="1:23" ht="15.75" customHeight="1">
      <c r="A43" s="5" t="s">
        <v>568</v>
      </c>
      <c r="B43" s="731"/>
      <c r="C43" s="744"/>
      <c r="D43" s="744"/>
      <c r="E43" s="744"/>
      <c r="F43" s="731"/>
      <c r="G43" s="731"/>
      <c r="H43" s="731"/>
      <c r="I43" s="731"/>
      <c r="J43" s="731"/>
      <c r="K43" s="745"/>
      <c r="L43" s="731"/>
      <c r="M43" s="731">
        <v>-10000</v>
      </c>
      <c r="N43" s="736">
        <f t="shared" si="0"/>
        <v>-10000</v>
      </c>
      <c r="O43" s="737" t="s">
        <v>654</v>
      </c>
      <c r="P43" s="731"/>
      <c r="Q43" s="731">
        <v>10000</v>
      </c>
      <c r="R43" s="738">
        <f>N43-P43+Q43</f>
        <v>0</v>
      </c>
      <c r="S43" s="611"/>
      <c r="T43" s="695"/>
    </row>
    <row r="44" spans="1:23" ht="15.75" customHeight="1">
      <c r="A44" s="5" t="s">
        <v>88</v>
      </c>
      <c r="B44" s="731">
        <v>921</v>
      </c>
      <c r="C44" s="744">
        <v>37142894.460000001</v>
      </c>
      <c r="D44" s="744">
        <v>877313.05</v>
      </c>
      <c r="E44" s="731"/>
      <c r="F44" s="731">
        <v>49015</v>
      </c>
      <c r="G44" s="731">
        <v>330450</v>
      </c>
      <c r="H44" s="731"/>
      <c r="I44" s="731"/>
      <c r="J44" s="731"/>
      <c r="K44" s="731">
        <v>1833417.66</v>
      </c>
      <c r="L44" s="731">
        <v>406799.86000000004</v>
      </c>
      <c r="M44" s="731"/>
      <c r="N44" s="736">
        <f t="shared" si="0"/>
        <v>40640811.029999994</v>
      </c>
      <c r="O44" s="737" t="s">
        <v>656</v>
      </c>
      <c r="P44" s="731">
        <f>SUM('Inversiones 2018'!B44:B49)+'Inversiones 2018'!B101</f>
        <v>40639890.030000001</v>
      </c>
      <c r="Q44" s="731"/>
      <c r="R44" s="738">
        <f t="shared" ref="R44:R51" si="6">N44-P44+Q44</f>
        <v>920.99999999254942</v>
      </c>
      <c r="S44" s="611">
        <f>B44-R44</f>
        <v>7.4505805969238281E-9</v>
      </c>
      <c r="T44" s="695"/>
      <c r="V44" s="612"/>
    </row>
    <row r="45" spans="1:23" ht="15.75" customHeight="1">
      <c r="A45" s="5" t="s">
        <v>17</v>
      </c>
      <c r="B45" s="693">
        <v>5222508.5599999996</v>
      </c>
      <c r="C45" s="731"/>
      <c r="D45" s="731"/>
      <c r="E45" s="744">
        <v>74426.570000000007</v>
      </c>
      <c r="F45" s="731">
        <v>500</v>
      </c>
      <c r="G45" s="731"/>
      <c r="H45" s="731">
        <v>1226.1199999999999</v>
      </c>
      <c r="I45" s="731"/>
      <c r="J45" s="731"/>
      <c r="K45" s="731"/>
      <c r="L45" s="731"/>
      <c r="M45" s="731"/>
      <c r="N45" s="736">
        <f t="shared" si="0"/>
        <v>5298661.25</v>
      </c>
      <c r="O45" s="737" t="s">
        <v>673</v>
      </c>
      <c r="P45" s="731">
        <f>SUM('Inversiones 2018'!B75:B77)+'Inversiones 2018'!B102</f>
        <v>24154.783039999998</v>
      </c>
      <c r="Q45" s="731"/>
      <c r="R45" s="738">
        <f t="shared" si="6"/>
        <v>5274506.4669599999</v>
      </c>
      <c r="S45" s="611">
        <f t="shared" ref="S45:S49" si="7">B45-R45</f>
        <v>-51997.906960000284</v>
      </c>
      <c r="T45" s="695"/>
      <c r="U45" s="695"/>
    </row>
    <row r="46" spans="1:23" ht="15.75" customHeight="1">
      <c r="A46" s="5" t="s">
        <v>19</v>
      </c>
      <c r="B46" s="731">
        <v>34797</v>
      </c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6">
        <f t="shared" si="0"/>
        <v>34797</v>
      </c>
      <c r="O46" s="737"/>
      <c r="P46" s="731">
        <f>'Participaciones 2018'!AC22</f>
        <v>0</v>
      </c>
      <c r="Q46" s="731"/>
      <c r="R46" s="738">
        <f t="shared" si="6"/>
        <v>34797</v>
      </c>
      <c r="S46" s="611">
        <f t="shared" si="7"/>
        <v>0</v>
      </c>
      <c r="U46" s="695"/>
    </row>
    <row r="47" spans="1:23" ht="15.75" customHeight="1">
      <c r="A47" s="5" t="s">
        <v>18</v>
      </c>
      <c r="B47" s="731">
        <v>227072</v>
      </c>
      <c r="C47" s="731"/>
      <c r="D47" s="731"/>
      <c r="E47" s="744"/>
      <c r="F47" s="731"/>
      <c r="G47" s="731">
        <v>109633</v>
      </c>
      <c r="H47" s="731"/>
      <c r="I47" s="731"/>
      <c r="J47" s="731">
        <f>340</f>
        <v>340</v>
      </c>
      <c r="K47" s="731"/>
      <c r="L47" s="731"/>
      <c r="M47" s="731"/>
      <c r="N47" s="736">
        <f t="shared" si="0"/>
        <v>337045</v>
      </c>
      <c r="O47" s="737" t="s">
        <v>673</v>
      </c>
      <c r="P47" s="731">
        <f>SUM('Inversiones 2018'!B79:B80)+'Inversiones 2018'!B104</f>
        <v>27408.267</v>
      </c>
      <c r="Q47" s="731">
        <f>-'Participaciones 2018'!S23</f>
        <v>-339.983</v>
      </c>
      <c r="R47" s="738">
        <f t="shared" si="6"/>
        <v>309296.75</v>
      </c>
      <c r="S47" s="611">
        <f t="shared" si="7"/>
        <v>-82224.75</v>
      </c>
      <c r="U47" s="610"/>
      <c r="V47" s="610"/>
    </row>
    <row r="48" spans="1:23" ht="15.75" customHeight="1">
      <c r="A48" s="5" t="s">
        <v>20</v>
      </c>
      <c r="B48" s="693">
        <v>-3202431</v>
      </c>
      <c r="C48" s="731"/>
      <c r="D48" s="731"/>
      <c r="E48" s="731"/>
      <c r="F48" s="731"/>
      <c r="G48" s="731"/>
      <c r="H48" s="731"/>
      <c r="I48" s="731"/>
      <c r="J48" s="731"/>
      <c r="K48" s="731"/>
      <c r="L48" s="731"/>
      <c r="M48" s="731"/>
      <c r="N48" s="736">
        <f t="shared" si="0"/>
        <v>-3202431</v>
      </c>
      <c r="O48" s="737"/>
      <c r="P48" s="731">
        <f>'Participaciones 2018'!AC25</f>
        <v>0</v>
      </c>
      <c r="Q48" s="731"/>
      <c r="R48" s="738">
        <f t="shared" si="6"/>
        <v>-3202431</v>
      </c>
      <c r="S48" s="611">
        <f t="shared" si="7"/>
        <v>0</v>
      </c>
      <c r="U48" s="610"/>
      <c r="W48" s="611"/>
    </row>
    <row r="49" spans="1:23" ht="15.75" customHeight="1">
      <c r="A49" s="5" t="s">
        <v>392</v>
      </c>
      <c r="B49" s="731">
        <v>1423943</v>
      </c>
      <c r="C49" s="693">
        <v>-1022673.47</v>
      </c>
      <c r="D49" s="731"/>
      <c r="E49" s="731"/>
      <c r="F49" s="731"/>
      <c r="G49" s="731"/>
      <c r="H49" s="731"/>
      <c r="I49" s="731"/>
      <c r="J49" s="731"/>
      <c r="K49" s="731"/>
      <c r="L49" s="731">
        <v>274690.03999999998</v>
      </c>
      <c r="M49" s="731"/>
      <c r="N49" s="736">
        <f t="shared" si="0"/>
        <v>675959.57000000007</v>
      </c>
      <c r="O49" s="737" t="s">
        <v>673</v>
      </c>
      <c r="P49" s="731">
        <f>'Inversiones 2018'!B83</f>
        <v>0</v>
      </c>
      <c r="Q49" s="731">
        <f>'Inversiones 2018'!C82+'Inversiones 2018'!C105</f>
        <v>252716.93240600004</v>
      </c>
      <c r="R49" s="738">
        <f t="shared" si="6"/>
        <v>928676.50240600016</v>
      </c>
      <c r="S49" s="611">
        <f t="shared" si="7"/>
        <v>495266.49759399984</v>
      </c>
      <c r="W49" s="611"/>
    </row>
    <row r="50" spans="1:23" ht="15.75" customHeight="1">
      <c r="A50" s="5" t="s">
        <v>21</v>
      </c>
      <c r="B50" s="731">
        <f>32771651.62+495801.09+B69</f>
        <v>42657481.159999989</v>
      </c>
      <c r="C50" s="744">
        <v>-3575591.2</v>
      </c>
      <c r="D50" s="744">
        <f>2399.68+47654.21</f>
        <v>50053.89</v>
      </c>
      <c r="E50" s="744">
        <v>34763.730000000003</v>
      </c>
      <c r="F50" s="731">
        <f>387853.68-1451653.44+82150.45-159380.68</f>
        <v>-1141029.99</v>
      </c>
      <c r="G50" s="731">
        <f>-67370-13474</f>
        <v>-80844</v>
      </c>
      <c r="H50" s="731">
        <v>1762.47</v>
      </c>
      <c r="I50" s="731"/>
      <c r="J50" s="731"/>
      <c r="K50" s="693">
        <f>-412662.23-600165</f>
        <v>-1012827.23</v>
      </c>
      <c r="L50" s="731">
        <v>-4837193.87</v>
      </c>
      <c r="M50" s="731">
        <v>-439560</v>
      </c>
      <c r="N50" s="736">
        <f t="shared" si="0"/>
        <v>31657014.959999982</v>
      </c>
      <c r="O50" s="737" t="s">
        <v>674</v>
      </c>
      <c r="P50" s="731">
        <f>+'Inversiones 2018'!B62+SUM('Inversiones 2018'!B86:B90)+'Inversiones 2018'!B95+P72</f>
        <v>4049981.073631078</v>
      </c>
      <c r="Q50" s="731">
        <f>+'Inversiones 2018'!C62+SUM('Inversiones 2018'!C85:C94)+'Inversiones 2018'!C69+'Inversiones 2018'!C106+Q72+'Inversiones 2018'!C118</f>
        <v>6256016.9813880995</v>
      </c>
      <c r="R50" s="738">
        <f t="shared" si="6"/>
        <v>33863050.867757007</v>
      </c>
      <c r="S50" s="611">
        <f>B50-R50</f>
        <v>8794430.2922429815</v>
      </c>
      <c r="T50" s="610">
        <f>Q50-P50-Q61</f>
        <v>1839204.3777570217</v>
      </c>
      <c r="V50" s="610"/>
      <c r="W50" s="611"/>
    </row>
    <row r="51" spans="1:23" ht="15.75" customHeight="1">
      <c r="A51" s="5" t="s">
        <v>196</v>
      </c>
      <c r="B51" s="731"/>
      <c r="C51" s="744"/>
      <c r="D51" s="744"/>
      <c r="E51" s="744"/>
      <c r="F51" s="731"/>
      <c r="G51" s="731"/>
      <c r="H51" s="731"/>
      <c r="I51" s="731"/>
      <c r="J51" s="731"/>
      <c r="K51" s="693"/>
      <c r="L51" s="731"/>
      <c r="M51" s="731"/>
      <c r="N51" s="736"/>
      <c r="O51" s="737" t="s">
        <v>672</v>
      </c>
      <c r="P51" s="731"/>
      <c r="Q51" s="731">
        <f>'Inversiones 2018'!C107</f>
        <v>7775169.1128769787</v>
      </c>
      <c r="R51" s="738">
        <f t="shared" si="6"/>
        <v>7775169.1128769787</v>
      </c>
      <c r="S51" s="611">
        <f>S50-R51</f>
        <v>1019261.1793660028</v>
      </c>
      <c r="T51" s="610"/>
      <c r="V51" s="610"/>
      <c r="W51" s="611"/>
    </row>
    <row r="52" spans="1:23">
      <c r="A52" s="724" t="s">
        <v>41</v>
      </c>
      <c r="B52" s="740">
        <f>SUM(B42:B50)</f>
        <v>81406978.719999999</v>
      </c>
      <c r="C52" s="734">
        <f t="shared" ref="C52:M52" si="8">SUM(C42:C50)</f>
        <v>32549629.790000003</v>
      </c>
      <c r="D52" s="734">
        <f t="shared" si="8"/>
        <v>2032366.94</v>
      </c>
      <c r="E52" s="734">
        <f t="shared" si="8"/>
        <v>119190.30000000002</v>
      </c>
      <c r="F52" s="734">
        <f t="shared" si="8"/>
        <v>-1090514.99</v>
      </c>
      <c r="G52" s="734">
        <f t="shared" si="8"/>
        <v>360239</v>
      </c>
      <c r="H52" s="734">
        <f t="shared" si="8"/>
        <v>7988.59</v>
      </c>
      <c r="I52" s="734">
        <f t="shared" si="8"/>
        <v>10000</v>
      </c>
      <c r="J52" s="734">
        <f t="shared" si="8"/>
        <v>1140</v>
      </c>
      <c r="K52" s="734">
        <f t="shared" si="8"/>
        <v>821390.42999999993</v>
      </c>
      <c r="L52" s="734">
        <f t="shared" si="8"/>
        <v>-494303.97000000067</v>
      </c>
      <c r="M52" s="734">
        <f t="shared" si="8"/>
        <v>-439560</v>
      </c>
      <c r="N52" s="734">
        <f t="shared" si="0"/>
        <v>115284544.81000002</v>
      </c>
      <c r="O52" s="734"/>
      <c r="P52" s="734">
        <f>+SUM(P42:P51)</f>
        <v>49551774.136671081</v>
      </c>
      <c r="Q52" s="734">
        <f>+SUM(Q42:Q51)</f>
        <v>14293903.026671078</v>
      </c>
      <c r="R52" s="734">
        <f>SUM(R42:R51)</f>
        <v>80026673.699999988</v>
      </c>
      <c r="S52" s="611">
        <f>R41+R52</f>
        <v>207551465.72</v>
      </c>
      <c r="T52" s="695"/>
    </row>
    <row r="53" spans="1:23" s="615" customFormat="1" ht="15.75" customHeight="1">
      <c r="A53" s="604"/>
      <c r="B53" s="746">
        <f t="shared" ref="B53:N53" si="9">+B23-B41-B52</f>
        <v>0</v>
      </c>
      <c r="C53" s="746">
        <f t="shared" si="9"/>
        <v>0.30999999493360519</v>
      </c>
      <c r="D53" s="746">
        <f t="shared" si="9"/>
        <v>2.9999999795109034E-2</v>
      </c>
      <c r="E53" s="746">
        <f t="shared" si="9"/>
        <v>0</v>
      </c>
      <c r="F53" s="746">
        <f t="shared" si="9"/>
        <v>0</v>
      </c>
      <c r="G53" s="746">
        <f t="shared" si="9"/>
        <v>0.47999999998137355</v>
      </c>
      <c r="H53" s="746">
        <f t="shared" si="9"/>
        <v>0</v>
      </c>
      <c r="I53" s="746">
        <f t="shared" si="9"/>
        <v>0</v>
      </c>
      <c r="J53" s="746">
        <f t="shared" si="9"/>
        <v>0</v>
      </c>
      <c r="K53" s="746">
        <f t="shared" si="9"/>
        <v>-0.37000000034458935</v>
      </c>
      <c r="L53" s="746">
        <f t="shared" si="9"/>
        <v>0.39000000094529241</v>
      </c>
      <c r="M53" s="746">
        <f t="shared" si="9"/>
        <v>0</v>
      </c>
      <c r="N53" s="746">
        <f t="shared" si="9"/>
        <v>0.8399999588727951</v>
      </c>
      <c r="O53" s="747"/>
      <c r="P53" s="746">
        <f>P41+P52+P23</f>
        <v>65676348.016671084</v>
      </c>
      <c r="Q53" s="746">
        <f>Q41+Q52+Q23</f>
        <v>65676348.016671076</v>
      </c>
      <c r="R53" s="746">
        <f>R23-R41-R52</f>
        <v>0.84000003337860107</v>
      </c>
      <c r="S53" s="613"/>
      <c r="T53" s="614"/>
    </row>
    <row r="54" spans="1:23" s="615" customFormat="1" ht="15.75" customHeight="1">
      <c r="A54" s="604"/>
      <c r="B54" s="697"/>
      <c r="C54" s="698"/>
      <c r="D54" s="698"/>
      <c r="E54" s="698"/>
      <c r="F54" s="698"/>
      <c r="G54" s="698"/>
      <c r="H54" s="698"/>
      <c r="I54" s="698"/>
      <c r="J54" s="698"/>
      <c r="K54" s="698"/>
      <c r="L54" s="698"/>
      <c r="M54" s="698"/>
      <c r="N54" s="698"/>
      <c r="O54" s="699"/>
      <c r="P54" s="698"/>
      <c r="Q54" s="700">
        <f>P53-Q53</f>
        <v>0</v>
      </c>
      <c r="R54" s="698"/>
      <c r="S54" s="614"/>
      <c r="T54" s="614"/>
    </row>
    <row r="55" spans="1:23" ht="78" customHeight="1">
      <c r="A55" s="602" t="s">
        <v>4</v>
      </c>
      <c r="B55" s="701" t="s">
        <v>555</v>
      </c>
      <c r="C55" s="702" t="s">
        <v>556</v>
      </c>
      <c r="D55" s="702" t="s">
        <v>557</v>
      </c>
      <c r="E55" s="702" t="s">
        <v>558</v>
      </c>
      <c r="F55" s="702" t="s">
        <v>559</v>
      </c>
      <c r="G55" s="702" t="s">
        <v>560</v>
      </c>
      <c r="H55" s="702" t="s">
        <v>561</v>
      </c>
      <c r="I55" s="702" t="s">
        <v>562</v>
      </c>
      <c r="J55" s="702" t="s">
        <v>563</v>
      </c>
      <c r="K55" s="702" t="s">
        <v>564</v>
      </c>
      <c r="L55" s="702" t="s">
        <v>565</v>
      </c>
      <c r="M55" s="702" t="s">
        <v>566</v>
      </c>
      <c r="N55" s="702" t="s">
        <v>15</v>
      </c>
      <c r="O55" s="702" t="s">
        <v>10</v>
      </c>
      <c r="P55" s="702" t="s">
        <v>12</v>
      </c>
      <c r="Q55" s="702" t="s">
        <v>13</v>
      </c>
      <c r="R55" s="702" t="s">
        <v>567</v>
      </c>
    </row>
    <row r="56" spans="1:23" ht="15.75" customHeight="1">
      <c r="A56" s="178" t="s">
        <v>89</v>
      </c>
      <c r="B56" s="703">
        <v>159047272.44999999</v>
      </c>
      <c r="C56" s="703">
        <v>1209636.21</v>
      </c>
      <c r="D56" s="703">
        <v>820979.6</v>
      </c>
      <c r="E56" s="703"/>
      <c r="F56" s="703"/>
      <c r="G56" s="703"/>
      <c r="H56" s="703"/>
      <c r="I56" s="703"/>
      <c r="J56" s="703"/>
      <c r="K56" s="703">
        <v>261368.17</v>
      </c>
      <c r="L56" s="703">
        <v>413962</v>
      </c>
      <c r="M56" s="703">
        <v>1167906</v>
      </c>
      <c r="N56" s="704">
        <f>SUM(B56:M56)</f>
        <v>162921124.42999998</v>
      </c>
      <c r="O56" s="705"/>
      <c r="P56" s="732">
        <f>+'Transacciones 2018'!D33</f>
        <v>3060845</v>
      </c>
      <c r="Q56" s="703"/>
      <c r="R56" s="706">
        <f t="shared" ref="R56" si="10">N56-P56+Q56</f>
        <v>159860279.42999998</v>
      </c>
    </row>
    <row r="57" spans="1:23" ht="15.75" customHeight="1" thickBot="1">
      <c r="A57" s="5" t="s">
        <v>90</v>
      </c>
      <c r="B57" s="707">
        <v>-103569767</v>
      </c>
      <c r="C57" s="707">
        <v>-3723788.13</v>
      </c>
      <c r="D57" s="707">
        <v>-465992.01</v>
      </c>
      <c r="E57" s="707"/>
      <c r="F57" s="707"/>
      <c r="G57" s="707"/>
      <c r="H57" s="707"/>
      <c r="I57" s="707"/>
      <c r="J57" s="707"/>
      <c r="K57" s="707">
        <v>-534980.30000000005</v>
      </c>
      <c r="L57" s="707">
        <v>-301584</v>
      </c>
      <c r="M57" s="707">
        <v>-318733</v>
      </c>
      <c r="N57" s="708">
        <f>SUM(B57:M57)</f>
        <v>-108914844.44</v>
      </c>
      <c r="O57" s="709"/>
      <c r="P57" s="710"/>
      <c r="Q57" s="733">
        <f>+'Transacciones 2018'!E34</f>
        <v>3049989</v>
      </c>
      <c r="R57" s="711">
        <f>N57-P57+Q57</f>
        <v>-105864855.44</v>
      </c>
    </row>
    <row r="58" spans="1:23" ht="15.75" customHeight="1">
      <c r="A58" s="5" t="s">
        <v>94</v>
      </c>
      <c r="B58" s="712">
        <f>SUM(B56:B57)</f>
        <v>55477505.449999988</v>
      </c>
      <c r="C58" s="703">
        <f t="shared" ref="C58:M58" si="11">SUM(C56:C57)</f>
        <v>-2514151.92</v>
      </c>
      <c r="D58" s="703">
        <f t="shared" si="11"/>
        <v>354987.58999999997</v>
      </c>
      <c r="E58" s="703">
        <f t="shared" si="11"/>
        <v>0</v>
      </c>
      <c r="F58" s="703">
        <f t="shared" si="11"/>
        <v>0</v>
      </c>
      <c r="G58" s="703">
        <f t="shared" si="11"/>
        <v>0</v>
      </c>
      <c r="H58" s="703">
        <f t="shared" si="11"/>
        <v>0</v>
      </c>
      <c r="I58" s="703">
        <f t="shared" si="11"/>
        <v>0</v>
      </c>
      <c r="J58" s="703">
        <f t="shared" si="11"/>
        <v>0</v>
      </c>
      <c r="K58" s="703">
        <f t="shared" si="11"/>
        <v>-273612.13</v>
      </c>
      <c r="L58" s="703">
        <f t="shared" si="11"/>
        <v>112378</v>
      </c>
      <c r="M58" s="703">
        <f t="shared" si="11"/>
        <v>849173</v>
      </c>
      <c r="N58" s="703">
        <f>SUM(N56:N57)</f>
        <v>54006279.98999998</v>
      </c>
      <c r="O58" s="709"/>
      <c r="P58" s="703" t="s">
        <v>340</v>
      </c>
      <c r="Q58" s="703"/>
      <c r="R58" s="703">
        <f>SUM(R56:R57)</f>
        <v>53995423.98999998</v>
      </c>
    </row>
    <row r="59" spans="1:23" ht="15.75" customHeight="1">
      <c r="A59" s="605"/>
      <c r="B59" s="710"/>
      <c r="C59" s="710"/>
      <c r="D59" s="710"/>
      <c r="E59" s="710"/>
      <c r="F59" s="710"/>
      <c r="G59" s="710"/>
      <c r="H59" s="710"/>
      <c r="I59" s="710"/>
      <c r="J59" s="710"/>
      <c r="K59" s="710"/>
      <c r="L59" s="710"/>
      <c r="M59" s="710"/>
      <c r="N59" s="713"/>
      <c r="O59" s="709"/>
      <c r="P59" s="710"/>
      <c r="Q59" s="710"/>
      <c r="R59" s="714"/>
    </row>
    <row r="60" spans="1:23" ht="15.75" customHeight="1">
      <c r="A60" s="5" t="s">
        <v>91</v>
      </c>
      <c r="B60" s="710">
        <f>-34477490</f>
        <v>-34477490</v>
      </c>
      <c r="C60" s="710">
        <v>-1061442.6299999999</v>
      </c>
      <c r="D60" s="710">
        <f>-270415.44+175129</f>
        <v>-95286.44</v>
      </c>
      <c r="E60" s="710"/>
      <c r="F60" s="710">
        <v>-159381</v>
      </c>
      <c r="G60" s="710"/>
      <c r="H60" s="710"/>
      <c r="I60" s="710"/>
      <c r="J60" s="715"/>
      <c r="K60" s="710">
        <v>-330763.33</v>
      </c>
      <c r="L60" s="710">
        <f>-507452+6747</f>
        <v>-500705</v>
      </c>
      <c r="M60" s="710">
        <v>-676013</v>
      </c>
      <c r="N60" s="713">
        <f>SUM(B60:M60)</f>
        <v>-37301081.399999999</v>
      </c>
      <c r="O60" s="709"/>
      <c r="P60" s="710"/>
      <c r="Q60" s="733">
        <f>+'Transacciones 2018'!E35</f>
        <v>10856</v>
      </c>
      <c r="R60" s="714">
        <f t="shared" ref="R60" si="12">N60-P60+Q60</f>
        <v>-37290225.399999999</v>
      </c>
    </row>
    <row r="61" spans="1:23" ht="15.75" customHeight="1" thickBot="1">
      <c r="A61" s="606" t="s">
        <v>92</v>
      </c>
      <c r="B61" s="707">
        <f>-1477407</f>
        <v>-1477407</v>
      </c>
      <c r="C61" s="707">
        <v>0</v>
      </c>
      <c r="D61" s="716">
        <v>-8855</v>
      </c>
      <c r="E61" s="707"/>
      <c r="F61" s="707"/>
      <c r="G61" s="707"/>
      <c r="H61" s="707"/>
      <c r="I61" s="707"/>
      <c r="J61" s="707"/>
      <c r="K61" s="707">
        <v>4210.09</v>
      </c>
      <c r="L61" s="717">
        <v>3550.68</v>
      </c>
      <c r="M61" s="707">
        <v>0</v>
      </c>
      <c r="N61" s="708">
        <f>SUM(B61:M61)</f>
        <v>-1478501.23</v>
      </c>
      <c r="O61" s="709" t="s">
        <v>655</v>
      </c>
      <c r="P61" s="710"/>
      <c r="Q61" s="733">
        <f>'Inversiones 2018'!C68</f>
        <v>366831.5299999998</v>
      </c>
      <c r="R61" s="711">
        <f>N61-P61+Q61</f>
        <v>-1111669.7000000002</v>
      </c>
    </row>
    <row r="62" spans="1:23" ht="15.75" customHeight="1">
      <c r="A62" s="606" t="s">
        <v>93</v>
      </c>
      <c r="B62" s="712">
        <f>SUM(B58:B61)</f>
        <v>19522608.449999988</v>
      </c>
      <c r="C62" s="703">
        <f>SUM(C58:C61)</f>
        <v>-3575594.55</v>
      </c>
      <c r="D62" s="703">
        <f>SUM(D58:D61)</f>
        <v>250846.14999999997</v>
      </c>
      <c r="E62" s="703">
        <f t="shared" ref="E62:M62" si="13">SUM(E58:E61)</f>
        <v>0</v>
      </c>
      <c r="F62" s="703">
        <f t="shared" si="13"/>
        <v>-159381</v>
      </c>
      <c r="G62" s="703">
        <f t="shared" si="13"/>
        <v>0</v>
      </c>
      <c r="H62" s="703">
        <f t="shared" si="13"/>
        <v>0</v>
      </c>
      <c r="I62" s="703">
        <f t="shared" si="13"/>
        <v>0</v>
      </c>
      <c r="J62" s="703">
        <f t="shared" si="13"/>
        <v>0</v>
      </c>
      <c r="K62" s="703">
        <f t="shared" si="13"/>
        <v>-600165.37</v>
      </c>
      <c r="L62" s="703">
        <f t="shared" si="13"/>
        <v>-384776.32</v>
      </c>
      <c r="M62" s="703">
        <f t="shared" si="13"/>
        <v>173160</v>
      </c>
      <c r="N62" s="703">
        <f>SUM(N58:N61)</f>
        <v>15226697.359999981</v>
      </c>
      <c r="O62" s="709"/>
      <c r="P62" s="703"/>
      <c r="Q62" s="703"/>
      <c r="R62" s="703">
        <f t="shared" ref="R62" si="14">SUM(R58:R61)</f>
        <v>15593528.889999982</v>
      </c>
    </row>
    <row r="63" spans="1:23" ht="15.75" customHeight="1">
      <c r="A63" s="606"/>
      <c r="B63" s="710"/>
      <c r="C63" s="710"/>
      <c r="D63" s="710"/>
      <c r="E63" s="710"/>
      <c r="F63" s="710"/>
      <c r="G63" s="710"/>
      <c r="H63" s="710"/>
      <c r="I63" s="710"/>
      <c r="J63" s="710"/>
      <c r="K63" s="710"/>
      <c r="L63" s="710"/>
      <c r="M63" s="710"/>
      <c r="N63" s="713"/>
      <c r="O63" s="709"/>
      <c r="P63" s="710"/>
      <c r="Q63" s="710"/>
      <c r="R63" s="714"/>
      <c r="S63" s="610"/>
    </row>
    <row r="64" spans="1:23" ht="15.75" customHeight="1" thickBot="1">
      <c r="A64" s="606" t="s">
        <v>95</v>
      </c>
      <c r="B64" s="707">
        <v>-3489748</v>
      </c>
      <c r="C64" s="707">
        <v>3.35</v>
      </c>
      <c r="D64" s="707">
        <v>-173996</v>
      </c>
      <c r="E64" s="707"/>
      <c r="F64" s="707"/>
      <c r="G64" s="707"/>
      <c r="H64" s="707"/>
      <c r="I64" s="707"/>
      <c r="J64" s="707"/>
      <c r="K64" s="707"/>
      <c r="L64" s="707">
        <v>-6747.55</v>
      </c>
      <c r="M64" s="707">
        <v>-1632</v>
      </c>
      <c r="N64" s="708">
        <f>SUM(B64:M64)</f>
        <v>-3672120.1999999997</v>
      </c>
      <c r="O64" s="709"/>
      <c r="P64" s="710"/>
      <c r="Q64" s="710"/>
      <c r="R64" s="711">
        <f>N64-P64+Q64</f>
        <v>-3672120.1999999997</v>
      </c>
      <c r="S64" s="610"/>
    </row>
    <row r="65" spans="1:22" ht="15.75" customHeight="1">
      <c r="A65" s="606" t="s">
        <v>96</v>
      </c>
      <c r="B65" s="712">
        <f>+B62+B64</f>
        <v>16032860.449999988</v>
      </c>
      <c r="C65" s="703">
        <f t="shared" ref="C65:M65" si="15">+C62+C64</f>
        <v>-3575591.1999999997</v>
      </c>
      <c r="D65" s="703">
        <f t="shared" si="15"/>
        <v>76850.149999999965</v>
      </c>
      <c r="E65" s="703">
        <f t="shared" si="15"/>
        <v>0</v>
      </c>
      <c r="F65" s="703">
        <f t="shared" si="15"/>
        <v>-159381</v>
      </c>
      <c r="G65" s="703">
        <f t="shared" si="15"/>
        <v>0</v>
      </c>
      <c r="H65" s="703">
        <f t="shared" si="15"/>
        <v>0</v>
      </c>
      <c r="I65" s="703">
        <f t="shared" si="15"/>
        <v>0</v>
      </c>
      <c r="J65" s="703">
        <f t="shared" si="15"/>
        <v>0</v>
      </c>
      <c r="K65" s="703">
        <f t="shared" si="15"/>
        <v>-600165.37</v>
      </c>
      <c r="L65" s="703">
        <f t="shared" si="15"/>
        <v>-391523.87</v>
      </c>
      <c r="M65" s="703">
        <f t="shared" si="15"/>
        <v>171528</v>
      </c>
      <c r="N65" s="703">
        <f>+N62+N64</f>
        <v>11554577.159999982</v>
      </c>
      <c r="O65" s="709"/>
      <c r="P65" s="710"/>
      <c r="Q65" s="710"/>
      <c r="R65" s="703">
        <f t="shared" ref="R65" si="16">+R62+R64</f>
        <v>11921408.689999983</v>
      </c>
      <c r="S65" s="610"/>
    </row>
    <row r="66" spans="1:22" ht="15.75" customHeight="1">
      <c r="A66" s="606"/>
      <c r="B66" s="712"/>
      <c r="C66" s="703"/>
      <c r="D66" s="703"/>
      <c r="E66" s="703"/>
      <c r="F66" s="703"/>
      <c r="G66" s="703"/>
      <c r="H66" s="703"/>
      <c r="I66" s="703"/>
      <c r="J66" s="703"/>
      <c r="K66" s="703"/>
      <c r="L66" s="703"/>
      <c r="M66" s="703"/>
      <c r="N66" s="703"/>
      <c r="O66" s="709"/>
      <c r="P66" s="710"/>
      <c r="Q66" s="710"/>
      <c r="R66" s="703"/>
    </row>
    <row r="67" spans="1:22" ht="15.75" customHeight="1">
      <c r="A67" s="606" t="s">
        <v>112</v>
      </c>
      <c r="B67" s="710">
        <v>-2404929</v>
      </c>
      <c r="C67" s="710"/>
      <c r="D67" s="710">
        <v>-12686</v>
      </c>
      <c r="E67" s="710"/>
      <c r="F67" s="710"/>
      <c r="G67" s="710"/>
      <c r="H67" s="710"/>
      <c r="I67" s="710"/>
      <c r="J67" s="710"/>
      <c r="K67" s="710"/>
      <c r="L67" s="710">
        <v>0</v>
      </c>
      <c r="M67" s="710"/>
      <c r="N67" s="713">
        <f>SUM(B67:M67)</f>
        <v>-2417615</v>
      </c>
      <c r="O67" s="709"/>
      <c r="P67" s="710"/>
      <c r="Q67" s="710"/>
      <c r="R67" s="714">
        <f>N67-P67+Q67</f>
        <v>-2417615</v>
      </c>
    </row>
    <row r="68" spans="1:22" ht="15.75" customHeight="1">
      <c r="A68" s="5" t="s">
        <v>23</v>
      </c>
      <c r="B68" s="714">
        <v>-4237903</v>
      </c>
      <c r="C68" s="714"/>
      <c r="D68" s="714">
        <v>-16510</v>
      </c>
      <c r="E68" s="714"/>
      <c r="F68" s="714"/>
      <c r="G68" s="714"/>
      <c r="H68" s="714"/>
      <c r="I68" s="714"/>
      <c r="J68" s="714"/>
      <c r="K68" s="714"/>
      <c r="L68" s="714">
        <v>0</v>
      </c>
      <c r="M68" s="714">
        <v>21442</v>
      </c>
      <c r="N68" s="713">
        <f>SUM(B68:M68)</f>
        <v>-4232971</v>
      </c>
      <c r="O68" s="718"/>
      <c r="P68" s="714"/>
      <c r="Q68" s="710"/>
      <c r="R68" s="714">
        <f>N68-P68+Q68</f>
        <v>-4232971</v>
      </c>
    </row>
    <row r="69" spans="1:22">
      <c r="A69" s="5" t="s">
        <v>9</v>
      </c>
      <c r="B69" s="719">
        <f t="shared" ref="B69:G69" si="17">+B65+B67+B68</f>
        <v>9390028.4499999881</v>
      </c>
      <c r="C69" s="714">
        <f t="shared" si="17"/>
        <v>-3575591.1999999997</v>
      </c>
      <c r="D69" s="714">
        <f t="shared" si="17"/>
        <v>47654.149999999965</v>
      </c>
      <c r="E69" s="714">
        <f t="shared" si="17"/>
        <v>0</v>
      </c>
      <c r="F69" s="714">
        <f t="shared" si="17"/>
        <v>-159381</v>
      </c>
      <c r="G69" s="714">
        <f t="shared" si="17"/>
        <v>0</v>
      </c>
      <c r="H69" s="714">
        <f t="shared" ref="H69:J69" si="18">+H65+H68</f>
        <v>0</v>
      </c>
      <c r="I69" s="714">
        <f t="shared" si="18"/>
        <v>0</v>
      </c>
      <c r="J69" s="714">
        <f t="shared" si="18"/>
        <v>0</v>
      </c>
      <c r="K69" s="714">
        <f>+K65+K67+K68</f>
        <v>-600165.37</v>
      </c>
      <c r="L69" s="714">
        <f>+L65+L67+L68</f>
        <v>-391523.87</v>
      </c>
      <c r="M69" s="714">
        <f>+M65+M67+M68</f>
        <v>192970</v>
      </c>
      <c r="N69" s="714">
        <f>+N65+N67+N68</f>
        <v>4903991.1599999815</v>
      </c>
      <c r="O69" s="718"/>
      <c r="P69" s="714"/>
      <c r="Q69" s="714"/>
      <c r="R69" s="714">
        <f>+R65+R67+R68</f>
        <v>5270822.6899999827</v>
      </c>
    </row>
    <row r="70" spans="1:22">
      <c r="A70" s="5"/>
      <c r="B70" s="719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8"/>
      <c r="P70" s="714"/>
      <c r="Q70" s="714"/>
      <c r="R70" s="714"/>
    </row>
    <row r="71" spans="1:22">
      <c r="A71" s="5" t="s">
        <v>285</v>
      </c>
      <c r="B71" s="714">
        <v>70086</v>
      </c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3">
        <f>SUM(B71:M71)</f>
        <v>70086</v>
      </c>
      <c r="O71" s="718"/>
      <c r="P71" s="714"/>
      <c r="Q71" s="714"/>
      <c r="R71" s="714">
        <f>N71-P71+Q71</f>
        <v>70086</v>
      </c>
    </row>
    <row r="72" spans="1:22">
      <c r="A72" s="724" t="s">
        <v>286</v>
      </c>
      <c r="B72" s="725">
        <f>B69+B71</f>
        <v>9460114.4499999881</v>
      </c>
      <c r="C72" s="726">
        <f t="shared" ref="C72:M72" si="19">C69+C71</f>
        <v>-3575591.1999999997</v>
      </c>
      <c r="D72" s="726">
        <f t="shared" si="19"/>
        <v>47654.149999999965</v>
      </c>
      <c r="E72" s="726">
        <f t="shared" si="19"/>
        <v>0</v>
      </c>
      <c r="F72" s="726">
        <f t="shared" si="19"/>
        <v>-159381</v>
      </c>
      <c r="G72" s="726">
        <f t="shared" si="19"/>
        <v>0</v>
      </c>
      <c r="H72" s="726">
        <f t="shared" si="19"/>
        <v>0</v>
      </c>
      <c r="I72" s="726">
        <f t="shared" si="19"/>
        <v>0</v>
      </c>
      <c r="J72" s="726">
        <f t="shared" si="19"/>
        <v>0</v>
      </c>
      <c r="K72" s="726">
        <f t="shared" si="19"/>
        <v>-600165.37</v>
      </c>
      <c r="L72" s="726">
        <f t="shared" si="19"/>
        <v>-391523.87</v>
      </c>
      <c r="M72" s="726">
        <f t="shared" si="19"/>
        <v>192970</v>
      </c>
      <c r="N72" s="726">
        <f>N69+N71</f>
        <v>4974077.1599999815</v>
      </c>
      <c r="O72" s="726"/>
      <c r="P72" s="726">
        <f>SUM(P56:P71)</f>
        <v>3060845</v>
      </c>
      <c r="Q72" s="726">
        <f>SUM(Q56:Q71)</f>
        <v>3427676.53</v>
      </c>
      <c r="R72" s="726">
        <f>R69+R71</f>
        <v>5340908.6899999827</v>
      </c>
    </row>
    <row r="73" spans="1:22">
      <c r="A73" s="604"/>
      <c r="B73" s="720"/>
      <c r="C73" s="720"/>
      <c r="D73" s="720"/>
      <c r="E73" s="721"/>
      <c r="F73" s="720"/>
      <c r="G73" s="720"/>
      <c r="H73" s="720"/>
      <c r="I73" s="720"/>
      <c r="J73" s="720"/>
      <c r="K73" s="720"/>
      <c r="L73" s="720"/>
      <c r="M73" s="720"/>
      <c r="N73" s="720"/>
      <c r="O73" s="722"/>
      <c r="P73" s="720"/>
      <c r="Q73" s="720">
        <f>+P72-Q72</f>
        <v>-366831.5299999998</v>
      </c>
      <c r="R73" s="720"/>
    </row>
    <row r="74" spans="1:22" ht="21.75" customHeight="1">
      <c r="A74" s="607"/>
      <c r="B74" s="695"/>
      <c r="C74" s="695"/>
      <c r="D74" s="695"/>
      <c r="E74" s="695"/>
      <c r="F74" s="695"/>
      <c r="G74" s="695"/>
      <c r="H74" s="695"/>
      <c r="I74" s="695"/>
      <c r="J74" s="695"/>
      <c r="K74" s="695"/>
      <c r="L74" s="695"/>
      <c r="M74" s="695"/>
      <c r="N74" s="695"/>
      <c r="O74" s="695"/>
      <c r="P74" s="695"/>
      <c r="Q74" s="695"/>
      <c r="R74" s="695"/>
    </row>
    <row r="75" spans="1:22" ht="21.75" customHeight="1">
      <c r="A75" s="608"/>
      <c r="B75" s="723">
        <f t="shared" ref="B75:N75" si="20">+B52+B41-B23</f>
        <v>0</v>
      </c>
      <c r="C75" s="723">
        <f t="shared" si="20"/>
        <v>-0.30999999493360519</v>
      </c>
      <c r="D75" s="723">
        <f t="shared" si="20"/>
        <v>-2.9999999329447746E-2</v>
      </c>
      <c r="E75" s="723">
        <f t="shared" si="20"/>
        <v>0</v>
      </c>
      <c r="F75" s="723">
        <f t="shared" si="20"/>
        <v>0</v>
      </c>
      <c r="G75" s="723">
        <f t="shared" si="20"/>
        <v>-0.47999999998137355</v>
      </c>
      <c r="H75" s="723">
        <f t="shared" si="20"/>
        <v>0</v>
      </c>
      <c r="I75" s="723">
        <f t="shared" si="20"/>
        <v>0</v>
      </c>
      <c r="J75" s="723">
        <f t="shared" si="20"/>
        <v>0</v>
      </c>
      <c r="K75" s="723">
        <f t="shared" si="20"/>
        <v>0.37000000011175871</v>
      </c>
      <c r="L75" s="723">
        <f t="shared" si="20"/>
        <v>-0.39000000094529241</v>
      </c>
      <c r="M75" s="723">
        <f t="shared" si="20"/>
        <v>0</v>
      </c>
      <c r="N75" s="723">
        <f t="shared" si="20"/>
        <v>-0.83999994397163391</v>
      </c>
      <c r="O75" s="695"/>
      <c r="P75" s="723"/>
      <c r="Q75" s="723"/>
      <c r="R75" s="723">
        <f>+R52+R41-R23</f>
        <v>-0.84000003337860107</v>
      </c>
    </row>
    <row r="76" spans="1:22">
      <c r="B76" s="695"/>
      <c r="C76" s="695"/>
      <c r="D76" s="695"/>
      <c r="E76" s="695"/>
      <c r="F76" s="695"/>
      <c r="G76" s="695"/>
      <c r="H76" s="695"/>
      <c r="I76" s="695"/>
      <c r="J76" s="695"/>
      <c r="K76" s="695"/>
      <c r="L76" s="695"/>
      <c r="M76" s="695"/>
      <c r="N76" s="695"/>
      <c r="O76" s="695"/>
      <c r="P76" s="695"/>
      <c r="Q76" s="695"/>
      <c r="R76" s="695"/>
      <c r="T76" s="610"/>
    </row>
    <row r="77" spans="1:22">
      <c r="A77" s="616" t="s">
        <v>273</v>
      </c>
      <c r="B77" s="687">
        <f>+B72*100%</f>
        <v>9460114.4499999881</v>
      </c>
      <c r="C77" s="687">
        <f>+C72*'Participaciones 2018'!E16</f>
        <v>-2682408.5182399997</v>
      </c>
      <c r="D77" s="687">
        <f>+D72*'Participaciones 2018'!G16</f>
        <v>47651.993703619875</v>
      </c>
      <c r="E77" s="695">
        <f>+E72*'Participaciones 2018'!I16</f>
        <v>0</v>
      </c>
      <c r="F77" s="695">
        <f>+F72*'Participaciones 2018'!K16</f>
        <v>-79690.5</v>
      </c>
      <c r="G77" s="695">
        <f>+G72*'Participaciones 2018'!M16</f>
        <v>0</v>
      </c>
      <c r="H77" s="695">
        <f>+H72*'Participaciones 2018'!O16</f>
        <v>0</v>
      </c>
      <c r="I77" s="695">
        <f>+I72*'Participaciones 2018'!Q16</f>
        <v>0</v>
      </c>
      <c r="J77" s="695">
        <f>+J72*'Participaciones 2018'!S16</f>
        <v>0</v>
      </c>
      <c r="K77" s="687">
        <f>+K72*'Participaciones 2018'!U16</f>
        <v>-555152.96724999999</v>
      </c>
      <c r="L77" s="687">
        <f>+L72*'Participaciones 2018'!W16</f>
        <v>-387608.63130000001</v>
      </c>
      <c r="M77" s="687">
        <f>+M72*'Participaciones 2018'!Y16</f>
        <v>192970</v>
      </c>
      <c r="N77" s="695">
        <f>SUM(B77:M77)</f>
        <v>5995875.8269136082</v>
      </c>
      <c r="O77" s="695"/>
      <c r="P77" s="695">
        <f>+P61+P56</f>
        <v>3060845</v>
      </c>
      <c r="Q77" s="695">
        <f>Q57+Q61+Q60</f>
        <v>3427676.53</v>
      </c>
      <c r="R77" s="695">
        <f>+N77-P77+Q77</f>
        <v>6362707.3569136076</v>
      </c>
      <c r="S77" s="618"/>
    </row>
    <row r="78" spans="1:22">
      <c r="A78" s="616" t="s">
        <v>274</v>
      </c>
      <c r="B78" s="687">
        <f>+B72-B77</f>
        <v>0</v>
      </c>
      <c r="C78" s="687">
        <f t="shared" ref="C78:M78" si="21">+C72-C77</f>
        <v>-893182.68176000006</v>
      </c>
      <c r="D78" s="687">
        <f t="shared" si="21"/>
        <v>2.1562963800897705</v>
      </c>
      <c r="E78" s="687">
        <f t="shared" si="21"/>
        <v>0</v>
      </c>
      <c r="F78" s="687">
        <f t="shared" si="21"/>
        <v>-79690.5</v>
      </c>
      <c r="G78" s="687">
        <f t="shared" si="21"/>
        <v>0</v>
      </c>
      <c r="H78" s="687">
        <f t="shared" si="21"/>
        <v>0</v>
      </c>
      <c r="I78" s="687">
        <f t="shared" si="21"/>
        <v>0</v>
      </c>
      <c r="J78" s="687">
        <f t="shared" si="21"/>
        <v>0</v>
      </c>
      <c r="K78" s="687">
        <f t="shared" si="21"/>
        <v>-45012.402750000008</v>
      </c>
      <c r="L78" s="687">
        <f t="shared" si="21"/>
        <v>-3915.2386999999871</v>
      </c>
      <c r="M78" s="687">
        <f t="shared" si="21"/>
        <v>0</v>
      </c>
      <c r="N78" s="695">
        <f>SUM(B78:M78)</f>
        <v>-1021798.66691362</v>
      </c>
      <c r="O78" s="695"/>
      <c r="P78" s="695"/>
      <c r="Q78" s="695"/>
      <c r="R78" s="695">
        <f>+N78-P78+Q78</f>
        <v>-1021798.66691362</v>
      </c>
      <c r="U78" s="611"/>
      <c r="V78" s="617"/>
    </row>
    <row r="79" spans="1:22">
      <c r="B79" s="695">
        <f t="shared" ref="B79:J79" si="22">+B77+B78</f>
        <v>9460114.4499999881</v>
      </c>
      <c r="C79" s="695">
        <f t="shared" si="22"/>
        <v>-3575591.1999999997</v>
      </c>
      <c r="D79" s="695">
        <f t="shared" si="22"/>
        <v>47654.149999999965</v>
      </c>
      <c r="E79" s="695">
        <f t="shared" si="22"/>
        <v>0</v>
      </c>
      <c r="F79" s="695">
        <f t="shared" si="22"/>
        <v>-159381</v>
      </c>
      <c r="G79" s="695">
        <f t="shared" si="22"/>
        <v>0</v>
      </c>
      <c r="H79" s="695">
        <f t="shared" si="22"/>
        <v>0</v>
      </c>
      <c r="I79" s="695">
        <f t="shared" si="22"/>
        <v>0</v>
      </c>
      <c r="J79" s="695">
        <f t="shared" si="22"/>
        <v>0</v>
      </c>
      <c r="K79" s="695">
        <f>+K77+K78</f>
        <v>-600165.37</v>
      </c>
      <c r="L79" s="695">
        <f>+L77+L78</f>
        <v>-391523.87</v>
      </c>
      <c r="M79" s="695">
        <f>+M77+M78</f>
        <v>192970</v>
      </c>
      <c r="N79" s="695">
        <f>+N77+N78</f>
        <v>4974077.159999988</v>
      </c>
      <c r="O79" s="695"/>
      <c r="P79" s="695">
        <f t="shared" ref="P79:R79" si="23">+P77+P78</f>
        <v>3060845</v>
      </c>
      <c r="Q79" s="695">
        <f t="shared" si="23"/>
        <v>3427676.53</v>
      </c>
      <c r="R79" s="695">
        <f t="shared" si="23"/>
        <v>5340908.6899999874</v>
      </c>
    </row>
    <row r="80" spans="1:22">
      <c r="B80" s="695"/>
      <c r="C80" s="695"/>
      <c r="D80" s="695"/>
      <c r="E80" s="695"/>
      <c r="F80" s="695"/>
      <c r="G80" s="695"/>
      <c r="H80" s="695"/>
      <c r="I80" s="695"/>
      <c r="J80" s="695"/>
      <c r="K80" s="695"/>
      <c r="L80" s="695"/>
      <c r="M80" s="695"/>
      <c r="N80" s="695"/>
      <c r="O80" s="695"/>
      <c r="P80" s="695"/>
      <c r="Q80" s="695"/>
      <c r="R80" s="695"/>
    </row>
    <row r="81" spans="2:18">
      <c r="B81" s="695"/>
      <c r="C81" s="695"/>
      <c r="D81" s="695"/>
      <c r="E81" s="695"/>
      <c r="F81" s="695"/>
      <c r="G81" s="695"/>
      <c r="H81" s="695"/>
      <c r="I81" s="695"/>
      <c r="J81" s="695"/>
      <c r="K81" s="695"/>
      <c r="L81" s="695"/>
      <c r="M81" s="695"/>
      <c r="N81" s="695"/>
      <c r="O81" s="695"/>
      <c r="P81" s="695"/>
      <c r="Q81" s="687"/>
      <c r="R81" s="695"/>
    </row>
  </sheetData>
  <mergeCells count="1">
    <mergeCell ref="P3:Q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499984740745262"/>
  </sheetPr>
  <dimension ref="A1:U110"/>
  <sheetViews>
    <sheetView showGridLines="0" workbookViewId="0">
      <selection activeCell="K10" sqref="K10"/>
    </sheetView>
  </sheetViews>
  <sheetFormatPr defaultColWidth="11.42578125" defaultRowHeight="8.25" outlineLevelCol="1"/>
  <cols>
    <col min="1" max="1" width="27.42578125" style="449" customWidth="1"/>
    <col min="2" max="2" width="13" style="449" customWidth="1"/>
    <col min="3" max="3" width="12.7109375" style="449" bestFit="1" customWidth="1"/>
    <col min="4" max="4" width="9.7109375" style="436" bestFit="1" customWidth="1"/>
    <col min="5" max="5" width="9" style="449" hidden="1" customWidth="1" outlineLevel="1"/>
    <col min="6" max="6" width="6.5703125" style="436" hidden="1" customWidth="1" outlineLevel="1"/>
    <col min="7" max="7" width="4.140625" style="449" bestFit="1" customWidth="1" collapsed="1"/>
    <col min="8" max="8" width="28.7109375" style="449" customWidth="1"/>
    <col min="9" max="9" width="12.42578125" style="449" bestFit="1" customWidth="1"/>
    <col min="10" max="10" width="10.28515625" style="449" bestFit="1" customWidth="1"/>
    <col min="11" max="11" width="11.5703125" style="449" bestFit="1" customWidth="1"/>
    <col min="12" max="12" width="9.28515625" style="771" bestFit="1" customWidth="1"/>
    <col min="13" max="13" width="9" style="449" hidden="1" customWidth="1" outlineLevel="1"/>
    <col min="14" max="14" width="6.42578125" style="436" hidden="1" customWidth="1" outlineLevel="1"/>
    <col min="15" max="15" width="9.28515625" style="449" bestFit="1" customWidth="1" collapsed="1"/>
    <col min="16" max="16" width="8.28515625" style="449" bestFit="1" customWidth="1"/>
    <col min="17" max="17" width="7.5703125" style="449" bestFit="1" customWidth="1"/>
    <col min="18" max="18" width="9.42578125" style="449" bestFit="1" customWidth="1"/>
    <col min="19" max="19" width="7.140625" style="449" bestFit="1" customWidth="1"/>
    <col min="20" max="20" width="7.7109375" style="449" bestFit="1" customWidth="1"/>
    <col min="21" max="16384" width="11.42578125" style="449"/>
  </cols>
  <sheetData>
    <row r="1" spans="1:17" ht="16.5">
      <c r="A1" s="436"/>
      <c r="B1" s="436"/>
      <c r="C1" s="435"/>
      <c r="D1" s="435"/>
      <c r="E1" s="434" t="s">
        <v>475</v>
      </c>
      <c r="F1" s="434"/>
      <c r="G1" s="435"/>
      <c r="H1" s="436"/>
      <c r="I1" s="436"/>
      <c r="J1" s="436"/>
      <c r="K1" s="437"/>
      <c r="L1" s="767"/>
      <c r="M1" s="434" t="s">
        <v>475</v>
      </c>
      <c r="N1" s="435"/>
    </row>
    <row r="2" spans="1:17">
      <c r="A2" s="435" t="s">
        <v>476</v>
      </c>
      <c r="B2" s="435">
        <v>2018</v>
      </c>
      <c r="C2" s="438">
        <v>2017</v>
      </c>
      <c r="D2" s="438"/>
      <c r="E2" s="438">
        <v>2016</v>
      </c>
      <c r="F2" s="438"/>
      <c r="G2" s="438"/>
      <c r="H2" s="435" t="s">
        <v>477</v>
      </c>
      <c r="I2" s="435">
        <v>2018</v>
      </c>
      <c r="J2" s="438">
        <v>2017</v>
      </c>
      <c r="K2" s="768"/>
      <c r="M2" s="438">
        <v>2016</v>
      </c>
      <c r="N2" s="438"/>
      <c r="O2" s="459"/>
      <c r="P2" s="460"/>
      <c r="Q2" s="460"/>
    </row>
    <row r="3" spans="1:17">
      <c r="A3" s="436"/>
      <c r="B3" s="436"/>
      <c r="C3" s="435"/>
      <c r="D3" s="435"/>
      <c r="E3" s="435"/>
      <c r="F3" s="435"/>
      <c r="G3" s="435"/>
      <c r="H3" s="436"/>
      <c r="I3" s="436"/>
      <c r="J3" s="436"/>
      <c r="K3" s="767"/>
      <c r="M3" s="436"/>
      <c r="N3" s="435"/>
    </row>
    <row r="4" spans="1:17">
      <c r="A4" s="461" t="s">
        <v>478</v>
      </c>
      <c r="B4" s="461"/>
      <c r="C4" s="435"/>
      <c r="D4" s="435"/>
      <c r="E4" s="435"/>
      <c r="F4" s="435"/>
      <c r="G4" s="435"/>
      <c r="H4" s="439" t="s">
        <v>479</v>
      </c>
      <c r="I4" s="439"/>
      <c r="J4" s="440"/>
      <c r="K4" s="769"/>
      <c r="M4" s="440"/>
      <c r="N4" s="435"/>
    </row>
    <row r="5" spans="1:17">
      <c r="A5" s="442" t="s">
        <v>480</v>
      </c>
      <c r="B5" s="545">
        <f>'Planilla Final 2018'!R5</f>
        <v>650792.31999999995</v>
      </c>
      <c r="C5" s="546">
        <f>'Planilla Final 2017'!R5</f>
        <v>1742562</v>
      </c>
      <c r="D5" s="859">
        <f t="shared" ref="D5:D14" si="0">B5-C5</f>
        <v>-1091769.6800000002</v>
      </c>
      <c r="E5" s="441">
        <v>10796157</v>
      </c>
      <c r="F5" s="770">
        <f t="shared" ref="F5:F13" si="1">C5-E5</f>
        <v>-9053595</v>
      </c>
      <c r="G5" s="435"/>
      <c r="H5" s="442" t="s">
        <v>481</v>
      </c>
      <c r="I5" s="543">
        <f>'Planilla Final 2018'!R24</f>
        <v>3792926</v>
      </c>
      <c r="J5" s="539">
        <f>'Planilla Final 2017'!R24</f>
        <v>260402</v>
      </c>
      <c r="K5" s="859">
        <f t="shared" ref="K5:K15" si="2">I5-J5</f>
        <v>3532524</v>
      </c>
      <c r="M5" s="441">
        <v>198890</v>
      </c>
      <c r="N5" s="770">
        <f t="shared" ref="N5:N14" si="3">J5-M5</f>
        <v>61512</v>
      </c>
      <c r="P5" s="462"/>
      <c r="Q5" s="462"/>
    </row>
    <row r="6" spans="1:17">
      <c r="A6" s="442" t="s">
        <v>482</v>
      </c>
      <c r="B6" s="545">
        <f>'Planilla Final 2018'!R7</f>
        <v>72811</v>
      </c>
      <c r="C6" s="546">
        <f>'Planilla Final 2017'!R7</f>
        <v>102620</v>
      </c>
      <c r="D6" s="859">
        <f t="shared" si="0"/>
        <v>-29809</v>
      </c>
      <c r="E6" s="441">
        <v>5930789</v>
      </c>
      <c r="F6" s="770">
        <f t="shared" si="1"/>
        <v>-5828169</v>
      </c>
      <c r="G6" s="443"/>
      <c r="H6" s="442" t="s">
        <v>388</v>
      </c>
      <c r="I6" s="543">
        <f>'Planilla Final 2018'!R25</f>
        <v>12460137.199999999</v>
      </c>
      <c r="J6" s="540">
        <f>'Planilla Final 2017'!R25</f>
        <v>13413675</v>
      </c>
      <c r="K6" s="859">
        <f t="shared" si="2"/>
        <v>-953537.80000000075</v>
      </c>
      <c r="M6" s="440">
        <f>31524342-198890-12925651</f>
        <v>18399801</v>
      </c>
      <c r="N6" s="770">
        <f t="shared" si="3"/>
        <v>-4986126</v>
      </c>
      <c r="P6" s="462"/>
      <c r="Q6" s="462"/>
    </row>
    <row r="7" spans="1:17">
      <c r="A7" s="442" t="s">
        <v>65</v>
      </c>
      <c r="B7" s="545">
        <f>'Planilla Final 2018'!R6</f>
        <v>2393444.3199999998</v>
      </c>
      <c r="C7" s="546">
        <f>'Planilla Final 2017'!R6</f>
        <v>2644455</v>
      </c>
      <c r="D7" s="859">
        <f t="shared" si="0"/>
        <v>-251010.68000000017</v>
      </c>
      <c r="E7" s="441">
        <v>2050592</v>
      </c>
      <c r="F7" s="770">
        <f t="shared" si="1"/>
        <v>593863</v>
      </c>
      <c r="G7" s="435"/>
      <c r="H7" s="442" t="s">
        <v>483</v>
      </c>
      <c r="I7" s="543">
        <f>'Planilla Final 2018'!R26</f>
        <v>8587943</v>
      </c>
      <c r="J7" s="540">
        <f>'Planilla Final 2017'!R26</f>
        <v>11459310</v>
      </c>
      <c r="K7" s="859">
        <f t="shared" si="2"/>
        <v>-2871367</v>
      </c>
      <c r="M7" s="440">
        <v>12925651</v>
      </c>
      <c r="N7" s="770">
        <f t="shared" si="3"/>
        <v>-1466341</v>
      </c>
      <c r="P7" s="462"/>
      <c r="Q7" s="462"/>
    </row>
    <row r="8" spans="1:17">
      <c r="A8" s="442" t="s">
        <v>484</v>
      </c>
      <c r="B8" s="545">
        <f>'Planilla Final 2018'!R8</f>
        <v>9245385.339999998</v>
      </c>
      <c r="C8" s="546">
        <f>'Planilla Final 2017'!R8</f>
        <v>15563404</v>
      </c>
      <c r="D8" s="859">
        <f t="shared" si="0"/>
        <v>-6318018.660000002</v>
      </c>
      <c r="E8" s="441">
        <v>14462495</v>
      </c>
      <c r="F8" s="770">
        <f t="shared" si="1"/>
        <v>1100909</v>
      </c>
      <c r="G8" s="435"/>
      <c r="H8" s="442" t="s">
        <v>485</v>
      </c>
      <c r="I8" s="543">
        <f>'Planilla Final 2018'!R27</f>
        <v>17113109.23</v>
      </c>
      <c r="J8" s="540">
        <f>'Planilla Final 2017'!R27</f>
        <v>20436045</v>
      </c>
      <c r="K8" s="859">
        <f t="shared" si="2"/>
        <v>-3322935.7699999996</v>
      </c>
      <c r="M8" s="440">
        <v>18525384</v>
      </c>
      <c r="N8" s="770">
        <f t="shared" si="3"/>
        <v>1910661</v>
      </c>
      <c r="P8" s="462"/>
      <c r="Q8" s="462"/>
    </row>
    <row r="9" spans="1:17">
      <c r="A9" s="442" t="s">
        <v>486</v>
      </c>
      <c r="B9" s="545">
        <f>'Planilla Final 2018'!R9</f>
        <v>30388974.310000002</v>
      </c>
      <c r="C9" s="546">
        <f>'Planilla Final 2017'!R9</f>
        <v>25074997</v>
      </c>
      <c r="D9" s="859">
        <f t="shared" si="0"/>
        <v>5313977.3100000024</v>
      </c>
      <c r="E9" s="441">
        <v>13820599</v>
      </c>
      <c r="F9" s="770">
        <f t="shared" si="1"/>
        <v>11254398</v>
      </c>
      <c r="G9" s="435"/>
      <c r="H9" s="442" t="s">
        <v>487</v>
      </c>
      <c r="I9" s="543">
        <f>'Planilla Final 2018'!R28</f>
        <v>6097989.3700000001</v>
      </c>
      <c r="J9" s="540">
        <f>'Planilla Final 2017'!R28</f>
        <v>1913629</v>
      </c>
      <c r="K9" s="859">
        <f t="shared" si="2"/>
        <v>4184360.37</v>
      </c>
      <c r="M9" s="440">
        <v>262390</v>
      </c>
      <c r="N9" s="770">
        <f t="shared" si="3"/>
        <v>1651239</v>
      </c>
      <c r="P9" s="462"/>
      <c r="Q9" s="462"/>
    </row>
    <row r="10" spans="1:17">
      <c r="A10" s="442" t="s">
        <v>69</v>
      </c>
      <c r="B10" s="545">
        <f>'Planilla Final 2018'!R11</f>
        <v>759698.83000000007</v>
      </c>
      <c r="C10" s="546">
        <f>'Planilla Final 2017'!R11</f>
        <v>1124779</v>
      </c>
      <c r="D10" s="859">
        <f t="shared" si="0"/>
        <v>-365080.16999999993</v>
      </c>
      <c r="E10" s="441">
        <v>1809821</v>
      </c>
      <c r="F10" s="770">
        <f t="shared" si="1"/>
        <v>-685042</v>
      </c>
      <c r="G10" s="435"/>
      <c r="H10" s="442" t="s">
        <v>350</v>
      </c>
      <c r="I10" s="543">
        <f>'Planilla Final 2018'!R29</f>
        <v>6782826.4100000001</v>
      </c>
      <c r="J10" s="540">
        <f>'Planilla Final 2017'!R29</f>
        <v>4274907</v>
      </c>
      <c r="K10" s="859">
        <f t="shared" si="2"/>
        <v>2507919.41</v>
      </c>
      <c r="M10" s="440">
        <v>4144395</v>
      </c>
      <c r="N10" s="770">
        <f t="shared" si="3"/>
        <v>130512</v>
      </c>
      <c r="P10" s="462"/>
      <c r="Q10" s="462"/>
    </row>
    <row r="11" spans="1:17">
      <c r="A11" s="442" t="s">
        <v>68</v>
      </c>
      <c r="B11" s="545">
        <f>'Planilla Final 2018'!R10</f>
        <v>9463377.6100000013</v>
      </c>
      <c r="C11" s="546">
        <f>'Planilla Final 2017'!R10</f>
        <v>5538448</v>
      </c>
      <c r="D11" s="859">
        <f t="shared" si="0"/>
        <v>3924929.6100000013</v>
      </c>
      <c r="E11" s="441">
        <v>2574840</v>
      </c>
      <c r="F11" s="770">
        <f t="shared" si="1"/>
        <v>2963608</v>
      </c>
      <c r="G11" s="435"/>
      <c r="H11" s="442" t="s">
        <v>80</v>
      </c>
      <c r="I11" s="543">
        <f>'Planilla Final 2018'!R30</f>
        <v>2354158.7000000002</v>
      </c>
      <c r="J11" s="540">
        <f>'Planilla Final 2017'!R30</f>
        <v>3688368</v>
      </c>
      <c r="K11" s="859">
        <f t="shared" si="2"/>
        <v>-1334209.2999999998</v>
      </c>
      <c r="M11" s="440">
        <f>783153+2936828</f>
        <v>3719981</v>
      </c>
      <c r="N11" s="770">
        <f t="shared" si="3"/>
        <v>-31613</v>
      </c>
      <c r="P11" s="462"/>
      <c r="Q11" s="462"/>
    </row>
    <row r="12" spans="1:17">
      <c r="A12" s="442" t="s">
        <v>70</v>
      </c>
      <c r="B12" s="545">
        <f>'Planilla Final 2018'!R12</f>
        <v>519657.31</v>
      </c>
      <c r="C12" s="546">
        <f>'Planilla Final 2017'!R12</f>
        <v>642184</v>
      </c>
      <c r="D12" s="859">
        <f t="shared" si="0"/>
        <v>-122526.69</v>
      </c>
      <c r="E12" s="441">
        <v>2370903</v>
      </c>
      <c r="F12" s="770">
        <f t="shared" si="1"/>
        <v>-1728719</v>
      </c>
      <c r="G12" s="443"/>
      <c r="H12" s="442" t="s">
        <v>81</v>
      </c>
      <c r="I12" s="543">
        <f>'Planilla Final 2018'!R31</f>
        <v>9667913.5299999993</v>
      </c>
      <c r="J12" s="540">
        <f>'Planilla Final 2017'!R31</f>
        <v>1953502</v>
      </c>
      <c r="K12" s="859">
        <f t="shared" si="2"/>
        <v>7714411.5299999993</v>
      </c>
      <c r="M12" s="440">
        <v>4358272</v>
      </c>
      <c r="N12" s="770">
        <f t="shared" si="3"/>
        <v>-2404770</v>
      </c>
      <c r="P12" s="462"/>
      <c r="Q12" s="462"/>
    </row>
    <row r="13" spans="1:17">
      <c r="A13" s="442" t="s">
        <v>6</v>
      </c>
      <c r="B13" s="547">
        <f>'Planilla Final 2018'!R13</f>
        <v>24413616.100000001</v>
      </c>
      <c r="C13" s="546">
        <f>'Planilla Final 2017'!R13</f>
        <v>14885027</v>
      </c>
      <c r="D13" s="859">
        <f t="shared" si="0"/>
        <v>9528589.1000000015</v>
      </c>
      <c r="E13" s="441">
        <v>18940616</v>
      </c>
      <c r="F13" s="770">
        <f t="shared" si="1"/>
        <v>-4055589</v>
      </c>
      <c r="G13" s="435"/>
      <c r="H13" s="442" t="s">
        <v>488</v>
      </c>
      <c r="I13" s="543">
        <f>'Planilla Final 2018'!R32</f>
        <v>6210157.04</v>
      </c>
      <c r="J13" s="540">
        <f>'Planilla Final 2017'!R32</f>
        <v>4559467</v>
      </c>
      <c r="K13" s="859">
        <f t="shared" si="2"/>
        <v>1650690.04</v>
      </c>
      <c r="M13" s="440">
        <v>4375344</v>
      </c>
      <c r="N13" s="770">
        <f t="shared" si="3"/>
        <v>184123</v>
      </c>
      <c r="P13" s="462"/>
      <c r="Q13" s="462"/>
    </row>
    <row r="14" spans="1:17">
      <c r="A14" s="461" t="s">
        <v>489</v>
      </c>
      <c r="B14" s="548">
        <f>SUM(B5:B13)</f>
        <v>77907757.140000001</v>
      </c>
      <c r="C14" s="548">
        <f>SUM(C5:C13)</f>
        <v>67318476</v>
      </c>
      <c r="D14" s="859">
        <f t="shared" si="0"/>
        <v>10589281.140000001</v>
      </c>
      <c r="E14" s="445">
        <f>SUM(E5:E13)</f>
        <v>72756812</v>
      </c>
      <c r="F14" s="570"/>
      <c r="G14" s="443"/>
      <c r="H14" s="442" t="s">
        <v>83</v>
      </c>
      <c r="I14" s="544">
        <v>0</v>
      </c>
      <c r="J14" s="540">
        <f>'Planilla Final 2017'!R33</f>
        <v>4183053</v>
      </c>
      <c r="K14" s="859">
        <f t="shared" si="2"/>
        <v>-4183053</v>
      </c>
      <c r="M14" s="446">
        <v>4225160</v>
      </c>
      <c r="N14" s="770">
        <f t="shared" si="3"/>
        <v>-42107</v>
      </c>
      <c r="P14" s="462"/>
      <c r="Q14" s="462"/>
    </row>
    <row r="15" spans="1:17">
      <c r="A15" s="442"/>
      <c r="B15" s="537"/>
      <c r="C15" s="538"/>
      <c r="D15" s="860"/>
      <c r="E15" s="441"/>
      <c r="F15" s="539"/>
      <c r="G15" s="443"/>
      <c r="H15" s="447" t="s">
        <v>490</v>
      </c>
      <c r="I15" s="541">
        <f>SUM(I5:I14)</f>
        <v>73067160.480000004</v>
      </c>
      <c r="J15" s="542">
        <f>SUM(J5:J14)</f>
        <v>66142358</v>
      </c>
      <c r="K15" s="859">
        <f t="shared" si="2"/>
        <v>6924802.4800000042</v>
      </c>
      <c r="L15" s="771">
        <f>+D14-K15+D5</f>
        <v>2572708.9799999963</v>
      </c>
      <c r="M15" s="448">
        <f>SUM(M5:M14)</f>
        <v>71135268</v>
      </c>
      <c r="N15" s="571"/>
      <c r="P15" s="462"/>
      <c r="Q15" s="462"/>
    </row>
    <row r="16" spans="1:17">
      <c r="A16" s="461" t="s">
        <v>491</v>
      </c>
      <c r="B16" s="537"/>
      <c r="C16" s="538"/>
      <c r="D16" s="860"/>
      <c r="E16" s="441"/>
      <c r="F16" s="539"/>
      <c r="G16" s="435"/>
      <c r="H16" s="442"/>
      <c r="I16" s="442"/>
      <c r="J16" s="440"/>
      <c r="K16" s="860"/>
      <c r="M16" s="440"/>
      <c r="N16" s="551"/>
      <c r="P16" s="462"/>
      <c r="Q16" s="462"/>
    </row>
    <row r="17" spans="1:21">
      <c r="A17" s="442" t="s">
        <v>68</v>
      </c>
      <c r="B17" s="545">
        <f>'Planilla Final 2018'!R15</f>
        <v>1451462.48</v>
      </c>
      <c r="C17" s="546">
        <f>'Planilla Final 2017'!R15</f>
        <v>3212434</v>
      </c>
      <c r="D17" s="861">
        <f t="shared" ref="D17:D25" si="4">B17-C17</f>
        <v>-1760971.52</v>
      </c>
      <c r="E17" s="836">
        <v>3006294</v>
      </c>
      <c r="F17" s="835">
        <f t="shared" ref="F17:F24" si="5">C17-E17</f>
        <v>206140</v>
      </c>
      <c r="G17" s="837"/>
      <c r="H17" s="838" t="s">
        <v>492</v>
      </c>
      <c r="I17" s="838"/>
      <c r="J17" s="839"/>
      <c r="K17" s="862"/>
      <c r="N17" s="571"/>
      <c r="P17" s="462"/>
      <c r="Q17" s="462"/>
    </row>
    <row r="18" spans="1:21">
      <c r="A18" s="442" t="s">
        <v>486</v>
      </c>
      <c r="B18" s="545">
        <f>'Planilla Final 2018'!R14</f>
        <v>3150764</v>
      </c>
      <c r="C18" s="449">
        <v>0</v>
      </c>
      <c r="D18" s="861">
        <f t="shared" si="4"/>
        <v>3150764</v>
      </c>
      <c r="E18" s="839">
        <v>0</v>
      </c>
      <c r="F18" s="835">
        <f t="shared" si="5"/>
        <v>0</v>
      </c>
      <c r="G18" s="841"/>
      <c r="H18" s="842" t="s">
        <v>494</v>
      </c>
      <c r="I18" s="843">
        <f>'Planilla Final 2018'!R33</f>
        <v>4378387</v>
      </c>
      <c r="J18" s="844">
        <f>'Planilla Final 2017'!R34</f>
        <v>9674932</v>
      </c>
      <c r="K18" s="861">
        <f t="shared" ref="K18:K26" si="6">I18-J18</f>
        <v>-5296545</v>
      </c>
      <c r="M18" s="440">
        <f>23039030-13615166</f>
        <v>9423864</v>
      </c>
      <c r="N18" s="770">
        <f t="shared" ref="N18:N25" si="7">J18-M18</f>
        <v>251068</v>
      </c>
      <c r="P18" s="462"/>
      <c r="Q18" s="462"/>
    </row>
    <row r="19" spans="1:21">
      <c r="A19" s="442" t="s">
        <v>493</v>
      </c>
      <c r="B19" s="545">
        <f>'Planilla Final 2018'!R16</f>
        <v>102473074.10000001</v>
      </c>
      <c r="C19" s="546">
        <f>'Planilla Final 2017'!R16</f>
        <v>112886401</v>
      </c>
      <c r="D19" s="861">
        <f t="shared" si="4"/>
        <v>-10413326.899999991</v>
      </c>
      <c r="E19" s="836">
        <v>115385832</v>
      </c>
      <c r="F19" s="835">
        <f t="shared" si="5"/>
        <v>-2499431</v>
      </c>
      <c r="G19" s="841"/>
      <c r="H19" s="842" t="s">
        <v>391</v>
      </c>
      <c r="I19" s="843">
        <f>'Planilla Final 2018'!R34</f>
        <v>2447101</v>
      </c>
      <c r="J19" s="844">
        <f>'Planilla Final 2017'!R35</f>
        <v>6710516</v>
      </c>
      <c r="K19" s="861">
        <f t="shared" si="6"/>
        <v>-4263415</v>
      </c>
      <c r="M19" s="440">
        <v>13615166</v>
      </c>
      <c r="N19" s="770">
        <f t="shared" si="7"/>
        <v>-6904650</v>
      </c>
      <c r="P19" s="462"/>
      <c r="Q19" s="462"/>
    </row>
    <row r="20" spans="1:21">
      <c r="A20" s="442" t="s">
        <v>495</v>
      </c>
      <c r="B20" s="545">
        <f>'Planilla Final 2018'!R17</f>
        <v>624011</v>
      </c>
      <c r="C20" s="546">
        <f>'Planilla Final 2017'!R17</f>
        <v>661755</v>
      </c>
      <c r="D20" s="861">
        <f t="shared" si="4"/>
        <v>-37744</v>
      </c>
      <c r="E20" s="836">
        <v>700965</v>
      </c>
      <c r="F20" s="835">
        <f t="shared" si="5"/>
        <v>-39210</v>
      </c>
      <c r="G20" s="841"/>
      <c r="H20" s="845" t="s">
        <v>485</v>
      </c>
      <c r="I20" s="840">
        <f>'Planilla Final 2018'!R35</f>
        <v>2345800</v>
      </c>
      <c r="J20" s="844">
        <f>'Planilla Final 2017'!R36</f>
        <v>2203673</v>
      </c>
      <c r="K20" s="861">
        <f t="shared" si="6"/>
        <v>142127</v>
      </c>
      <c r="M20" s="440">
        <v>5713210</v>
      </c>
      <c r="N20" s="770">
        <f t="shared" si="7"/>
        <v>-3509537</v>
      </c>
      <c r="O20" s="444"/>
      <c r="P20" s="462"/>
      <c r="Q20" s="462"/>
      <c r="S20" s="463"/>
      <c r="U20" s="463"/>
    </row>
    <row r="21" spans="1:21">
      <c r="A21" s="442" t="s">
        <v>496</v>
      </c>
      <c r="B21" s="545">
        <f>'Planilla Final 2018'!R18</f>
        <v>13432103.949999999</v>
      </c>
      <c r="C21" s="546">
        <f>'Planilla Final 2017'!R18</f>
        <v>11276112</v>
      </c>
      <c r="D21" s="861">
        <f t="shared" si="4"/>
        <v>2155991.9499999993</v>
      </c>
      <c r="E21" s="836">
        <v>12117453</v>
      </c>
      <c r="F21" s="835">
        <f t="shared" si="5"/>
        <v>-841341</v>
      </c>
      <c r="G21" s="841"/>
      <c r="H21" s="845" t="s">
        <v>487</v>
      </c>
      <c r="I21" s="840">
        <f>'Planilla Final 2018'!R36</f>
        <v>10591295.109999999</v>
      </c>
      <c r="J21" s="844">
        <f>'Planilla Final 2017'!R37</f>
        <v>10628880</v>
      </c>
      <c r="K21" s="861">
        <f t="shared" si="6"/>
        <v>-37584.890000000596</v>
      </c>
      <c r="M21" s="440">
        <v>10628878</v>
      </c>
      <c r="N21" s="770">
        <f t="shared" si="7"/>
        <v>2</v>
      </c>
      <c r="P21" s="462"/>
      <c r="Q21" s="462"/>
      <c r="R21" s="435"/>
      <c r="S21" s="463"/>
      <c r="T21" s="435"/>
      <c r="U21" s="463"/>
    </row>
    <row r="22" spans="1:21">
      <c r="A22" s="442" t="s">
        <v>212</v>
      </c>
      <c r="B22" s="545">
        <f>'Planilla Final 2018'!R19</f>
        <v>1422229</v>
      </c>
      <c r="C22" s="546">
        <f>'Planilla Final 2017'!R19</f>
        <v>1422229</v>
      </c>
      <c r="D22" s="861">
        <f t="shared" si="4"/>
        <v>0</v>
      </c>
      <c r="E22" s="836">
        <v>1422229</v>
      </c>
      <c r="F22" s="835">
        <f t="shared" si="5"/>
        <v>0</v>
      </c>
      <c r="G22" s="841"/>
      <c r="H22" s="845" t="s">
        <v>80</v>
      </c>
      <c r="I22" s="840">
        <f>'Planilla Final 2018'!R37</f>
        <v>1359984</v>
      </c>
      <c r="J22" s="844">
        <f>'Planilla Final 2017'!R38</f>
        <v>2315979</v>
      </c>
      <c r="K22" s="861">
        <f t="shared" si="6"/>
        <v>-955995</v>
      </c>
      <c r="M22" s="440">
        <f>2766149+27717</f>
        <v>2793866</v>
      </c>
      <c r="N22" s="770">
        <f t="shared" si="7"/>
        <v>-477887</v>
      </c>
      <c r="P22" s="462"/>
      <c r="Q22" s="462"/>
    </row>
    <row r="23" spans="1:21">
      <c r="A23" s="442" t="s">
        <v>685</v>
      </c>
      <c r="B23" s="545">
        <f>'Planilla Final 2018'!R20</f>
        <v>3758999.890000008</v>
      </c>
      <c r="C23" s="546">
        <f>'Planilla Final 2017'!R20</f>
        <v>6468792</v>
      </c>
      <c r="D23" s="861">
        <f t="shared" si="4"/>
        <v>-2709792.109999992</v>
      </c>
      <c r="E23" s="836">
        <v>6545559</v>
      </c>
      <c r="F23" s="835">
        <f t="shared" si="5"/>
        <v>-76767</v>
      </c>
      <c r="G23" s="841"/>
      <c r="H23" s="845" t="s">
        <v>497</v>
      </c>
      <c r="I23" s="840">
        <f>'Planilla Final 2018'!R38</f>
        <v>5959007.4299999997</v>
      </c>
      <c r="J23" s="844">
        <f>'Planilla Final 2017'!R39</f>
        <v>5185547</v>
      </c>
      <c r="K23" s="861">
        <f t="shared" si="6"/>
        <v>773460.4299999997</v>
      </c>
      <c r="M23" s="440">
        <v>5796127</v>
      </c>
      <c r="N23" s="770">
        <f t="shared" si="7"/>
        <v>-610580</v>
      </c>
      <c r="P23" s="462"/>
      <c r="Q23" s="462"/>
    </row>
    <row r="24" spans="1:21">
      <c r="A24" s="442" t="s">
        <v>77</v>
      </c>
      <c r="B24" s="547">
        <f>'Planilla Final 2018'!R21+'Planilla Final 2018'!R22</f>
        <v>3331065</v>
      </c>
      <c r="C24" s="549">
        <f>'Planilla Final 2017'!R21+'Planilla Final 2017'!R22</f>
        <v>4326687</v>
      </c>
      <c r="D24" s="861">
        <f t="shared" si="4"/>
        <v>-995622</v>
      </c>
      <c r="E24" s="846">
        <f>106009+3030143</f>
        <v>3136152</v>
      </c>
      <c r="F24" s="835">
        <f t="shared" si="5"/>
        <v>1190535</v>
      </c>
      <c r="G24" s="841"/>
      <c r="H24" s="845" t="s">
        <v>83</v>
      </c>
      <c r="I24" s="840">
        <f>'Planilla Final 2018'!R39</f>
        <v>24796057</v>
      </c>
      <c r="J24" s="844">
        <f>'Planilla Final 2017'!R40</f>
        <v>20813206</v>
      </c>
      <c r="K24" s="861">
        <f t="shared" si="6"/>
        <v>3982851</v>
      </c>
      <c r="M24" s="440">
        <v>17696327</v>
      </c>
      <c r="N24" s="770">
        <f t="shared" si="7"/>
        <v>3116879</v>
      </c>
      <c r="P24" s="462"/>
      <c r="Q24" s="462"/>
    </row>
    <row r="25" spans="1:21" ht="8.25" customHeight="1">
      <c r="A25" s="461" t="s">
        <v>498</v>
      </c>
      <c r="B25" s="550">
        <f>SUM(B17:B24)</f>
        <v>129643709.42000002</v>
      </c>
      <c r="C25" s="550">
        <f>SUM(C17:C24)</f>
        <v>140254410</v>
      </c>
      <c r="D25" s="861">
        <f t="shared" si="4"/>
        <v>-10610700.579999983</v>
      </c>
      <c r="E25" s="847">
        <f>SUM(E17:E24)</f>
        <v>142314484</v>
      </c>
      <c r="F25" s="847"/>
      <c r="G25" s="839"/>
      <c r="H25" s="845" t="s">
        <v>87</v>
      </c>
      <c r="I25" s="848">
        <f>'Planilla Final 2018'!R40</f>
        <v>2580000</v>
      </c>
      <c r="J25" s="849">
        <f>'Planilla Final 2017'!R41</f>
        <v>3572443</v>
      </c>
      <c r="K25" s="861">
        <f t="shared" si="6"/>
        <v>-992443</v>
      </c>
      <c r="M25" s="446">
        <v>3572443</v>
      </c>
      <c r="N25" s="770">
        <f t="shared" si="7"/>
        <v>0</v>
      </c>
      <c r="P25" s="462"/>
      <c r="Q25" s="462"/>
    </row>
    <row r="26" spans="1:21">
      <c r="A26" s="461"/>
      <c r="B26" s="461"/>
      <c r="C26" s="440"/>
      <c r="D26" s="850"/>
      <c r="E26" s="851"/>
      <c r="F26" s="851"/>
      <c r="G26" s="841"/>
      <c r="H26" s="852" t="s">
        <v>355</v>
      </c>
      <c r="I26" s="853">
        <f>SUM(I18:I25)</f>
        <v>54457631.539999999</v>
      </c>
      <c r="J26" s="853">
        <f>SUM(J18:J25)</f>
        <v>61105176</v>
      </c>
      <c r="K26" s="861">
        <f t="shared" si="6"/>
        <v>-6647544.4600000009</v>
      </c>
      <c r="M26" s="450">
        <f>SUM(M18:M25)</f>
        <v>69239881</v>
      </c>
      <c r="N26" s="551"/>
      <c r="P26" s="462"/>
      <c r="Q26" s="462"/>
    </row>
    <row r="27" spans="1:21">
      <c r="D27" s="850"/>
      <c r="E27" s="839"/>
      <c r="F27" s="850"/>
      <c r="G27" s="839"/>
      <c r="H27" s="852" t="s">
        <v>40</v>
      </c>
      <c r="I27" s="854">
        <f>+I15+I26</f>
        <v>127524792.02000001</v>
      </c>
      <c r="J27" s="854">
        <f>+J15+J26</f>
        <v>127247534</v>
      </c>
      <c r="K27" s="862"/>
      <c r="M27" s="451">
        <f>+M15+M26</f>
        <v>140375149</v>
      </c>
      <c r="N27" s="551"/>
      <c r="P27" s="462"/>
      <c r="Q27" s="462"/>
    </row>
    <row r="28" spans="1:21" ht="5.0999999999999996" customHeight="1">
      <c r="D28" s="850"/>
      <c r="E28" s="839"/>
      <c r="F28" s="850"/>
      <c r="G28" s="855"/>
      <c r="H28" s="852"/>
      <c r="I28" s="856"/>
      <c r="J28" s="857"/>
      <c r="K28" s="862"/>
      <c r="M28" s="452"/>
      <c r="P28" s="462"/>
      <c r="Q28" s="462"/>
    </row>
    <row r="29" spans="1:21">
      <c r="D29" s="850"/>
      <c r="E29" s="839"/>
      <c r="F29" s="850"/>
      <c r="G29" s="839"/>
      <c r="H29" s="852" t="s">
        <v>499</v>
      </c>
      <c r="I29" s="858">
        <f>'Planilla Final 2018'!R52</f>
        <v>80026673.699999988</v>
      </c>
      <c r="J29" s="858">
        <f>'Planilla Final 2017'!R51</f>
        <v>80325352</v>
      </c>
      <c r="K29" s="861">
        <f>I29-J29</f>
        <v>-298678.30000001192</v>
      </c>
      <c r="M29" s="453">
        <f>77632975-2936828</f>
        <v>74696147</v>
      </c>
      <c r="N29" s="770">
        <f>J29-M29</f>
        <v>5629205</v>
      </c>
      <c r="O29" s="464"/>
      <c r="P29" s="462"/>
      <c r="Q29" s="462"/>
    </row>
    <row r="30" spans="1:21" ht="5.0999999999999996" customHeight="1">
      <c r="G30" s="454"/>
      <c r="I30" s="553"/>
      <c r="J30" s="553"/>
      <c r="K30" s="771"/>
      <c r="P30" s="462"/>
      <c r="Q30" s="462"/>
    </row>
    <row r="31" spans="1:21" ht="9" thickBot="1">
      <c r="A31" s="436" t="s">
        <v>500</v>
      </c>
      <c r="B31" s="455">
        <f>+B25+B14</f>
        <v>207551466.56</v>
      </c>
      <c r="C31" s="455">
        <f>+C25+C14</f>
        <v>207572886</v>
      </c>
      <c r="D31" s="435"/>
      <c r="E31" s="455">
        <f>+E25+E14</f>
        <v>215071296</v>
      </c>
      <c r="F31" s="569"/>
      <c r="G31" s="437"/>
      <c r="H31" s="456" t="s">
        <v>501</v>
      </c>
      <c r="I31" s="555">
        <f>+I27+I29</f>
        <v>207551465.72</v>
      </c>
      <c r="J31" s="554">
        <f>+J27+J29</f>
        <v>207572886</v>
      </c>
      <c r="K31" s="769"/>
      <c r="M31" s="457">
        <f>+M27+M29</f>
        <v>215071296</v>
      </c>
      <c r="P31" s="462"/>
      <c r="Q31" s="462"/>
    </row>
    <row r="32" spans="1:21" ht="14.25" hidden="1" customHeight="1" thickTop="1">
      <c r="B32" s="458"/>
      <c r="C32" s="458"/>
      <c r="D32" s="437"/>
      <c r="E32" s="458"/>
      <c r="F32" s="458"/>
      <c r="G32" s="437"/>
      <c r="H32" s="452"/>
      <c r="I32" s="552"/>
      <c r="J32" s="552"/>
      <c r="K32" s="771"/>
      <c r="M32" s="452"/>
      <c r="P32" s="462"/>
      <c r="Q32" s="462"/>
    </row>
    <row r="33" spans="1:16" ht="10.5" hidden="1" customHeight="1">
      <c r="A33" s="449" t="s">
        <v>5</v>
      </c>
      <c r="B33" s="458"/>
      <c r="C33" s="458"/>
      <c r="D33" s="437"/>
      <c r="E33" s="458"/>
      <c r="F33" s="458"/>
      <c r="G33" s="437"/>
      <c r="H33" s="452"/>
      <c r="I33" s="452"/>
      <c r="J33" s="452"/>
      <c r="K33" s="771"/>
      <c r="M33" s="452"/>
      <c r="P33" s="452"/>
    </row>
    <row r="34" spans="1:16" ht="9.75" hidden="1" customHeight="1" thickBot="1">
      <c r="B34" s="455">
        <f>+B31+B33</f>
        <v>207551466.56</v>
      </c>
      <c r="C34" s="455"/>
      <c r="D34" s="437"/>
      <c r="E34" s="458"/>
      <c r="F34" s="458"/>
      <c r="G34" s="437"/>
      <c r="H34" s="452"/>
      <c r="I34" s="452"/>
      <c r="J34" s="452"/>
      <c r="K34" s="771"/>
      <c r="M34" s="452"/>
      <c r="P34" s="452"/>
    </row>
    <row r="35" spans="1:16" ht="3" customHeight="1" thickTop="1">
      <c r="B35" s="458"/>
      <c r="C35" s="458"/>
      <c r="D35" s="437"/>
      <c r="E35" s="458"/>
      <c r="F35" s="458"/>
      <c r="G35" s="437"/>
      <c r="H35" s="452"/>
      <c r="I35" s="452"/>
      <c r="J35" s="452"/>
      <c r="K35" s="771"/>
      <c r="M35" s="452"/>
      <c r="P35" s="452"/>
    </row>
    <row r="36" spans="1:16" ht="3" customHeight="1">
      <c r="B36" s="458"/>
      <c r="C36" s="458"/>
      <c r="D36" s="437"/>
      <c r="E36" s="458"/>
      <c r="F36" s="458"/>
      <c r="G36" s="437"/>
      <c r="H36" s="452"/>
      <c r="I36" s="452"/>
      <c r="J36" s="452"/>
      <c r="K36" s="771"/>
      <c r="M36" s="452"/>
      <c r="P36" s="452"/>
    </row>
    <row r="37" spans="1:16" ht="3" hidden="1" customHeight="1">
      <c r="B37" s="458"/>
      <c r="C37" s="458"/>
      <c r="D37" s="437"/>
      <c r="E37" s="458"/>
      <c r="F37" s="458"/>
      <c r="G37" s="437"/>
      <c r="H37" s="452"/>
      <c r="I37" s="452"/>
      <c r="J37" s="452"/>
      <c r="K37" s="771"/>
      <c r="M37" s="452"/>
      <c r="P37" s="452"/>
    </row>
    <row r="38" spans="1:16">
      <c r="B38" s="458">
        <f>B31-I31</f>
        <v>0.84000000357627869</v>
      </c>
      <c r="C38" s="458">
        <f>C31-J31</f>
        <v>0</v>
      </c>
      <c r="D38" s="437"/>
      <c r="E38" s="458">
        <f>E31-M31</f>
        <v>0</v>
      </c>
      <c r="F38" s="458"/>
      <c r="G38" s="437"/>
      <c r="H38" s="452"/>
      <c r="I38" s="452">
        <f>I31-B31</f>
        <v>-0.84000000357627869</v>
      </c>
      <c r="J38" s="452">
        <f>J31-C31</f>
        <v>0</v>
      </c>
      <c r="K38" s="771"/>
      <c r="M38" s="452">
        <f>M31-E31</f>
        <v>0</v>
      </c>
      <c r="P38" s="452"/>
    </row>
    <row r="39" spans="1:16">
      <c r="C39" s="458"/>
      <c r="D39" s="437"/>
      <c r="E39" s="458"/>
      <c r="F39" s="458"/>
      <c r="G39" s="437"/>
      <c r="H39" s="452"/>
      <c r="I39" s="452"/>
      <c r="K39" s="770"/>
      <c r="P39" s="452"/>
    </row>
    <row r="40" spans="1:16">
      <c r="D40" s="968">
        <f>-D14-D5</f>
        <v>-9497511.4600000009</v>
      </c>
      <c r="I40" s="452"/>
      <c r="J40" s="452"/>
      <c r="K40" s="771">
        <f>K15</f>
        <v>6924802.4800000042</v>
      </c>
      <c r="L40" s="464">
        <f>D40+K40</f>
        <v>-2572708.9799999967</v>
      </c>
      <c r="P40" s="452"/>
    </row>
    <row r="41" spans="1:16">
      <c r="D41" s="968">
        <f>-D25</f>
        <v>10610700.579999983</v>
      </c>
      <c r="J41" s="452"/>
      <c r="K41" s="452">
        <f>K26+K29</f>
        <v>-6946222.7600000128</v>
      </c>
      <c r="L41" s="464">
        <f>D41+K41</f>
        <v>3664477.8199999705</v>
      </c>
      <c r="P41" s="452"/>
    </row>
    <row r="42" spans="1:16">
      <c r="D42" s="968"/>
      <c r="L42" s="771">
        <f>L40+L41</f>
        <v>1091768.8399999738</v>
      </c>
    </row>
    <row r="43" spans="1:16">
      <c r="D43" s="968"/>
    </row>
    <row r="44" spans="1:16">
      <c r="D44" s="968"/>
    </row>
    <row r="81" spans="2:21">
      <c r="U81" s="839"/>
    </row>
    <row r="93" spans="2:21">
      <c r="D93" s="449"/>
      <c r="F93" s="449"/>
      <c r="P93" s="452"/>
    </row>
    <row r="94" spans="2:21">
      <c r="P94" s="452"/>
    </row>
    <row r="95" spans="2:21">
      <c r="B95" s="863">
        <f>+'EFE 2018-2017'!H56+'EFE 2018-2017'!J8</f>
        <v>-8.3819031715393066E-9</v>
      </c>
      <c r="P95" s="452"/>
    </row>
    <row r="96" spans="2:21">
      <c r="B96" s="464"/>
      <c r="P96" s="452"/>
    </row>
    <row r="97" spans="2:16">
      <c r="P97" s="452"/>
    </row>
    <row r="98" spans="2:16">
      <c r="B98" s="464"/>
      <c r="P98" s="452"/>
    </row>
    <row r="99" spans="2:16">
      <c r="P99" s="452"/>
    </row>
    <row r="100" spans="2:16">
      <c r="P100" s="452"/>
    </row>
    <row r="101" spans="2:16">
      <c r="P101" s="452"/>
    </row>
    <row r="102" spans="2:16">
      <c r="P102" s="452"/>
    </row>
    <row r="103" spans="2:16">
      <c r="P103" s="452"/>
    </row>
    <row r="104" spans="2:16">
      <c r="P104" s="452"/>
    </row>
    <row r="105" spans="2:16">
      <c r="P105" s="452"/>
    </row>
    <row r="106" spans="2:16">
      <c r="P106" s="452"/>
    </row>
    <row r="107" spans="2:16">
      <c r="P107" s="452"/>
    </row>
    <row r="108" spans="2:16">
      <c r="P108" s="452"/>
    </row>
    <row r="109" spans="2:16">
      <c r="P109" s="452"/>
    </row>
    <row r="110" spans="2:16">
      <c r="P110" s="45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-0.499984740745262"/>
  </sheetPr>
  <dimension ref="A1:K39"/>
  <sheetViews>
    <sheetView showGridLines="0" topLeftCell="A9" workbookViewId="0">
      <selection activeCell="B18" sqref="B18:B20"/>
    </sheetView>
  </sheetViews>
  <sheetFormatPr defaultColWidth="11.42578125" defaultRowHeight="12"/>
  <cols>
    <col min="1" max="1" width="40.28515625" style="375" customWidth="1"/>
    <col min="2" max="2" width="13.42578125" style="375" customWidth="1"/>
    <col min="3" max="3" width="2.140625" style="375" customWidth="1"/>
    <col min="4" max="4" width="13.28515625" style="375" bestFit="1" customWidth="1"/>
    <col min="5" max="5" width="1.28515625" style="375" customWidth="1"/>
    <col min="6" max="6" width="12" style="375" bestFit="1" customWidth="1"/>
    <col min="7" max="7" width="1.7109375" style="376" customWidth="1"/>
    <col min="8" max="8" width="13.28515625" style="375" bestFit="1" customWidth="1"/>
    <col min="9" max="9" width="15.28515625" style="375" bestFit="1" customWidth="1"/>
    <col min="10" max="10" width="12.85546875" style="375" bestFit="1" customWidth="1"/>
    <col min="11" max="16384" width="11.42578125" style="375"/>
  </cols>
  <sheetData>
    <row r="1" spans="1:9" s="372" customFormat="1" ht="14.25">
      <c r="A1" s="369"/>
      <c r="B1" s="371">
        <v>2018</v>
      </c>
      <c r="C1" s="370"/>
      <c r="D1" s="371">
        <v>2017</v>
      </c>
      <c r="E1" s="371"/>
      <c r="F1" s="371">
        <v>2016</v>
      </c>
      <c r="G1" s="373"/>
    </row>
    <row r="2" spans="1:9" ht="5.0999999999999996" customHeight="1">
      <c r="A2" s="374"/>
      <c r="B2" s="374"/>
      <c r="C2" s="370"/>
      <c r="D2" s="371"/>
      <c r="E2" s="371"/>
      <c r="F2" s="371"/>
    </row>
    <row r="3" spans="1:9" ht="15">
      <c r="A3" s="377" t="s">
        <v>502</v>
      </c>
      <c r="B3" s="377">
        <f>'Planilla Final 2018'!R56</f>
        <v>159860279.42999998</v>
      </c>
      <c r="C3" s="377"/>
      <c r="D3" s="378">
        <f>'Planilla Final 2017'!R55</f>
        <v>155656071.41999999</v>
      </c>
      <c r="E3" s="379"/>
      <c r="F3" s="378">
        <v>146349769</v>
      </c>
      <c r="I3" s="380"/>
    </row>
    <row r="4" spans="1:9">
      <c r="A4" s="377" t="s">
        <v>503</v>
      </c>
      <c r="B4" s="556">
        <f>'Planilla Final 2018'!R57</f>
        <v>-105864855.44</v>
      </c>
      <c r="C4" s="377"/>
      <c r="D4" s="382">
        <f>'Planilla Final 2017'!R56</f>
        <v>-103315253</v>
      </c>
      <c r="E4" s="379"/>
      <c r="F4" s="382">
        <v>-96949966</v>
      </c>
    </row>
    <row r="5" spans="1:9" ht="5.0999999999999996" customHeight="1"/>
    <row r="6" spans="1:9">
      <c r="A6" s="377" t="s">
        <v>504</v>
      </c>
      <c r="B6" s="379">
        <f>+B3+B4</f>
        <v>53995423.98999998</v>
      </c>
      <c r="C6" s="377"/>
      <c r="D6" s="379">
        <f>+D3+D4</f>
        <v>52340818.419999987</v>
      </c>
      <c r="E6" s="379"/>
      <c r="F6" s="379">
        <f>+F3+F4</f>
        <v>49399803</v>
      </c>
    </row>
    <row r="7" spans="1:9" ht="5.0999999999999996" customHeight="1">
      <c r="A7" s="381"/>
      <c r="B7" s="381"/>
      <c r="C7" s="381"/>
      <c r="D7" s="379"/>
      <c r="E7" s="379"/>
      <c r="F7" s="379"/>
    </row>
    <row r="8" spans="1:9">
      <c r="A8" s="383" t="s">
        <v>505</v>
      </c>
      <c r="B8" s="383"/>
      <c r="C8" s="381"/>
      <c r="D8" s="379"/>
      <c r="E8" s="379"/>
      <c r="F8" s="379"/>
    </row>
    <row r="9" spans="1:9">
      <c r="A9" s="381" t="s">
        <v>506</v>
      </c>
      <c r="B9" s="556">
        <f>'Planilla Final 2018'!R60</f>
        <v>-37290225.399999999</v>
      </c>
      <c r="C9" s="381"/>
      <c r="D9" s="384">
        <f>'Planilla Final 2017'!R59</f>
        <v>-35713851.420000002</v>
      </c>
      <c r="E9" s="379"/>
      <c r="F9" s="384">
        <f>-32975950+1759101</f>
        <v>-31216849</v>
      </c>
    </row>
    <row r="10" spans="1:9" ht="5.0999999999999996" customHeight="1">
      <c r="A10" s="381"/>
      <c r="B10" s="381"/>
      <c r="C10" s="381"/>
      <c r="D10" s="379"/>
      <c r="E10" s="379"/>
      <c r="F10" s="379"/>
    </row>
    <row r="11" spans="1:9">
      <c r="A11" s="377" t="s">
        <v>507</v>
      </c>
      <c r="B11" s="379">
        <f>+B6+B9</f>
        <v>16705198.589999981</v>
      </c>
      <c r="C11" s="381"/>
      <c r="D11" s="379">
        <f>+D6+D9</f>
        <v>16626966.999999985</v>
      </c>
      <c r="E11" s="379"/>
      <c r="F11" s="379">
        <f>+F6+F9</f>
        <v>18182954</v>
      </c>
    </row>
    <row r="12" spans="1:9" ht="5.0999999999999996" customHeight="1">
      <c r="A12" s="377"/>
      <c r="B12" s="377"/>
      <c r="C12" s="381"/>
      <c r="D12" s="379"/>
      <c r="E12" s="379"/>
      <c r="F12" s="379"/>
    </row>
    <row r="13" spans="1:9">
      <c r="A13" s="377" t="s">
        <v>508</v>
      </c>
      <c r="B13" s="377">
        <f>'Planilla Final 2018'!R64</f>
        <v>-3672120.1999999997</v>
      </c>
      <c r="C13" s="381"/>
      <c r="D13" s="379">
        <f>'Planilla Final 2017'!R63</f>
        <v>-5201733</v>
      </c>
      <c r="E13" s="379"/>
      <c r="F13" s="379">
        <v>-4584126</v>
      </c>
    </row>
    <row r="14" spans="1:9" ht="15">
      <c r="A14" s="377" t="s">
        <v>509</v>
      </c>
      <c r="B14" s="377">
        <f>'Planilla Final 2018'!R61</f>
        <v>-1111669.7000000002</v>
      </c>
      <c r="C14" s="381"/>
      <c r="D14" s="379">
        <f>'Planilla Final 2017'!R60</f>
        <v>-2320429.9500000002</v>
      </c>
      <c r="E14" s="379"/>
      <c r="F14" s="379">
        <v>-507141</v>
      </c>
      <c r="H14" s="380"/>
      <c r="I14" s="380"/>
    </row>
    <row r="15" spans="1:9" ht="5.45" customHeight="1">
      <c r="A15" s="377"/>
      <c r="B15" s="556"/>
      <c r="C15" s="381"/>
      <c r="D15" s="384"/>
      <c r="E15" s="379"/>
      <c r="F15" s="384"/>
    </row>
    <row r="16" spans="1:9" ht="24">
      <c r="A16" s="385" t="s">
        <v>510</v>
      </c>
      <c r="B16" s="379">
        <f>+B11+B13+B14</f>
        <v>11921408.689999983</v>
      </c>
      <c r="C16" s="381"/>
      <c r="D16" s="379">
        <f>+D11+D13+D14</f>
        <v>9104804.0499999858</v>
      </c>
      <c r="E16" s="379"/>
      <c r="F16" s="379">
        <f>+F11+F13+F14</f>
        <v>13091687</v>
      </c>
    </row>
    <row r="17" spans="1:11" ht="5.0999999999999996" customHeight="1">
      <c r="A17" s="377"/>
      <c r="B17" s="377"/>
      <c r="C17" s="381"/>
      <c r="D17" s="379"/>
      <c r="E17" s="379"/>
      <c r="F17" s="379"/>
    </row>
    <row r="18" spans="1:11">
      <c r="A18" s="381" t="s">
        <v>112</v>
      </c>
      <c r="B18" s="381">
        <f>'Planilla Final 2018'!R67</f>
        <v>-2417615</v>
      </c>
      <c r="C18" s="381"/>
      <c r="D18" s="386">
        <f>'Planilla Final 2017'!R66</f>
        <v>-1591304</v>
      </c>
      <c r="E18" s="377"/>
      <c r="F18" s="386">
        <v>-1759101</v>
      </c>
    </row>
    <row r="19" spans="1:11" ht="5.45" customHeight="1">
      <c r="A19" s="381"/>
      <c r="B19" s="381"/>
      <c r="C19" s="381"/>
      <c r="D19" s="379"/>
      <c r="E19" s="379"/>
      <c r="F19" s="379"/>
    </row>
    <row r="20" spans="1:11">
      <c r="A20" s="381" t="s">
        <v>368</v>
      </c>
      <c r="B20" s="381">
        <f>'Planilla Final 2018'!R68</f>
        <v>-4232971</v>
      </c>
      <c r="D20" s="379">
        <f>'Planilla Final 2017'!R67</f>
        <v>-3475906</v>
      </c>
      <c r="F20" s="379">
        <v>-3198548</v>
      </c>
    </row>
    <row r="21" spans="1:11" ht="5.0999999999999996" customHeight="1">
      <c r="A21" s="387"/>
      <c r="B21" s="557"/>
      <c r="D21" s="376"/>
      <c r="F21" s="376"/>
    </row>
    <row r="22" spans="1:11" ht="12.75">
      <c r="A22" s="377" t="s">
        <v>511</v>
      </c>
      <c r="B22" s="388">
        <f>+B16+B18+B20</f>
        <v>5270822.6899999827</v>
      </c>
      <c r="D22" s="388">
        <f>+D16+D18+D20</f>
        <v>4037594.0499999858</v>
      </c>
      <c r="E22" s="379"/>
      <c r="F22" s="388">
        <f>+F16+F18+F20</f>
        <v>8134038</v>
      </c>
      <c r="G22" s="379"/>
      <c r="H22" s="389"/>
      <c r="I22" s="390"/>
      <c r="J22" s="391"/>
      <c r="K22" s="392"/>
    </row>
    <row r="24" spans="1:11">
      <c r="A24" s="383" t="s">
        <v>512</v>
      </c>
      <c r="B24" s="383"/>
    </row>
    <row r="25" spans="1:11" ht="5.0999999999999996" customHeight="1">
      <c r="A25" s="387"/>
      <c r="B25" s="387"/>
      <c r="D25" s="376"/>
      <c r="F25" s="376"/>
    </row>
    <row r="26" spans="1:11" ht="24">
      <c r="A26" s="433" t="s">
        <v>513</v>
      </c>
      <c r="B26" s="558">
        <f>'Planilla Final 2018'!R71</f>
        <v>70086</v>
      </c>
      <c r="D26" s="382">
        <f>'Planilla Final 2017'!R70</f>
        <v>1849659</v>
      </c>
      <c r="F26" s="382">
        <v>-495802</v>
      </c>
    </row>
    <row r="27" spans="1:11" ht="5.0999999999999996" customHeight="1">
      <c r="A27" s="387"/>
      <c r="B27" s="387"/>
      <c r="D27" s="376"/>
      <c r="F27" s="376"/>
    </row>
    <row r="28" spans="1:11" ht="12.75" thickBot="1">
      <c r="A28" s="381" t="s">
        <v>286</v>
      </c>
      <c r="B28" s="393">
        <f>+B22+B26</f>
        <v>5340908.6899999827</v>
      </c>
      <c r="D28" s="393">
        <f>+D22+D26</f>
        <v>5887253.0499999858</v>
      </c>
      <c r="F28" s="393">
        <f>+F22+F26</f>
        <v>7638236</v>
      </c>
    </row>
    <row r="29" spans="1:11" ht="5.0999999999999996" customHeight="1" thickTop="1">
      <c r="A29" s="381"/>
      <c r="B29" s="381"/>
    </row>
    <row r="30" spans="1:11">
      <c r="A30" s="358" t="s">
        <v>553</v>
      </c>
      <c r="B30" s="384">
        <f>'Planilla Final 2018'!R77</f>
        <v>6362707.3569136076</v>
      </c>
      <c r="D30" s="384">
        <f>'Planilla Final 2017'!R76</f>
        <v>6447471.9952226235</v>
      </c>
      <c r="E30" s="379"/>
      <c r="F30" s="384">
        <v>7246588</v>
      </c>
      <c r="G30" s="375"/>
    </row>
    <row r="31" spans="1:11" ht="5.0999999999999996" customHeight="1">
      <c r="A31" s="358"/>
      <c r="B31" s="358"/>
      <c r="D31" s="394"/>
      <c r="E31" s="395"/>
      <c r="F31" s="394"/>
      <c r="G31" s="375"/>
    </row>
    <row r="32" spans="1:11">
      <c r="A32" s="358" t="s">
        <v>695</v>
      </c>
      <c r="B32" s="382">
        <f>'Planilla Final 2018'!R78</f>
        <v>-1021798.66691362</v>
      </c>
      <c r="D32" s="382">
        <f>'Planilla Final 2017'!R77</f>
        <v>-560218.94522262446</v>
      </c>
      <c r="F32" s="396">
        <v>391648</v>
      </c>
      <c r="G32" s="375"/>
    </row>
    <row r="33" spans="2:7" ht="5.0999999999999996" customHeight="1">
      <c r="G33" s="375"/>
    </row>
    <row r="35" spans="2:7">
      <c r="B35" s="787">
        <f>B22-B32</f>
        <v>6292621.3569136029</v>
      </c>
      <c r="D35" s="787">
        <f>D22-D32</f>
        <v>4597812.9952226104</v>
      </c>
      <c r="F35" s="787">
        <f>F22-F32</f>
        <v>7742390</v>
      </c>
    </row>
    <row r="37" spans="2:7">
      <c r="B37" s="787">
        <f>B16-B32</f>
        <v>12943207.356913602</v>
      </c>
      <c r="G37" s="375"/>
    </row>
    <row r="38" spans="2:7">
      <c r="B38" s="375">
        <f>'EFE 2018-2017'!N43</f>
        <v>-298678.30000001192</v>
      </c>
      <c r="G38" s="375"/>
    </row>
    <row r="39" spans="2:7">
      <c r="B39" s="787">
        <f>B37+B38</f>
        <v>12644529.05691359</v>
      </c>
      <c r="G39" s="3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topLeftCell="A47" workbookViewId="0">
      <selection activeCell="D47" sqref="D47"/>
    </sheetView>
  </sheetViews>
  <sheetFormatPr defaultColWidth="11.42578125" defaultRowHeight="11.25"/>
  <cols>
    <col min="1" max="1" width="68.85546875" style="182" bestFit="1" customWidth="1"/>
    <col min="2" max="2" width="7.28515625" style="182" customWidth="1"/>
    <col min="3" max="3" width="1" style="211" customWidth="1"/>
    <col min="4" max="4" width="15.140625" style="182" customWidth="1"/>
    <col min="5" max="5" width="1.7109375" style="211" customWidth="1"/>
    <col min="6" max="6" width="16.140625" style="182" customWidth="1"/>
    <col min="7" max="8" width="1.42578125" style="211" customWidth="1"/>
    <col min="9" max="9" width="15.42578125" style="182" hidden="1" customWidth="1"/>
    <col min="10" max="10" width="11.42578125" style="182"/>
    <col min="11" max="11" width="14.42578125" style="182" bestFit="1" customWidth="1"/>
    <col min="12" max="16384" width="11.42578125" style="182"/>
  </cols>
  <sheetData>
    <row r="1" spans="1:9">
      <c r="B1" s="212"/>
      <c r="C1" s="212"/>
      <c r="D1" s="189"/>
      <c r="E1" s="213"/>
      <c r="F1" s="214" t="s">
        <v>331</v>
      </c>
      <c r="G1" s="214"/>
    </row>
    <row r="2" spans="1:9" ht="33.75">
      <c r="A2" s="215" t="s">
        <v>332</v>
      </c>
      <c r="B2" s="216" t="s">
        <v>333</v>
      </c>
      <c r="C2" s="212"/>
      <c r="D2" s="217" t="s">
        <v>334</v>
      </c>
      <c r="E2" s="213"/>
      <c r="F2" s="217" t="s">
        <v>335</v>
      </c>
      <c r="G2" s="213"/>
      <c r="H2" s="218"/>
    </row>
    <row r="3" spans="1:9" ht="6" customHeight="1">
      <c r="A3" s="218"/>
      <c r="B3" s="219"/>
      <c r="C3" s="220"/>
      <c r="E3" s="220"/>
      <c r="G3" s="220"/>
      <c r="H3" s="220"/>
    </row>
    <row r="4" spans="1:9">
      <c r="A4" s="221" t="s">
        <v>336</v>
      </c>
      <c r="B4" s="219"/>
      <c r="C4" s="220"/>
      <c r="E4" s="220"/>
      <c r="G4" s="220"/>
      <c r="H4" s="220"/>
    </row>
    <row r="5" spans="1:9" s="211" customFormat="1">
      <c r="A5" s="222" t="s">
        <v>22</v>
      </c>
      <c r="B5" s="271">
        <v>6</v>
      </c>
      <c r="C5" s="220"/>
      <c r="D5" s="272">
        <v>10796157</v>
      </c>
      <c r="E5" s="220"/>
      <c r="F5" s="272">
        <v>2860714</v>
      </c>
      <c r="G5" s="220"/>
      <c r="H5" s="220"/>
    </row>
    <row r="6" spans="1:9" s="211" customFormat="1">
      <c r="A6" s="222" t="s">
        <v>337</v>
      </c>
      <c r="B6" s="271">
        <v>7</v>
      </c>
      <c r="C6" s="220"/>
      <c r="D6" s="272">
        <v>5930789</v>
      </c>
      <c r="E6" s="220"/>
      <c r="F6" s="272">
        <f>6451966-2177033</f>
        <v>4274933</v>
      </c>
      <c r="G6" s="220"/>
      <c r="H6" s="220"/>
    </row>
    <row r="7" spans="1:9" s="211" customFormat="1">
      <c r="A7" s="222" t="s">
        <v>65</v>
      </c>
      <c r="B7" s="271">
        <v>8</v>
      </c>
      <c r="C7" s="220"/>
      <c r="D7" s="272">
        <v>2050592</v>
      </c>
      <c r="E7" s="220"/>
      <c r="F7" s="272">
        <f>8326743-6451966</f>
        <v>1874777</v>
      </c>
      <c r="G7" s="220"/>
      <c r="H7" s="220"/>
    </row>
    <row r="8" spans="1:9" s="211" customFormat="1">
      <c r="A8" s="222" t="s">
        <v>67</v>
      </c>
      <c r="B8" s="271">
        <v>9</v>
      </c>
      <c r="C8" s="220"/>
      <c r="D8" s="272">
        <f>15475559-75667-741007+24485</f>
        <v>14683370</v>
      </c>
      <c r="E8" s="220"/>
      <c r="F8" s="272">
        <v>18690745</v>
      </c>
      <c r="G8" s="220"/>
      <c r="H8" s="220"/>
      <c r="I8" s="211" t="s">
        <v>376</v>
      </c>
    </row>
    <row r="9" spans="1:9" s="211" customFormat="1">
      <c r="A9" s="222" t="s">
        <v>338</v>
      </c>
      <c r="B9" s="271">
        <v>21</v>
      </c>
      <c r="C9" s="220"/>
      <c r="D9" s="272">
        <f>13533602-176970</f>
        <v>13356632</v>
      </c>
      <c r="E9" s="220"/>
      <c r="F9" s="272">
        <v>3629981</v>
      </c>
      <c r="G9" s="220"/>
      <c r="H9" s="220"/>
    </row>
    <row r="10" spans="1:9" s="211" customFormat="1">
      <c r="A10" s="222" t="s">
        <v>68</v>
      </c>
      <c r="B10" s="271">
        <v>10</v>
      </c>
      <c r="C10" s="220"/>
      <c r="D10" s="272">
        <f>1782651+75667+741007-24485</f>
        <v>2574840</v>
      </c>
      <c r="E10" s="220"/>
      <c r="F10" s="272">
        <v>7066072</v>
      </c>
      <c r="G10" s="220"/>
      <c r="H10" s="220"/>
    </row>
    <row r="11" spans="1:9" s="211" customFormat="1">
      <c r="A11" s="222" t="s">
        <v>69</v>
      </c>
      <c r="B11" s="271">
        <v>23</v>
      </c>
      <c r="C11" s="220"/>
      <c r="D11" s="272">
        <v>1809821</v>
      </c>
      <c r="E11" s="272"/>
      <c r="F11" s="272">
        <v>1863806</v>
      </c>
      <c r="G11" s="220"/>
      <c r="H11" s="220"/>
    </row>
    <row r="12" spans="1:9" s="211" customFormat="1">
      <c r="A12" s="273" t="s">
        <v>70</v>
      </c>
      <c r="B12" s="272"/>
      <c r="D12" s="272">
        <v>2370903</v>
      </c>
      <c r="E12" s="272"/>
      <c r="F12" s="272">
        <v>2140317</v>
      </c>
      <c r="G12" s="220"/>
      <c r="H12" s="220"/>
    </row>
    <row r="13" spans="1:9" s="211" customFormat="1">
      <c r="A13" s="222" t="s">
        <v>6</v>
      </c>
      <c r="B13" s="271">
        <v>11</v>
      </c>
      <c r="D13" s="272">
        <v>18940616</v>
      </c>
      <c r="E13" s="272"/>
      <c r="F13" s="272">
        <v>19594268</v>
      </c>
      <c r="G13" s="220"/>
      <c r="H13" s="220"/>
    </row>
    <row r="14" spans="1:9" s="211" customFormat="1">
      <c r="A14" s="222" t="s">
        <v>71</v>
      </c>
      <c r="B14" s="271">
        <v>15</v>
      </c>
      <c r="C14" s="220"/>
      <c r="D14" s="274">
        <v>0</v>
      </c>
      <c r="E14" s="272"/>
      <c r="F14" s="272">
        <v>11189237</v>
      </c>
      <c r="G14" s="220"/>
      <c r="H14" s="220"/>
    </row>
    <row r="15" spans="1:9" s="211" customFormat="1">
      <c r="A15" s="221" t="s">
        <v>339</v>
      </c>
      <c r="B15" s="272"/>
      <c r="C15" s="220"/>
      <c r="D15" s="275">
        <f>SUM(D5:D14)</f>
        <v>72513720</v>
      </c>
      <c r="E15" s="276" t="s">
        <v>340</v>
      </c>
      <c r="F15" s="277">
        <f>SUM(F5:F14)</f>
        <v>73184850</v>
      </c>
      <c r="G15" s="276" t="s">
        <v>340</v>
      </c>
      <c r="H15" s="276" t="s">
        <v>340</v>
      </c>
    </row>
    <row r="16" spans="1:9" s="211" customFormat="1" ht="7.5" customHeight="1">
      <c r="A16" s="221"/>
      <c r="B16" s="272"/>
      <c r="C16" s="220"/>
      <c r="D16" s="278"/>
      <c r="E16" s="276"/>
      <c r="F16" s="276"/>
      <c r="G16" s="276"/>
      <c r="H16" s="276"/>
    </row>
    <row r="17" spans="1:9" s="211" customFormat="1">
      <c r="A17" s="221" t="s">
        <v>341</v>
      </c>
      <c r="B17" s="272"/>
      <c r="C17" s="220"/>
      <c r="D17" s="279">
        <v>0</v>
      </c>
      <c r="E17" s="276"/>
      <c r="F17" s="279">
        <v>0</v>
      </c>
      <c r="G17" s="276"/>
      <c r="H17" s="276"/>
    </row>
    <row r="18" spans="1:9" s="211" customFormat="1">
      <c r="A18" s="218"/>
      <c r="B18" s="272"/>
      <c r="C18" s="220"/>
      <c r="D18" s="272"/>
      <c r="E18" s="272"/>
      <c r="F18" s="272"/>
      <c r="G18" s="220"/>
      <c r="H18" s="220"/>
    </row>
    <row r="19" spans="1:9" s="211" customFormat="1">
      <c r="A19" s="224" t="s">
        <v>342</v>
      </c>
      <c r="B19" s="272"/>
      <c r="C19" s="225"/>
      <c r="D19" s="272"/>
      <c r="E19" s="272"/>
      <c r="F19" s="272"/>
      <c r="G19" s="225"/>
      <c r="H19" s="225"/>
    </row>
    <row r="20" spans="1:9" s="211" customFormat="1">
      <c r="A20" s="222" t="s">
        <v>338</v>
      </c>
      <c r="B20" s="271">
        <v>21</v>
      </c>
      <c r="C20" s="225"/>
      <c r="D20" s="280">
        <v>0</v>
      </c>
      <c r="E20" s="272"/>
      <c r="F20" s="274">
        <v>0</v>
      </c>
      <c r="G20" s="225"/>
      <c r="H20" s="225"/>
    </row>
    <row r="21" spans="1:9" s="211" customFormat="1">
      <c r="A21" s="222" t="s">
        <v>68</v>
      </c>
      <c r="B21" s="271">
        <v>10</v>
      </c>
      <c r="C21" s="220"/>
      <c r="D21" s="272">
        <f>2830934-1610+176970</f>
        <v>3006294</v>
      </c>
      <c r="E21" s="220"/>
      <c r="F21" s="274">
        <v>2899664</v>
      </c>
      <c r="G21" s="227"/>
      <c r="H21" s="220"/>
    </row>
    <row r="22" spans="1:9" s="211" customFormat="1">
      <c r="A22" s="222" t="s">
        <v>73</v>
      </c>
      <c r="B22" s="271">
        <v>12</v>
      </c>
      <c r="C22" s="220"/>
      <c r="D22" s="272">
        <v>115482884</v>
      </c>
      <c r="E22" s="220"/>
      <c r="F22" s="274">
        <v>61835159</v>
      </c>
      <c r="G22" s="227"/>
      <c r="H22" s="220"/>
      <c r="I22" s="211" t="s">
        <v>382</v>
      </c>
    </row>
    <row r="23" spans="1:9" s="211" customFormat="1">
      <c r="A23" s="222" t="s">
        <v>343</v>
      </c>
      <c r="B23" s="271">
        <v>13</v>
      </c>
      <c r="C23" s="220"/>
      <c r="D23" s="272">
        <v>700965</v>
      </c>
      <c r="E23" s="220"/>
      <c r="F23" s="274">
        <v>860466</v>
      </c>
      <c r="G23" s="227"/>
      <c r="H23" s="220"/>
    </row>
    <row r="24" spans="1:9" s="211" customFormat="1">
      <c r="A24" s="222" t="s">
        <v>74</v>
      </c>
      <c r="B24" s="271">
        <v>14</v>
      </c>
      <c r="C24" s="220"/>
      <c r="D24" s="272">
        <v>12117453</v>
      </c>
      <c r="E24" s="220"/>
      <c r="F24" s="274">
        <v>12384735</v>
      </c>
      <c r="G24" s="227"/>
      <c r="H24" s="220"/>
    </row>
    <row r="25" spans="1:9" s="211" customFormat="1">
      <c r="A25" s="222" t="s">
        <v>71</v>
      </c>
      <c r="B25" s="271">
        <v>15</v>
      </c>
      <c r="C25" s="220"/>
      <c r="D25" s="274">
        <v>3030143</v>
      </c>
      <c r="E25" s="220"/>
      <c r="F25" s="274">
        <v>40281700</v>
      </c>
      <c r="G25" s="227"/>
      <c r="H25" s="220"/>
      <c r="I25" s="211" t="s">
        <v>375</v>
      </c>
    </row>
    <row r="26" spans="1:9" s="211" customFormat="1">
      <c r="A26" s="222" t="s">
        <v>212</v>
      </c>
      <c r="B26" s="271">
        <v>16</v>
      </c>
      <c r="C26" s="220"/>
      <c r="D26" s="272">
        <v>1422229</v>
      </c>
      <c r="E26" s="220"/>
      <c r="F26" s="274">
        <v>1297229</v>
      </c>
      <c r="G26" s="227"/>
      <c r="H26" s="220"/>
    </row>
    <row r="27" spans="1:9" s="211" customFormat="1">
      <c r="A27" s="222" t="s">
        <v>76</v>
      </c>
      <c r="B27" s="271">
        <v>17</v>
      </c>
      <c r="C27" s="220"/>
      <c r="D27" s="272">
        <f>5314208+1231351</f>
        <v>6545559</v>
      </c>
      <c r="E27" s="220"/>
      <c r="F27" s="274">
        <v>5317430</v>
      </c>
      <c r="G27" s="227"/>
      <c r="H27" s="220"/>
    </row>
    <row r="28" spans="1:9" s="211" customFormat="1">
      <c r="A28" s="222" t="s">
        <v>77</v>
      </c>
      <c r="B28" s="271"/>
      <c r="C28" s="220"/>
      <c r="D28" s="263">
        <f>104399+1610</f>
        <v>106009</v>
      </c>
      <c r="E28" s="220"/>
      <c r="F28" s="274">
        <f>104394+1501</f>
        <v>105895</v>
      </c>
      <c r="G28" s="227"/>
      <c r="H28" s="220"/>
    </row>
    <row r="29" spans="1:9" s="211" customFormat="1">
      <c r="A29" s="221" t="s">
        <v>344</v>
      </c>
      <c r="B29" s="272"/>
      <c r="C29" s="220"/>
      <c r="D29" s="281">
        <f>SUM(D20:D28)</f>
        <v>142411536</v>
      </c>
      <c r="E29" s="272"/>
      <c r="F29" s="282">
        <f>SUM(F20:F28)</f>
        <v>124982278</v>
      </c>
      <c r="G29" s="225"/>
      <c r="H29" s="225"/>
    </row>
    <row r="30" spans="1:9" s="211" customFormat="1" ht="12" thickBot="1">
      <c r="A30" s="221" t="s">
        <v>39</v>
      </c>
      <c r="B30" s="272"/>
      <c r="C30" s="220"/>
      <c r="D30" s="283">
        <f>+D15+D29+D17</f>
        <v>214925256</v>
      </c>
      <c r="E30" s="272"/>
      <c r="F30" s="283">
        <f>+F15+F29+F17</f>
        <v>198167128</v>
      </c>
      <c r="G30" s="225"/>
      <c r="H30" s="225"/>
    </row>
    <row r="31" spans="1:9" s="211" customFormat="1" ht="8.25" customHeight="1" thickTop="1">
      <c r="A31" s="221"/>
      <c r="B31" s="272"/>
      <c r="C31" s="220"/>
      <c r="D31" s="276"/>
      <c r="E31" s="272"/>
      <c r="F31" s="276"/>
      <c r="G31" s="225"/>
      <c r="H31" s="225"/>
    </row>
    <row r="32" spans="1:9" s="211" customFormat="1">
      <c r="A32" s="221"/>
      <c r="B32" s="272"/>
      <c r="C32" s="220"/>
      <c r="D32" s="276"/>
      <c r="E32" s="272"/>
      <c r="F32" s="276"/>
      <c r="G32" s="225"/>
      <c r="H32" s="225"/>
    </row>
    <row r="33" spans="1:9" s="211" customFormat="1">
      <c r="B33" s="284"/>
      <c r="C33" s="284"/>
      <c r="D33" s="284"/>
      <c r="E33" s="202"/>
      <c r="F33" s="285" t="s">
        <v>331</v>
      </c>
    </row>
    <row r="34" spans="1:9" s="211" customFormat="1" ht="33.75">
      <c r="A34" s="286" t="s">
        <v>345</v>
      </c>
      <c r="B34" s="287" t="s">
        <v>333</v>
      </c>
      <c r="C34" s="284"/>
      <c r="D34" s="288" t="s">
        <v>334</v>
      </c>
      <c r="E34" s="289"/>
      <c r="F34" s="288" t="s">
        <v>335</v>
      </c>
    </row>
    <row r="35" spans="1:9" s="211" customFormat="1" ht="3.75" customHeight="1">
      <c r="A35" s="290"/>
      <c r="B35" s="272"/>
      <c r="C35" s="220"/>
      <c r="D35" s="272"/>
      <c r="E35" s="272"/>
      <c r="F35" s="272"/>
    </row>
    <row r="36" spans="1:9" s="211" customFormat="1">
      <c r="A36" s="286" t="s">
        <v>346</v>
      </c>
      <c r="B36" s="272"/>
      <c r="C36" s="220"/>
      <c r="D36" s="272"/>
      <c r="E36" s="272"/>
      <c r="F36" s="272"/>
    </row>
    <row r="37" spans="1:9" s="211" customFormat="1">
      <c r="A37" s="286"/>
      <c r="B37" s="272"/>
      <c r="C37" s="220"/>
      <c r="D37" s="272"/>
      <c r="E37" s="272"/>
      <c r="F37" s="272"/>
    </row>
    <row r="38" spans="1:9" s="211" customFormat="1">
      <c r="A38" s="291" t="s">
        <v>347</v>
      </c>
      <c r="B38" s="272"/>
      <c r="C38" s="220"/>
      <c r="D38" s="272"/>
      <c r="E38" s="272"/>
      <c r="F38" s="272"/>
    </row>
    <row r="39" spans="1:9" s="211" customFormat="1">
      <c r="A39" s="292" t="s">
        <v>78</v>
      </c>
      <c r="B39" s="293">
        <v>18</v>
      </c>
      <c r="C39" s="220"/>
      <c r="D39" s="274">
        <v>31524342</v>
      </c>
      <c r="E39" s="274"/>
      <c r="F39" s="274">
        <v>25934358</v>
      </c>
      <c r="I39" s="280"/>
    </row>
    <row r="40" spans="1:9" s="211" customFormat="1">
      <c r="A40" s="292" t="s">
        <v>348</v>
      </c>
      <c r="B40" s="293">
        <v>19</v>
      </c>
      <c r="C40" s="220"/>
      <c r="D40" s="274">
        <v>18525384</v>
      </c>
      <c r="E40" s="274"/>
      <c r="F40" s="274">
        <v>24674706</v>
      </c>
      <c r="I40" s="280"/>
    </row>
    <row r="41" spans="1:9" s="211" customFormat="1">
      <c r="A41" s="292" t="s">
        <v>349</v>
      </c>
      <c r="B41" s="293">
        <v>21</v>
      </c>
      <c r="C41" s="220"/>
      <c r="D41" s="274">
        <f>348539-86149</f>
        <v>262390</v>
      </c>
      <c r="E41" s="274"/>
      <c r="F41" s="274">
        <v>805431</v>
      </c>
      <c r="I41" s="280"/>
    </row>
    <row r="42" spans="1:9" s="211" customFormat="1">
      <c r="A42" s="292" t="s">
        <v>213</v>
      </c>
      <c r="B42" s="293">
        <v>22</v>
      </c>
      <c r="C42" s="220"/>
      <c r="D42" s="274">
        <v>0</v>
      </c>
      <c r="E42" s="274"/>
      <c r="F42" s="274">
        <v>0</v>
      </c>
      <c r="I42" s="280"/>
    </row>
    <row r="43" spans="1:9" s="211" customFormat="1">
      <c r="A43" s="292" t="s">
        <v>350</v>
      </c>
      <c r="B43" s="293">
        <v>23</v>
      </c>
      <c r="C43" s="220"/>
      <c r="D43" s="274">
        <v>4144395</v>
      </c>
      <c r="E43" s="274"/>
      <c r="F43" s="274">
        <v>2516445</v>
      </c>
      <c r="I43" s="280"/>
    </row>
    <row r="44" spans="1:9" s="211" customFormat="1">
      <c r="A44" s="292" t="s">
        <v>80</v>
      </c>
      <c r="B44" s="272"/>
      <c r="C44" s="220"/>
      <c r="D44" s="274">
        <f>783153</f>
        <v>783153</v>
      </c>
      <c r="E44" s="227"/>
      <c r="F44" s="274">
        <v>926219</v>
      </c>
      <c r="I44" s="280"/>
    </row>
    <row r="45" spans="1:9" s="211" customFormat="1">
      <c r="A45" s="292" t="s">
        <v>81</v>
      </c>
      <c r="B45" s="293">
        <v>20</v>
      </c>
      <c r="C45" s="220"/>
      <c r="D45" s="274">
        <v>4358272</v>
      </c>
      <c r="E45" s="227"/>
      <c r="F45" s="274">
        <v>10350691</v>
      </c>
    </row>
    <row r="46" spans="1:9" s="211" customFormat="1">
      <c r="A46" s="292" t="s">
        <v>351</v>
      </c>
      <c r="B46" s="293">
        <v>24</v>
      </c>
      <c r="C46" s="220"/>
      <c r="D46" s="274">
        <v>4375344</v>
      </c>
      <c r="E46" s="274"/>
      <c r="F46" s="274">
        <v>4604646</v>
      </c>
      <c r="I46" s="280"/>
    </row>
    <row r="47" spans="1:9" s="211" customFormat="1">
      <c r="A47" s="292" t="s">
        <v>83</v>
      </c>
      <c r="B47" s="293">
        <v>26</v>
      </c>
      <c r="C47" s="220"/>
      <c r="D47" s="274">
        <v>4225160</v>
      </c>
      <c r="E47" s="274"/>
      <c r="F47" s="274">
        <v>3530956</v>
      </c>
      <c r="I47" s="280"/>
    </row>
    <row r="48" spans="1:9" s="211" customFormat="1">
      <c r="A48" s="291" t="s">
        <v>352</v>
      </c>
      <c r="B48" s="272"/>
      <c r="C48" s="220"/>
      <c r="D48" s="275">
        <f>SUM(D39:D47)</f>
        <v>68198440</v>
      </c>
      <c r="E48" s="274"/>
      <c r="F48" s="275">
        <f>SUM(F39:F47)</f>
        <v>73343452</v>
      </c>
    </row>
    <row r="49" spans="1:11" s="211" customFormat="1">
      <c r="B49" s="272"/>
      <c r="C49" s="272"/>
      <c r="D49" s="274" t="s">
        <v>340</v>
      </c>
      <c r="E49" s="274"/>
      <c r="F49" s="274" t="s">
        <v>340</v>
      </c>
    </row>
    <row r="50" spans="1:11" s="211" customFormat="1">
      <c r="A50" s="291" t="s">
        <v>353</v>
      </c>
      <c r="B50" s="272"/>
      <c r="C50" s="220"/>
      <c r="D50" s="274"/>
      <c r="E50" s="274"/>
      <c r="F50" s="274"/>
    </row>
    <row r="51" spans="1:11" s="211" customFormat="1">
      <c r="A51" s="292" t="s">
        <v>78</v>
      </c>
      <c r="B51" s="293">
        <v>18</v>
      </c>
      <c r="C51" s="220"/>
      <c r="D51" s="274">
        <v>23039030</v>
      </c>
      <c r="E51" s="274"/>
      <c r="F51" s="274">
        <v>18334913</v>
      </c>
      <c r="I51" s="280"/>
      <c r="K51" s="294"/>
    </row>
    <row r="52" spans="1:11" s="211" customFormat="1">
      <c r="A52" s="292" t="s">
        <v>348</v>
      </c>
      <c r="B52" s="293">
        <v>19</v>
      </c>
      <c r="C52" s="220"/>
      <c r="D52" s="274">
        <v>5713210</v>
      </c>
      <c r="E52" s="274"/>
      <c r="F52" s="274">
        <v>0</v>
      </c>
      <c r="I52" s="280"/>
    </row>
    <row r="53" spans="1:11" s="211" customFormat="1">
      <c r="A53" s="292" t="s">
        <v>349</v>
      </c>
      <c r="B53" s="293">
        <v>21</v>
      </c>
      <c r="C53" s="220"/>
      <c r="D53" s="274">
        <v>10628878</v>
      </c>
      <c r="E53" s="274"/>
      <c r="F53" s="274">
        <v>14282894</v>
      </c>
      <c r="I53" s="280"/>
    </row>
    <row r="54" spans="1:11" s="211" customFormat="1">
      <c r="A54" s="292" t="s">
        <v>80</v>
      </c>
      <c r="B54" s="293"/>
      <c r="C54" s="220"/>
      <c r="D54" s="274">
        <f>2680000+86149</f>
        <v>2766149</v>
      </c>
      <c r="E54" s="274"/>
      <c r="F54" s="274">
        <v>0</v>
      </c>
      <c r="I54" s="280"/>
      <c r="J54" s="295"/>
      <c r="K54" s="294"/>
    </row>
    <row r="55" spans="1:11" s="211" customFormat="1">
      <c r="A55" s="292" t="s">
        <v>351</v>
      </c>
      <c r="B55" s="293">
        <v>25</v>
      </c>
      <c r="C55" s="220"/>
      <c r="D55" s="274">
        <v>5796127</v>
      </c>
      <c r="E55" s="274"/>
      <c r="F55" s="274">
        <v>4471614</v>
      </c>
      <c r="I55" s="280"/>
    </row>
    <row r="56" spans="1:11" s="211" customFormat="1">
      <c r="A56" s="292" t="s">
        <v>81</v>
      </c>
      <c r="B56" s="293"/>
      <c r="C56" s="220"/>
      <c r="D56" s="274">
        <v>27717</v>
      </c>
      <c r="E56" s="274"/>
      <c r="F56" s="274">
        <v>0</v>
      </c>
      <c r="I56" s="274"/>
    </row>
    <row r="57" spans="1:11" s="211" customFormat="1">
      <c r="A57" s="292" t="s">
        <v>354</v>
      </c>
      <c r="B57" s="293">
        <v>26</v>
      </c>
      <c r="C57" s="220"/>
      <c r="D57" s="274">
        <v>17696327</v>
      </c>
      <c r="E57" s="274"/>
      <c r="F57" s="274">
        <v>13213506</v>
      </c>
      <c r="I57" s="280"/>
    </row>
    <row r="58" spans="1:11" s="211" customFormat="1">
      <c r="A58" s="292" t="s">
        <v>87</v>
      </c>
      <c r="B58" s="293">
        <v>27</v>
      </c>
      <c r="C58" s="220"/>
      <c r="D58" s="274">
        <v>3572443</v>
      </c>
      <c r="E58" s="274"/>
      <c r="F58" s="274">
        <v>5938109</v>
      </c>
      <c r="I58" s="280"/>
    </row>
    <row r="59" spans="1:11" s="211" customFormat="1">
      <c r="A59" s="291" t="s">
        <v>355</v>
      </c>
      <c r="B59" s="272"/>
      <c r="C59" s="220"/>
      <c r="D59" s="275">
        <f>SUM(D51:D58)</f>
        <v>69239881</v>
      </c>
      <c r="E59" s="274"/>
      <c r="F59" s="275">
        <f>SUM(F51:F58)</f>
        <v>56241036</v>
      </c>
    </row>
    <row r="60" spans="1:11" s="211" customFormat="1">
      <c r="A60" s="291" t="s">
        <v>40</v>
      </c>
      <c r="B60" s="272"/>
      <c r="C60" s="220"/>
      <c r="D60" s="275">
        <f>+D48+D59</f>
        <v>137438321</v>
      </c>
      <c r="E60" s="274"/>
      <c r="F60" s="275">
        <f>+F48+F59</f>
        <v>129584488</v>
      </c>
    </row>
    <row r="61" spans="1:11" s="211" customFormat="1">
      <c r="A61" s="291"/>
      <c r="B61" s="272"/>
      <c r="C61" s="220"/>
      <c r="D61" s="274"/>
      <c r="E61" s="274"/>
      <c r="F61" s="274"/>
    </row>
    <row r="62" spans="1:11" s="211" customFormat="1">
      <c r="A62" s="286" t="s">
        <v>356</v>
      </c>
      <c r="B62" s="272"/>
      <c r="C62" s="220"/>
      <c r="D62" s="274"/>
      <c r="E62" s="274"/>
      <c r="F62" s="274"/>
    </row>
    <row r="63" spans="1:11" s="211" customFormat="1">
      <c r="A63" s="292" t="s">
        <v>357</v>
      </c>
      <c r="B63" s="293">
        <v>28</v>
      </c>
      <c r="C63" s="220"/>
      <c r="D63" s="274">
        <v>23879352</v>
      </c>
      <c r="E63" s="274"/>
      <c r="F63" s="274">
        <v>23879352</v>
      </c>
    </row>
    <row r="64" spans="1:11" s="211" customFormat="1">
      <c r="A64" s="292" t="s">
        <v>358</v>
      </c>
      <c r="B64" s="293">
        <v>28</v>
      </c>
      <c r="C64" s="220"/>
      <c r="D64" s="274">
        <v>705936</v>
      </c>
      <c r="E64" s="274"/>
      <c r="F64" s="274">
        <v>705936</v>
      </c>
    </row>
    <row r="65" spans="1:6" s="211" customFormat="1">
      <c r="A65" s="292" t="s">
        <v>299</v>
      </c>
      <c r="B65" s="272"/>
      <c r="C65" s="220"/>
      <c r="D65" s="274">
        <v>4016935</v>
      </c>
      <c r="E65" s="274"/>
      <c r="F65" s="274">
        <v>2675050</v>
      </c>
    </row>
    <row r="66" spans="1:6" s="211" customFormat="1">
      <c r="A66" s="292" t="s">
        <v>157</v>
      </c>
      <c r="B66" s="272"/>
      <c r="C66" s="220"/>
      <c r="D66" s="263">
        <v>37723453</v>
      </c>
      <c r="E66" s="274"/>
      <c r="F66" s="263">
        <v>31964783</v>
      </c>
    </row>
    <row r="67" spans="1:6" s="211" customFormat="1">
      <c r="A67" s="292"/>
      <c r="B67" s="272"/>
      <c r="C67" s="220"/>
      <c r="D67" s="278">
        <f>SUM(D63:D66)</f>
        <v>66325676</v>
      </c>
      <c r="E67" s="278"/>
      <c r="F67" s="278">
        <f>SUM(F63:F66)</f>
        <v>59225121</v>
      </c>
    </row>
    <row r="68" spans="1:6" s="229" customFormat="1">
      <c r="A68" s="231" t="s">
        <v>359</v>
      </c>
      <c r="B68" s="223"/>
      <c r="C68" s="228"/>
      <c r="D68" s="232">
        <v>11161259</v>
      </c>
      <c r="E68" s="233"/>
      <c r="F68" s="232">
        <v>9357519</v>
      </c>
    </row>
    <row r="69" spans="1:6" s="229" customFormat="1" ht="7.5" customHeight="1">
      <c r="A69" s="231"/>
      <c r="B69" s="223"/>
      <c r="C69" s="228"/>
      <c r="D69" s="233"/>
      <c r="E69" s="233"/>
      <c r="F69" s="233"/>
    </row>
    <row r="70" spans="1:6" s="229" customFormat="1">
      <c r="A70" s="230" t="s">
        <v>41</v>
      </c>
      <c r="B70" s="223"/>
      <c r="C70" s="228"/>
      <c r="D70" s="232">
        <f>SUM(D67:D68)</f>
        <v>77486935</v>
      </c>
      <c r="E70" s="233"/>
      <c r="F70" s="232">
        <f>SUM(F67:F68)</f>
        <v>68582640</v>
      </c>
    </row>
    <row r="71" spans="1:6" s="229" customFormat="1" ht="3" customHeight="1">
      <c r="A71" s="230"/>
      <c r="B71" s="223"/>
      <c r="C71" s="228"/>
      <c r="D71" s="233"/>
      <c r="E71" s="233"/>
      <c r="F71" s="233"/>
    </row>
    <row r="72" spans="1:6" s="229" customFormat="1" ht="12" thickBot="1">
      <c r="A72" s="230" t="s">
        <v>360</v>
      </c>
      <c r="B72" s="223"/>
      <c r="C72" s="228"/>
      <c r="D72" s="234">
        <f>+D60+D70</f>
        <v>214925256</v>
      </c>
      <c r="E72" s="226"/>
      <c r="F72" s="234">
        <f>+F60+F70</f>
        <v>198167128</v>
      </c>
    </row>
    <row r="73" spans="1:6" ht="12" thickTop="1">
      <c r="D73" s="219"/>
      <c r="E73" s="219"/>
      <c r="F73" s="219"/>
    </row>
    <row r="74" spans="1:6">
      <c r="D74" s="219"/>
      <c r="E74" s="219"/>
      <c r="F74" s="219"/>
    </row>
    <row r="75" spans="1:6">
      <c r="D75" s="210">
        <f>D72-D30</f>
        <v>0</v>
      </c>
      <c r="E75" s="210"/>
      <c r="F75" s="210">
        <f>F72-F30</f>
        <v>0</v>
      </c>
    </row>
    <row r="76" spans="1:6">
      <c r="D76" s="219"/>
      <c r="E76" s="219"/>
      <c r="F76" s="219"/>
    </row>
    <row r="77" spans="1:6">
      <c r="D77" s="219"/>
      <c r="E77" s="219"/>
      <c r="F77" s="219"/>
    </row>
    <row r="78" spans="1:6">
      <c r="D78" s="219"/>
      <c r="E78" s="219"/>
      <c r="F78" s="219"/>
    </row>
    <row r="79" spans="1:6">
      <c r="D79" s="219"/>
      <c r="E79" s="219"/>
      <c r="F79" s="219"/>
    </row>
    <row r="80" spans="1:6">
      <c r="D80" s="219"/>
      <c r="E80" s="219"/>
      <c r="F80" s="219"/>
    </row>
    <row r="81" spans="4:6">
      <c r="D81" s="219"/>
      <c r="E81" s="219"/>
      <c r="F81" s="219"/>
    </row>
    <row r="82" spans="4:6">
      <c r="D82" s="219"/>
      <c r="E82" s="219"/>
      <c r="F82" s="219"/>
    </row>
    <row r="83" spans="4:6">
      <c r="D83" s="219"/>
      <c r="E83" s="219"/>
      <c r="F83" s="219"/>
    </row>
    <row r="84" spans="4:6">
      <c r="D84" s="219"/>
      <c r="E84" s="219"/>
      <c r="F84" s="219"/>
    </row>
    <row r="85" spans="4:6">
      <c r="D85" s="219"/>
      <c r="E85" s="219"/>
      <c r="F85" s="219"/>
    </row>
    <row r="86" spans="4:6">
      <c r="D86" s="219"/>
      <c r="E86" s="219"/>
      <c r="F86" s="2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499984740745262"/>
  </sheetPr>
  <dimension ref="A1:V73"/>
  <sheetViews>
    <sheetView showGridLines="0" workbookViewId="0"/>
  </sheetViews>
  <sheetFormatPr defaultColWidth="11.42578125" defaultRowHeight="9" outlineLevelCol="1"/>
  <cols>
    <col min="1" max="1" width="48.85546875" style="360" bestFit="1" customWidth="1"/>
    <col min="2" max="2" width="8.28515625" style="360" customWidth="1"/>
    <col min="3" max="3" width="9.85546875" style="360" customWidth="1"/>
    <col min="4" max="4" width="1.7109375" style="360" customWidth="1"/>
    <col min="5" max="5" width="9.28515625" style="360" hidden="1" customWidth="1"/>
    <col min="6" max="6" width="1.7109375" style="360" customWidth="1"/>
    <col min="7" max="7" width="27.5703125" style="360" bestFit="1" customWidth="1"/>
    <col min="8" max="8" width="10.85546875" style="360" customWidth="1" outlineLevel="1"/>
    <col min="9" max="9" width="7.85546875" style="360" customWidth="1" outlineLevel="1"/>
    <col min="10" max="10" width="8" style="360" bestFit="1" customWidth="1"/>
    <col min="11" max="11" width="7.140625" style="360" bestFit="1" customWidth="1"/>
    <col min="12" max="12" width="28.42578125" style="360" bestFit="1" customWidth="1"/>
    <col min="13" max="13" width="11.5703125" style="360" bestFit="1" customWidth="1"/>
    <col min="14" max="14" width="10.42578125" style="360" bestFit="1" customWidth="1"/>
    <col min="15" max="15" width="11.7109375" style="360" bestFit="1" customWidth="1"/>
    <col min="16" max="16" width="7.85546875" style="360" bestFit="1" customWidth="1"/>
    <col min="17" max="17" width="9.42578125" style="360" bestFit="1" customWidth="1"/>
    <col min="18" max="18" width="8.42578125" style="360" bestFit="1" customWidth="1"/>
    <col min="19" max="19" width="7.140625" style="360" bestFit="1" customWidth="1"/>
    <col min="20" max="20" width="9.5703125" style="360" bestFit="1" customWidth="1"/>
    <col min="21" max="21" width="7.42578125" style="360" bestFit="1" customWidth="1"/>
    <col min="22" max="22" width="7.85546875" style="360" bestFit="1" customWidth="1"/>
    <col min="23" max="16384" width="11.42578125" style="360"/>
  </cols>
  <sheetData>
    <row r="1" spans="1:22">
      <c r="A1" s="864" t="s">
        <v>752</v>
      </c>
      <c r="F1" s="962"/>
      <c r="G1" s="864" t="s">
        <v>752</v>
      </c>
    </row>
    <row r="2" spans="1:22">
      <c r="A2" s="864" t="s">
        <v>753</v>
      </c>
      <c r="F2" s="962"/>
      <c r="G2" s="864" t="s">
        <v>760</v>
      </c>
    </row>
    <row r="3" spans="1:22">
      <c r="A3" s="359" t="s">
        <v>754</v>
      </c>
      <c r="B3" s="359"/>
      <c r="C3" s="359"/>
      <c r="D3" s="359"/>
      <c r="E3" s="359"/>
      <c r="F3" s="962"/>
      <c r="M3" s="868"/>
      <c r="N3" s="865"/>
      <c r="O3" s="866" t="s">
        <v>757</v>
      </c>
      <c r="P3" s="866"/>
      <c r="Q3" s="866"/>
      <c r="R3" s="866"/>
      <c r="S3" s="866"/>
      <c r="T3" s="866"/>
      <c r="U3" s="866"/>
      <c r="V3" s="867"/>
    </row>
    <row r="4" spans="1:22">
      <c r="A4" s="359"/>
      <c r="B4" s="871">
        <v>2018</v>
      </c>
      <c r="C4" s="871">
        <v>2017</v>
      </c>
      <c r="D4" s="359"/>
      <c r="E4" s="361">
        <v>2016</v>
      </c>
      <c r="F4" s="962"/>
      <c r="G4" s="864" t="s">
        <v>755</v>
      </c>
      <c r="L4" s="960"/>
      <c r="M4" s="877" t="s">
        <v>758</v>
      </c>
      <c r="N4" s="878" t="s">
        <v>745</v>
      </c>
      <c r="O4" s="878" t="s">
        <v>723</v>
      </c>
      <c r="P4" s="879" t="s">
        <v>725</v>
      </c>
      <c r="Q4" s="880" t="s">
        <v>728</v>
      </c>
      <c r="R4" s="881"/>
      <c r="S4" s="880" t="s">
        <v>733</v>
      </c>
      <c r="T4" s="880" t="s">
        <v>735</v>
      </c>
      <c r="U4" s="880"/>
      <c r="V4" s="880" t="s">
        <v>746</v>
      </c>
    </row>
    <row r="5" spans="1:22">
      <c r="A5" s="872" t="s">
        <v>439</v>
      </c>
      <c r="B5" s="872"/>
      <c r="C5" s="873"/>
      <c r="D5" s="359"/>
      <c r="E5" s="359"/>
      <c r="F5" s="962"/>
      <c r="L5" s="961"/>
      <c r="M5" s="882" t="s">
        <v>759</v>
      </c>
      <c r="N5" s="883" t="s">
        <v>726</v>
      </c>
      <c r="O5" s="882" t="s">
        <v>724</v>
      </c>
      <c r="P5" s="884" t="s">
        <v>726</v>
      </c>
      <c r="Q5" s="882" t="s">
        <v>729</v>
      </c>
      <c r="R5" s="885" t="s">
        <v>732</v>
      </c>
      <c r="S5" s="882" t="s">
        <v>734</v>
      </c>
      <c r="T5" s="882" t="s">
        <v>736</v>
      </c>
      <c r="U5" s="882" t="s">
        <v>737</v>
      </c>
      <c r="V5" s="882" t="s">
        <v>747</v>
      </c>
    </row>
    <row r="6" spans="1:22">
      <c r="A6" s="802" t="s">
        <v>775</v>
      </c>
      <c r="B6" s="970">
        <f>+'ERI 2018-2017'!B16+'ERI 2018-2017'!B18+'ERI 2018-2017'!B20</f>
        <v>5270822.6899999827</v>
      </c>
      <c r="C6" s="911">
        <f>+'ERI 2018-2017'!D16+'ERI 2018-2017'!D18</f>
        <v>7513500.0499999858</v>
      </c>
      <c r="D6" s="561"/>
      <c r="E6" s="559">
        <f>+'ERI 2018-2017'!F16+'ERI 2018-2017'!F18</f>
        <v>11332586</v>
      </c>
      <c r="F6" s="962"/>
      <c r="G6" s="876" t="s">
        <v>764</v>
      </c>
      <c r="H6" s="886">
        <f>+'ESF 2018-2017'!B14-'ESF 2018-2017'!I15</f>
        <v>4840596.6599999964</v>
      </c>
      <c r="I6" s="886">
        <f>+'ESF 2018-2017'!C14-'ESF 2018-2017'!J15</f>
        <v>1176118</v>
      </c>
      <c r="J6" s="887">
        <f>+H6-I6</f>
        <v>3664478.6599999964</v>
      </c>
      <c r="K6" s="888" t="s">
        <v>708</v>
      </c>
      <c r="L6" s="881" t="s">
        <v>721</v>
      </c>
      <c r="M6" s="881">
        <f>+V6</f>
        <v>11921408.689999983</v>
      </c>
      <c r="N6" s="881">
        <f>+'ERI 2018-2017'!B16</f>
        <v>11921408.689999983</v>
      </c>
      <c r="O6" s="881"/>
      <c r="P6" s="889"/>
      <c r="Q6" s="868"/>
      <c r="R6" s="881"/>
      <c r="S6" s="868"/>
      <c r="T6" s="868"/>
      <c r="U6" s="868"/>
      <c r="V6" s="890">
        <f>SUM(N6:U6)</f>
        <v>11921408.689999983</v>
      </c>
    </row>
    <row r="7" spans="1:22">
      <c r="A7" s="804" t="s">
        <v>441</v>
      </c>
      <c r="B7" s="948"/>
      <c r="C7" s="911"/>
      <c r="D7" s="563"/>
      <c r="E7" s="559"/>
      <c r="F7" s="962"/>
      <c r="G7" s="891" t="s">
        <v>696</v>
      </c>
      <c r="H7" s="892"/>
      <c r="I7" s="888"/>
      <c r="J7" s="893">
        <f>-'ESF 2018-2017'!B5+'ESF 2018-2017'!C5</f>
        <v>1091769.6800000002</v>
      </c>
      <c r="K7" s="888" t="s">
        <v>708</v>
      </c>
      <c r="L7" s="894"/>
      <c r="M7" s="894"/>
      <c r="N7" s="894"/>
      <c r="O7" s="894"/>
      <c r="P7" s="895"/>
      <c r="Q7" s="818"/>
      <c r="R7" s="894"/>
      <c r="S7" s="818"/>
      <c r="T7" s="818"/>
      <c r="U7" s="818"/>
      <c r="V7" s="896"/>
    </row>
    <row r="8" spans="1:22">
      <c r="A8" s="807" t="s">
        <v>442</v>
      </c>
      <c r="B8" s="965">
        <f>'EFE Subs 2018-2017'!N8</f>
        <v>23826</v>
      </c>
      <c r="C8" s="911">
        <v>200000</v>
      </c>
      <c r="D8" s="563"/>
      <c r="E8" s="559">
        <v>1319177</v>
      </c>
      <c r="F8" s="962"/>
      <c r="G8" s="876" t="s">
        <v>452</v>
      </c>
      <c r="H8" s="897"/>
      <c r="I8" s="897"/>
      <c r="J8" s="887">
        <f>+J6+J7</f>
        <v>4756248.3399999961</v>
      </c>
      <c r="K8" s="888" t="s">
        <v>708</v>
      </c>
      <c r="L8" s="894" t="s">
        <v>722</v>
      </c>
      <c r="M8" s="894"/>
      <c r="N8" s="894"/>
      <c r="O8" s="894"/>
      <c r="P8" s="895"/>
      <c r="Q8" s="818"/>
      <c r="R8" s="894"/>
      <c r="S8" s="818"/>
      <c r="T8" s="818"/>
      <c r="U8" s="818"/>
      <c r="V8" s="896"/>
    </row>
    <row r="9" spans="1:22">
      <c r="A9" s="807" t="s">
        <v>443</v>
      </c>
      <c r="B9" s="965">
        <f>'EFE Subs 2018-2017'!N9</f>
        <v>2607519</v>
      </c>
      <c r="C9" s="911">
        <v>2268000</v>
      </c>
      <c r="D9" s="563"/>
      <c r="E9" s="559">
        <v>812940</v>
      </c>
      <c r="F9" s="962"/>
      <c r="G9" s="898"/>
      <c r="H9" s="888"/>
      <c r="I9" s="888"/>
      <c r="J9" s="899"/>
      <c r="K9" s="888"/>
      <c r="L9" s="894" t="s">
        <v>738</v>
      </c>
      <c r="M9" s="894">
        <f t="shared" ref="M9:M14" si="0">+V9</f>
        <v>1299344.69</v>
      </c>
      <c r="N9" s="818"/>
      <c r="O9" s="894"/>
      <c r="P9" s="895"/>
      <c r="Q9" s="818"/>
      <c r="R9" s="894"/>
      <c r="S9" s="894">
        <f>+'EFE 2018-2017'!B17</f>
        <v>1299344.69</v>
      </c>
      <c r="T9" s="894"/>
      <c r="U9" s="894"/>
      <c r="V9" s="896">
        <f t="shared" ref="V9:V14" si="1">SUM(N9:U9)</f>
        <v>1299344.69</v>
      </c>
    </row>
    <row r="10" spans="1:22">
      <c r="A10" s="807" t="s">
        <v>444</v>
      </c>
      <c r="B10" s="965">
        <f>'EFE Subs 2018-2017'!N10</f>
        <v>21698000.800000001</v>
      </c>
      <c r="C10" s="911">
        <v>17782846</v>
      </c>
      <c r="D10" s="563"/>
      <c r="E10" s="559">
        <v>17607176</v>
      </c>
      <c r="F10" s="962"/>
      <c r="G10" s="898" t="s">
        <v>710</v>
      </c>
      <c r="H10" s="888"/>
      <c r="I10" s="888"/>
      <c r="J10" s="899"/>
      <c r="K10" s="888"/>
      <c r="L10" s="894" t="s">
        <v>739</v>
      </c>
      <c r="M10" s="894">
        <f t="shared" si="0"/>
        <v>2631345</v>
      </c>
      <c r="N10" s="818"/>
      <c r="O10" s="894">
        <f>+'EFE 2018-2017'!B8+'EFE 2018-2017'!B9</f>
        <v>2631345</v>
      </c>
      <c r="P10" s="895"/>
      <c r="Q10" s="818"/>
      <c r="R10" s="894"/>
      <c r="S10" s="818"/>
      <c r="T10" s="818"/>
      <c r="U10" s="818"/>
      <c r="V10" s="896">
        <f t="shared" si="1"/>
        <v>2631345</v>
      </c>
    </row>
    <row r="11" spans="1:22">
      <c r="A11" s="807" t="s">
        <v>445</v>
      </c>
      <c r="B11" s="965">
        <f>'EFE Subs 2018-2017'!N11</f>
        <v>37744</v>
      </c>
      <c r="C11" s="911">
        <v>39210</v>
      </c>
      <c r="D11" s="563"/>
      <c r="E11" s="559">
        <v>39210</v>
      </c>
      <c r="F11" s="962"/>
      <c r="G11" s="898" t="s">
        <v>711</v>
      </c>
      <c r="H11" s="888"/>
      <c r="I11" s="888"/>
      <c r="J11" s="899">
        <f>+'ESF 2018-2017'!I23-'ESF 2018-2017'!J23</f>
        <v>773460.4299999997</v>
      </c>
      <c r="K11" s="888" t="s">
        <v>707</v>
      </c>
      <c r="L11" s="894" t="s">
        <v>740</v>
      </c>
      <c r="M11" s="894">
        <f t="shared" si="0"/>
        <v>21698000.800000001</v>
      </c>
      <c r="N11" s="818"/>
      <c r="O11" s="894"/>
      <c r="P11" s="895"/>
      <c r="Q11" s="818"/>
      <c r="R11" s="894">
        <f>+'EFE 2018-2017'!B10</f>
        <v>21698000.800000001</v>
      </c>
      <c r="S11" s="818"/>
      <c r="T11" s="818"/>
      <c r="U11" s="818"/>
      <c r="V11" s="896">
        <f t="shared" si="1"/>
        <v>21698000.800000001</v>
      </c>
    </row>
    <row r="12" spans="1:22">
      <c r="A12" s="807" t="s">
        <v>446</v>
      </c>
      <c r="B12" s="948">
        <f>'EFE Subs 2018-2017'!N12</f>
        <v>0</v>
      </c>
      <c r="C12" s="911">
        <v>0</v>
      </c>
      <c r="D12" s="563"/>
      <c r="E12" s="559">
        <v>169491</v>
      </c>
      <c r="F12" s="962"/>
      <c r="G12" s="898" t="s">
        <v>712</v>
      </c>
      <c r="H12" s="888"/>
      <c r="I12" s="888"/>
      <c r="J12" s="899">
        <f>+'ESF 2018-2017'!I24-'ESF 2018-2017'!J24</f>
        <v>3982851</v>
      </c>
      <c r="K12" s="888" t="s">
        <v>707</v>
      </c>
      <c r="L12" s="894" t="s">
        <v>741</v>
      </c>
      <c r="M12" s="894">
        <f t="shared" si="0"/>
        <v>37744</v>
      </c>
      <c r="N12" s="818"/>
      <c r="O12" s="818"/>
      <c r="P12" s="895"/>
      <c r="Q12" s="818"/>
      <c r="R12" s="892">
        <f>+'EFE 2018-2017'!B11</f>
        <v>37744</v>
      </c>
      <c r="S12" s="818"/>
      <c r="T12" s="818"/>
      <c r="U12" s="818"/>
      <c r="V12" s="896">
        <f t="shared" si="1"/>
        <v>37744</v>
      </c>
    </row>
    <row r="13" spans="1:22">
      <c r="A13" s="807" t="s">
        <v>447</v>
      </c>
      <c r="B13" s="965">
        <f>'EFE Subs 2018-2017'!N13</f>
        <v>2269724.7599999998</v>
      </c>
      <c r="C13" s="911">
        <v>2038777</v>
      </c>
      <c r="D13" s="563"/>
      <c r="E13" s="559">
        <v>2759959</v>
      </c>
      <c r="F13" s="962"/>
      <c r="G13" s="898" t="s">
        <v>713</v>
      </c>
      <c r="H13" s="888"/>
      <c r="I13" s="888"/>
      <c r="J13" s="899">
        <f>+'ESF 2018-2017'!K25</f>
        <v>-992443</v>
      </c>
      <c r="K13" s="888" t="s">
        <v>708</v>
      </c>
      <c r="L13" s="894" t="s">
        <v>742</v>
      </c>
      <c r="M13" s="894">
        <f t="shared" si="0"/>
        <v>2269724.7599999998</v>
      </c>
      <c r="N13" s="818"/>
      <c r="O13" s="818"/>
      <c r="P13" s="895"/>
      <c r="Q13" s="818"/>
      <c r="R13" s="894"/>
      <c r="S13" s="818"/>
      <c r="T13" s="900">
        <f>+'EFE 2018-2017'!B13</f>
        <v>2269724.7599999998</v>
      </c>
      <c r="U13" s="818"/>
      <c r="V13" s="896">
        <f t="shared" si="1"/>
        <v>2269724.7599999998</v>
      </c>
    </row>
    <row r="14" spans="1:22">
      <c r="A14" s="807" t="s">
        <v>514</v>
      </c>
      <c r="B14" s="965">
        <f>'ECP 2018-2017'!R47</f>
        <v>-3474464.9243792146</v>
      </c>
      <c r="C14" s="911">
        <v>-42502</v>
      </c>
      <c r="D14" s="563"/>
      <c r="E14" s="559">
        <v>266232</v>
      </c>
      <c r="F14" s="962"/>
      <c r="G14" s="901" t="s">
        <v>720</v>
      </c>
      <c r="H14" s="902"/>
      <c r="I14" s="902"/>
      <c r="J14" s="903">
        <f>+J8-J13-J11-J12</f>
        <v>992379.90999999642</v>
      </c>
      <c r="K14" s="888" t="s">
        <v>707</v>
      </c>
      <c r="L14" s="894" t="s">
        <v>743</v>
      </c>
      <c r="M14" s="894">
        <f t="shared" si="0"/>
        <v>6650586</v>
      </c>
      <c r="N14" s="818"/>
      <c r="O14" s="894"/>
      <c r="P14" s="894">
        <f>-'ERI 2018-2017'!B18-'ERI 2018-2017'!B20</f>
        <v>6650586</v>
      </c>
      <c r="Q14" s="818"/>
      <c r="R14" s="894"/>
      <c r="S14" s="818"/>
      <c r="T14" s="818"/>
      <c r="U14" s="818"/>
      <c r="V14" s="896">
        <f t="shared" si="1"/>
        <v>6650586</v>
      </c>
    </row>
    <row r="15" spans="1:22">
      <c r="A15" s="807" t="s">
        <v>448</v>
      </c>
      <c r="B15" s="973">
        <f>-'ERI 2018-2017'!B18</f>
        <v>2417615</v>
      </c>
      <c r="C15" s="911">
        <f>-'ERI 2018-2017'!D18</f>
        <v>1591304</v>
      </c>
      <c r="D15" s="563"/>
      <c r="E15" s="559">
        <v>1759101</v>
      </c>
      <c r="F15" s="962"/>
      <c r="G15" s="904"/>
      <c r="H15" s="905"/>
      <c r="I15" s="905"/>
      <c r="J15" s="906"/>
      <c r="K15" s="888"/>
      <c r="L15" s="907" t="s">
        <v>712</v>
      </c>
      <c r="M15" s="908">
        <f>+J12</f>
        <v>3982851</v>
      </c>
      <c r="N15" s="818"/>
      <c r="O15" s="818"/>
      <c r="P15" s="818"/>
      <c r="Q15" s="818"/>
      <c r="R15" s="818"/>
      <c r="S15" s="818"/>
      <c r="T15" s="818"/>
      <c r="U15" s="818"/>
      <c r="V15" s="818"/>
    </row>
    <row r="16" spans="1:22">
      <c r="A16" s="967" t="s">
        <v>771</v>
      </c>
      <c r="B16" s="973">
        <f>-'ERI 2018-2017'!B20</f>
        <v>4232971</v>
      </c>
      <c r="D16" s="563"/>
      <c r="E16" s="559">
        <v>1249002</v>
      </c>
      <c r="F16" s="962"/>
      <c r="G16" s="869" t="s">
        <v>697</v>
      </c>
      <c r="H16" s="875"/>
      <c r="I16" s="888"/>
      <c r="J16" s="899"/>
      <c r="K16" s="888"/>
      <c r="L16" s="909" t="s">
        <v>744</v>
      </c>
      <c r="M16" s="910">
        <f>+V16</f>
        <v>-3474464.9243792146</v>
      </c>
      <c r="N16" s="818"/>
      <c r="O16" s="818"/>
      <c r="P16" s="895"/>
      <c r="Q16" s="818"/>
      <c r="R16" s="894"/>
      <c r="S16" s="818"/>
      <c r="T16" s="818"/>
      <c r="U16" s="894">
        <f>+'EFE 2018-2017'!B14</f>
        <v>-3474464.9243792146</v>
      </c>
      <c r="V16" s="896">
        <f>SUM(N16:U16)</f>
        <v>-3474464.9243792146</v>
      </c>
    </row>
    <row r="17" spans="1:22">
      <c r="A17" s="807" t="s">
        <v>449</v>
      </c>
      <c r="B17" s="965">
        <f>'EFE Subs 2018-2017'!N16</f>
        <v>1299344.69</v>
      </c>
      <c r="C17" s="911">
        <v>1546045</v>
      </c>
      <c r="D17" s="563"/>
      <c r="E17" s="559">
        <v>5177025</v>
      </c>
      <c r="F17" s="962"/>
      <c r="G17" s="869" t="s">
        <v>698</v>
      </c>
      <c r="H17" s="875"/>
      <c r="I17" s="888"/>
      <c r="J17" s="893">
        <f>+'ESF 2018-2017'!I18-'ESF 2018-2017'!J18</f>
        <v>-5296545</v>
      </c>
      <c r="K17" s="888" t="s">
        <v>708</v>
      </c>
      <c r="L17" s="909"/>
      <c r="M17" s="909">
        <f>SUM(M6:M16)</f>
        <v>47016540.015620768</v>
      </c>
      <c r="N17" s="894"/>
      <c r="O17" s="894"/>
      <c r="P17" s="894"/>
      <c r="Q17" s="894"/>
      <c r="R17" s="894"/>
      <c r="S17" s="818"/>
      <c r="T17" s="818"/>
      <c r="U17" s="818"/>
      <c r="V17" s="896"/>
    </row>
    <row r="18" spans="1:22">
      <c r="A18" s="807" t="s">
        <v>450</v>
      </c>
      <c r="B18" s="965">
        <f>+'ESF 2018-2017'!K24</f>
        <v>3982851</v>
      </c>
      <c r="C18" s="911">
        <f>+'ESF 2018-2017'!N14+'ESF 2018-2017'!N24</f>
        <v>3074772</v>
      </c>
      <c r="D18" s="563"/>
      <c r="E18" s="564">
        <v>0</v>
      </c>
      <c r="F18" s="962"/>
      <c r="G18" s="869" t="s">
        <v>699</v>
      </c>
      <c r="H18" s="875"/>
      <c r="I18" s="888"/>
      <c r="J18" s="893">
        <f>+'ESF 2018-2017'!I19-'ESF 2018-2017'!J19</f>
        <v>-4263415</v>
      </c>
      <c r="K18" s="888" t="s">
        <v>708</v>
      </c>
      <c r="L18" s="909" t="s">
        <v>452</v>
      </c>
      <c r="M18" s="909">
        <f>-J8+V18</f>
        <v>-8970969.3399999961</v>
      </c>
      <c r="N18" s="894"/>
      <c r="O18" s="894">
        <f>-O10</f>
        <v>-2631345</v>
      </c>
      <c r="P18" s="911">
        <f>-P14</f>
        <v>-6650586</v>
      </c>
      <c r="Q18" s="912">
        <f>-Q21</f>
        <v>5067210</v>
      </c>
      <c r="R18" s="894"/>
      <c r="S18" s="818"/>
      <c r="T18" s="818"/>
      <c r="U18" s="818"/>
      <c r="V18" s="896">
        <f>SUM(N18:U18)</f>
        <v>-4214721</v>
      </c>
    </row>
    <row r="19" spans="1:22">
      <c r="A19" s="807" t="s">
        <v>451</v>
      </c>
      <c r="B19" s="949">
        <v>0</v>
      </c>
      <c r="C19" s="950">
        <v>446968</v>
      </c>
      <c r="D19" s="563"/>
      <c r="E19" s="559">
        <f>+SUM(E6:E18)</f>
        <v>42491899</v>
      </c>
      <c r="F19" s="962"/>
      <c r="G19" s="865" t="s">
        <v>700</v>
      </c>
      <c r="H19" s="866"/>
      <c r="I19" s="902"/>
      <c r="J19" s="913">
        <f>+J17+J18</f>
        <v>-9559960</v>
      </c>
      <c r="K19" s="888" t="s">
        <v>708</v>
      </c>
      <c r="L19" s="909" t="s">
        <v>720</v>
      </c>
      <c r="M19" s="914">
        <f>+M17+M18</f>
        <v>38045570.675620772</v>
      </c>
      <c r="N19" s="894"/>
      <c r="O19" s="894"/>
      <c r="P19" s="895"/>
      <c r="Q19" s="818"/>
      <c r="R19" s="894"/>
      <c r="S19" s="818"/>
      <c r="T19" s="818"/>
      <c r="U19" s="818"/>
      <c r="V19" s="896">
        <f>SUM(N19:U19)</f>
        <v>0</v>
      </c>
    </row>
    <row r="20" spans="1:22">
      <c r="A20" s="807"/>
      <c r="B20" s="911">
        <f>+SUM(B6:B19)</f>
        <v>40365954.015620768</v>
      </c>
      <c r="C20" s="911">
        <f>+SUM(C6:C19)</f>
        <v>36458920.049999982</v>
      </c>
      <c r="D20" s="563"/>
      <c r="E20" s="559"/>
      <c r="F20" s="962"/>
      <c r="G20" s="869"/>
      <c r="H20" s="875"/>
      <c r="I20" s="888"/>
      <c r="J20" s="893"/>
      <c r="K20" s="888"/>
      <c r="L20" s="909" t="s">
        <v>751</v>
      </c>
      <c r="M20" s="909">
        <f>+J13</f>
        <v>-992443</v>
      </c>
      <c r="N20" s="894"/>
      <c r="O20" s="894"/>
      <c r="P20" s="895"/>
      <c r="Q20" s="818"/>
      <c r="R20" s="894"/>
      <c r="S20" s="818"/>
      <c r="T20" s="818"/>
      <c r="U20" s="818"/>
      <c r="V20" s="896"/>
    </row>
    <row r="21" spans="1:22">
      <c r="A21" s="804" t="s">
        <v>452</v>
      </c>
      <c r="B21" s="948"/>
      <c r="C21" s="911"/>
      <c r="D21" s="563"/>
      <c r="E21" s="559">
        <v>2909073</v>
      </c>
      <c r="F21" s="962"/>
      <c r="G21" s="869" t="s">
        <v>701</v>
      </c>
      <c r="H21" s="875"/>
      <c r="I21" s="888"/>
      <c r="J21" s="915"/>
      <c r="K21" s="888"/>
      <c r="L21" s="916" t="s">
        <v>727</v>
      </c>
      <c r="M21" s="916">
        <f>+V21</f>
        <v>-5067210</v>
      </c>
      <c r="N21" s="894"/>
      <c r="O21" s="894"/>
      <c r="P21" s="895"/>
      <c r="Q21" s="900">
        <f>+'EFE 2018-2017'!B39+'EFE 2018-2017'!B40</f>
        <v>-5067210</v>
      </c>
      <c r="R21" s="894"/>
      <c r="S21" s="818"/>
      <c r="T21" s="818"/>
      <c r="U21" s="818"/>
      <c r="V21" s="896">
        <f>SUM(N21:U21)</f>
        <v>-5067210</v>
      </c>
    </row>
    <row r="22" spans="1:22">
      <c r="A22" s="807" t="s">
        <v>67</v>
      </c>
      <c r="B22" s="965">
        <f>-'ESF 2018-2017'!D8-'EFE 2018-2017'!B8</f>
        <v>6294192.660000002</v>
      </c>
      <c r="C22" s="911">
        <f>-'ESF 2018-2017'!F8-'EFE 2018-2017'!C8</f>
        <v>-1300909</v>
      </c>
      <c r="D22" s="563"/>
      <c r="E22" s="559">
        <v>-10190618</v>
      </c>
      <c r="F22" s="962"/>
      <c r="G22" s="869" t="s">
        <v>706</v>
      </c>
      <c r="H22" s="875"/>
      <c r="I22" s="888"/>
      <c r="J22" s="899">
        <f>+'ESF 2018-2017'!B19-'ESF 2018-2017'!C19</f>
        <v>-10413326.899999991</v>
      </c>
      <c r="K22" s="360" t="s">
        <v>707</v>
      </c>
      <c r="L22" s="909" t="s">
        <v>730</v>
      </c>
      <c r="M22" s="909">
        <f>+V22</f>
        <v>-525884.68999999994</v>
      </c>
      <c r="N22" s="894"/>
      <c r="O22" s="894"/>
      <c r="P22" s="895"/>
      <c r="Q22" s="900"/>
      <c r="R22" s="894"/>
      <c r="S22" s="900">
        <f>-S9+773460</f>
        <v>-525884.68999999994</v>
      </c>
      <c r="T22" s="900"/>
      <c r="U22" s="900"/>
      <c r="V22" s="896">
        <f>SUM(N22:U22)</f>
        <v>-525884.68999999994</v>
      </c>
    </row>
    <row r="23" spans="1:22">
      <c r="A23" s="807" t="s">
        <v>338</v>
      </c>
      <c r="B23" s="965">
        <f>-'ESF 2018-2017'!D9</f>
        <v>-5313977.3100000024</v>
      </c>
      <c r="C23" s="911">
        <f>-'ESF 2018-2017'!F9</f>
        <v>-11254398</v>
      </c>
      <c r="D23" s="563"/>
      <c r="E23" s="559">
        <v>3571662</v>
      </c>
      <c r="F23" s="962"/>
      <c r="G23" s="869" t="s">
        <v>718</v>
      </c>
      <c r="H23" s="875"/>
      <c r="I23" s="888"/>
      <c r="J23" s="899">
        <f>+'ESF 2018-2017'!D20</f>
        <v>-37744</v>
      </c>
      <c r="K23" s="360" t="s">
        <v>707</v>
      </c>
      <c r="L23" s="917" t="s">
        <v>731</v>
      </c>
      <c r="M23" s="917">
        <f>SUM(M19:M22)</f>
        <v>31460032.985620771</v>
      </c>
      <c r="N23" s="894"/>
      <c r="O23" s="896"/>
      <c r="P23" s="896"/>
      <c r="Q23" s="896"/>
      <c r="R23" s="896"/>
      <c r="S23" s="896"/>
      <c r="T23" s="896"/>
      <c r="U23" s="896"/>
      <c r="V23" s="896"/>
    </row>
    <row r="24" spans="1:22">
      <c r="A24" s="807" t="s">
        <v>68</v>
      </c>
      <c r="B24" s="965">
        <f>-'ESF 2018-2017'!D11-'EFE 2018-2017'!B9</f>
        <v>-6532448.6100000013</v>
      </c>
      <c r="C24" s="911">
        <f>-'ESF 2018-2017'!F17-'ESF 2018-2017'!F11-'EFE 2018-2017'!C9</f>
        <v>-5437748</v>
      </c>
      <c r="D24" s="563"/>
      <c r="E24" s="559">
        <v>53985</v>
      </c>
      <c r="F24" s="962"/>
      <c r="G24" s="869" t="s">
        <v>702</v>
      </c>
      <c r="H24" s="875"/>
      <c r="I24" s="888"/>
      <c r="J24" s="899">
        <f>+'ESF 2018-2017'!D23</f>
        <v>-2709792.109999992</v>
      </c>
      <c r="K24" s="888" t="s">
        <v>707</v>
      </c>
      <c r="L24" s="909"/>
      <c r="M24" s="909"/>
      <c r="N24" s="894"/>
      <c r="O24" s="818"/>
      <c r="P24" s="895"/>
      <c r="Q24" s="818"/>
      <c r="R24" s="894"/>
      <c r="S24" s="818"/>
      <c r="T24" s="818"/>
      <c r="U24" s="818"/>
      <c r="V24" s="896"/>
    </row>
    <row r="25" spans="1:22">
      <c r="A25" s="807" t="s">
        <v>69</v>
      </c>
      <c r="B25" s="965">
        <f>-'ESF 2018-2017'!D10</f>
        <v>365080.16999999993</v>
      </c>
      <c r="C25" s="911">
        <f>-'ESF 2018-2017'!F10</f>
        <v>685042</v>
      </c>
      <c r="D25" s="563"/>
      <c r="E25" s="559">
        <v>-230586</v>
      </c>
      <c r="F25" s="962"/>
      <c r="G25" s="869" t="s">
        <v>703</v>
      </c>
      <c r="H25" s="875"/>
      <c r="I25" s="888"/>
      <c r="J25" s="899">
        <f>+'ESF 2018-2017'!B22-'ESF 2018-2017'!C22</f>
        <v>0</v>
      </c>
      <c r="K25" s="888"/>
      <c r="L25" s="907" t="s">
        <v>697</v>
      </c>
      <c r="M25" s="907"/>
      <c r="N25" s="894"/>
      <c r="O25" s="818"/>
      <c r="P25" s="895"/>
      <c r="Q25" s="818"/>
      <c r="R25" s="894"/>
      <c r="S25" s="818"/>
      <c r="T25" s="818"/>
      <c r="U25" s="818"/>
      <c r="V25" s="896"/>
    </row>
    <row r="26" spans="1:22">
      <c r="A26" s="807" t="s">
        <v>70</v>
      </c>
      <c r="B26" s="965">
        <f>-'ESF 2018-2017'!D12</f>
        <v>122526.69</v>
      </c>
      <c r="C26" s="911">
        <f>-'ESF 2018-2017'!F12</f>
        <v>1728719</v>
      </c>
      <c r="D26" s="563"/>
      <c r="E26" s="559">
        <v>653652</v>
      </c>
      <c r="F26" s="962"/>
      <c r="G26" s="869" t="s">
        <v>704</v>
      </c>
      <c r="H26" s="875"/>
      <c r="I26" s="888"/>
      <c r="J26" s="893">
        <f>+'ESF 2018-2017'!B21-'ESF 2018-2017'!C21</f>
        <v>2155991.9499999993</v>
      </c>
      <c r="K26" s="888" t="s">
        <v>708</v>
      </c>
      <c r="L26" s="907" t="s">
        <v>698</v>
      </c>
      <c r="M26" s="893">
        <f>+J17</f>
        <v>-5296545</v>
      </c>
      <c r="N26" s="894"/>
      <c r="O26" s="818"/>
      <c r="P26" s="895"/>
      <c r="Q26" s="818"/>
      <c r="R26" s="894"/>
      <c r="S26" s="818"/>
      <c r="T26" s="818"/>
      <c r="U26" s="818"/>
      <c r="V26" s="896">
        <f t="shared" ref="V26:V42" si="2">SUM(N26:U26)</f>
        <v>0</v>
      </c>
    </row>
    <row r="27" spans="1:22">
      <c r="A27" s="807" t="s">
        <v>6</v>
      </c>
      <c r="B27" s="965">
        <f>-'ESF 2018-2017'!D13+6317122</f>
        <v>-3211467.1000000015</v>
      </c>
      <c r="C27" s="911">
        <f>-'ESF 2018-2017'!F13</f>
        <v>4055589</v>
      </c>
      <c r="D27" s="563"/>
      <c r="E27" s="559">
        <v>-4040714</v>
      </c>
      <c r="F27" s="962"/>
      <c r="G27" s="869" t="s">
        <v>705</v>
      </c>
      <c r="H27" s="918">
        <f>+'ESF 2018-2017'!B18-'ESF 2018-2017'!C18</f>
        <v>3150764</v>
      </c>
      <c r="I27" s="888">
        <f>+'ESF 2018-2017'!I21-'ESF 2018-2017'!J21</f>
        <v>-37584.890000000596</v>
      </c>
      <c r="J27" s="893">
        <f>+H27-I27</f>
        <v>3188348.8900000006</v>
      </c>
      <c r="K27" s="888" t="s">
        <v>708</v>
      </c>
      <c r="L27" s="907" t="s">
        <v>699</v>
      </c>
      <c r="M27" s="893">
        <f>+J18</f>
        <v>-4263415</v>
      </c>
      <c r="N27" s="894"/>
      <c r="O27" s="818"/>
      <c r="P27" s="895"/>
      <c r="Q27" s="818"/>
      <c r="R27" s="894"/>
      <c r="S27" s="818"/>
      <c r="T27" s="818"/>
      <c r="U27" s="818"/>
      <c r="V27" s="896">
        <f t="shared" si="2"/>
        <v>0</v>
      </c>
    </row>
    <row r="28" spans="1:22">
      <c r="A28" s="807" t="s">
        <v>71</v>
      </c>
      <c r="B28" s="948">
        <v>0</v>
      </c>
      <c r="C28" s="911">
        <v>0</v>
      </c>
      <c r="D28" s="563"/>
      <c r="E28" s="559">
        <v>-114</v>
      </c>
      <c r="F28" s="962"/>
      <c r="G28" s="869" t="s">
        <v>716</v>
      </c>
      <c r="H28" s="918"/>
      <c r="I28" s="888"/>
      <c r="J28" s="893">
        <f>+'ESF 2018-2017'!K29</f>
        <v>-298678.30000001192</v>
      </c>
      <c r="K28" s="888" t="s">
        <v>708</v>
      </c>
      <c r="L28" s="919" t="s">
        <v>700</v>
      </c>
      <c r="M28" s="913">
        <f>+M26+M27</f>
        <v>-9559960</v>
      </c>
      <c r="N28" s="894"/>
      <c r="O28" s="818"/>
      <c r="P28" s="895"/>
      <c r="Q28" s="818"/>
      <c r="R28" s="894"/>
      <c r="S28" s="818"/>
      <c r="T28" s="818"/>
      <c r="U28" s="818"/>
      <c r="V28" s="896">
        <f t="shared" si="2"/>
        <v>0</v>
      </c>
    </row>
    <row r="29" spans="1:22">
      <c r="A29" s="807" t="s">
        <v>77</v>
      </c>
      <c r="B29" s="948">
        <v>0</v>
      </c>
      <c r="C29" s="911"/>
      <c r="D29" s="563"/>
      <c r="E29" s="559">
        <v>-436112</v>
      </c>
      <c r="F29" s="962"/>
      <c r="G29" s="869" t="s">
        <v>719</v>
      </c>
      <c r="H29" s="918"/>
      <c r="I29" s="888"/>
      <c r="J29" s="893">
        <f>+'ESF 2018-2017'!D17</f>
        <v>-1760971.52</v>
      </c>
      <c r="K29" s="888" t="s">
        <v>707</v>
      </c>
      <c r="L29" s="920"/>
      <c r="M29" s="907"/>
      <c r="N29" s="894"/>
      <c r="O29" s="894"/>
      <c r="P29" s="895"/>
      <c r="Q29" s="818"/>
      <c r="R29" s="894"/>
      <c r="S29" s="818"/>
      <c r="T29" s="818"/>
      <c r="U29" s="818"/>
      <c r="V29" s="896">
        <f t="shared" si="2"/>
        <v>0</v>
      </c>
    </row>
    <row r="30" spans="1:22">
      <c r="A30" s="807" t="s">
        <v>79</v>
      </c>
      <c r="B30" s="965">
        <f>+'ESF 2018-2017'!K8</f>
        <v>-3322935.7699999996</v>
      </c>
      <c r="C30" s="911">
        <f>+'ESF 2018-2017'!N8+'ESF 2018-2017'!N20</f>
        <v>-1598876</v>
      </c>
      <c r="D30" s="563"/>
      <c r="E30" s="559">
        <v>-4197057</v>
      </c>
      <c r="F30" s="962"/>
      <c r="G30" s="869" t="s">
        <v>709</v>
      </c>
      <c r="H30" s="875"/>
      <c r="I30" s="888"/>
      <c r="J30" s="893">
        <f>+'ESF 2018-2017'!B24-'ESF 2018-2017'!C24</f>
        <v>-995622</v>
      </c>
      <c r="K30" s="888" t="s">
        <v>707</v>
      </c>
      <c r="L30" s="920" t="s">
        <v>701</v>
      </c>
      <c r="M30" s="907"/>
      <c r="N30" s="894"/>
      <c r="O30" s="818"/>
      <c r="P30" s="895"/>
      <c r="Q30" s="818"/>
      <c r="R30" s="894"/>
      <c r="S30" s="818"/>
      <c r="T30" s="818"/>
      <c r="U30" s="818"/>
      <c r="V30" s="896">
        <f t="shared" si="2"/>
        <v>0</v>
      </c>
    </row>
    <row r="31" spans="1:22">
      <c r="A31" s="807" t="s">
        <v>349</v>
      </c>
      <c r="B31" s="965">
        <f>+'ESF 2018-2017'!K9</f>
        <v>4184360.37</v>
      </c>
      <c r="C31" s="911">
        <f>+'ESF 2018-2017'!N9+'ESF 2018-2017'!N21-705016</f>
        <v>946225</v>
      </c>
      <c r="D31" s="563"/>
      <c r="E31" s="559">
        <f>1627958+392</f>
        <v>1628350</v>
      </c>
      <c r="F31" s="962"/>
      <c r="G31" s="869" t="s">
        <v>714</v>
      </c>
      <c r="H31" s="875"/>
      <c r="I31" s="888"/>
      <c r="J31" s="893">
        <f>+'ESF 2018-2017'!K20+'ESF 2018-2017'!K22</f>
        <v>-813868</v>
      </c>
      <c r="K31" s="888" t="s">
        <v>708</v>
      </c>
      <c r="L31" s="920" t="s">
        <v>706</v>
      </c>
      <c r="M31" s="921">
        <f>+V31</f>
        <v>-11246929.90000001</v>
      </c>
      <c r="N31" s="894"/>
      <c r="O31" s="818"/>
      <c r="P31" s="895"/>
      <c r="Q31" s="818"/>
      <c r="R31" s="894">
        <f>-R11-J22-R32</f>
        <v>-11246929.90000001</v>
      </c>
      <c r="S31" s="818"/>
      <c r="T31" s="818"/>
      <c r="U31" s="818"/>
      <c r="V31" s="896">
        <f t="shared" si="2"/>
        <v>-11246929.90000001</v>
      </c>
    </row>
    <row r="32" spans="1:22">
      <c r="A32" s="807" t="s">
        <v>453</v>
      </c>
      <c r="B32" s="965">
        <f>+'ESF 2018-2017'!K10-B16+B39</f>
        <v>-5200957.59</v>
      </c>
      <c r="C32" s="911">
        <f>+'ESF 2018-2017'!N10</f>
        <v>130512</v>
      </c>
      <c r="D32" s="563"/>
      <c r="E32" s="559">
        <v>2623083</v>
      </c>
      <c r="F32" s="963"/>
      <c r="G32" s="922" t="s">
        <v>715</v>
      </c>
      <c r="H32" s="923"/>
      <c r="I32" s="902"/>
      <c r="J32" s="924">
        <f>-J22-J23-J24-J29-J30-J26-J27+J28+J31</f>
        <v>9460569.3899999708</v>
      </c>
      <c r="K32" s="888" t="s">
        <v>707</v>
      </c>
      <c r="L32" s="920" t="s">
        <v>718</v>
      </c>
      <c r="M32" s="921">
        <f>+V32</f>
        <v>-37744</v>
      </c>
      <c r="N32" s="894"/>
      <c r="O32" s="818"/>
      <c r="P32" s="895"/>
      <c r="Q32" s="818"/>
      <c r="R32" s="894">
        <v>-37744</v>
      </c>
      <c r="S32" s="818"/>
      <c r="T32" s="818"/>
      <c r="U32" s="818"/>
      <c r="V32" s="896">
        <f t="shared" si="2"/>
        <v>-37744</v>
      </c>
    </row>
    <row r="33" spans="1:22">
      <c r="A33" s="807" t="s">
        <v>80</v>
      </c>
      <c r="B33" s="965">
        <f>+'ESF 2018-2017'!K11</f>
        <v>-1334209.2999999998</v>
      </c>
      <c r="C33" s="911">
        <f>+'ESF 2018-2017'!N11+'ESF 2018-2017'!N22</f>
        <v>-509500</v>
      </c>
      <c r="D33" s="563"/>
      <c r="E33" s="559">
        <v>-5964702</v>
      </c>
      <c r="F33" s="963"/>
      <c r="G33" s="865" t="s">
        <v>717</v>
      </c>
      <c r="H33" s="866"/>
      <c r="I33" s="902"/>
      <c r="J33" s="925">
        <f>+J32-J14+J19</f>
        <v>-1091770.5200000256</v>
      </c>
      <c r="K33" s="888" t="s">
        <v>708</v>
      </c>
      <c r="L33" s="926" t="s">
        <v>702</v>
      </c>
      <c r="M33" s="927">
        <f>+V33</f>
        <v>6184257.0343792066</v>
      </c>
      <c r="N33" s="894"/>
      <c r="O33" s="894"/>
      <c r="P33" s="895"/>
      <c r="Q33" s="818"/>
      <c r="R33" s="894"/>
      <c r="S33" s="818"/>
      <c r="T33" s="818"/>
      <c r="U33" s="874">
        <f>-U16-J24</f>
        <v>6184257.0343792066</v>
      </c>
      <c r="V33" s="896">
        <f t="shared" si="2"/>
        <v>6184257.0343792066</v>
      </c>
    </row>
    <row r="34" spans="1:22">
      <c r="A34" s="807" t="s">
        <v>81</v>
      </c>
      <c r="B34" s="965">
        <f>+'ESF 2018-2017'!K12</f>
        <v>7714411.5299999993</v>
      </c>
      <c r="C34" s="911">
        <f>+'ESF 2018-2017'!N12</f>
        <v>-2404770</v>
      </c>
      <c r="D34" s="563"/>
      <c r="E34" s="559">
        <v>707123</v>
      </c>
      <c r="F34" s="963"/>
      <c r="I34" s="888"/>
      <c r="J34" s="928">
        <f>+J33+J7</f>
        <v>-0.84000002546235919</v>
      </c>
      <c r="L34" s="920" t="s">
        <v>703</v>
      </c>
      <c r="M34" s="921">
        <f>+J25</f>
        <v>0</v>
      </c>
      <c r="N34" s="894"/>
      <c r="O34" s="818"/>
      <c r="P34" s="895"/>
      <c r="Q34" s="818"/>
      <c r="R34" s="894"/>
      <c r="S34" s="818"/>
      <c r="T34" s="818"/>
      <c r="U34" s="818"/>
      <c r="V34" s="896">
        <f t="shared" si="2"/>
        <v>0</v>
      </c>
    </row>
    <row r="35" spans="1:22">
      <c r="A35" s="807" t="s">
        <v>82</v>
      </c>
      <c r="B35" s="965">
        <f>+'ESF 2018-2017'!K13-B15+B40</f>
        <v>-2358228.96</v>
      </c>
      <c r="C35" s="911">
        <f>+'ESF 2018-2017'!N13-199556+167797</f>
        <v>152364</v>
      </c>
      <c r="D35" s="563"/>
      <c r="E35" s="564">
        <v>-2365666</v>
      </c>
      <c r="F35" s="963"/>
      <c r="G35" s="864" t="s">
        <v>756</v>
      </c>
      <c r="K35" s="929"/>
      <c r="L35" s="920" t="s">
        <v>704</v>
      </c>
      <c r="M35" s="921">
        <f>+V35</f>
        <v>-4425716.709999999</v>
      </c>
      <c r="N35" s="894"/>
      <c r="O35" s="818"/>
      <c r="P35" s="895"/>
      <c r="Q35" s="818"/>
      <c r="R35" s="894"/>
      <c r="S35" s="818"/>
      <c r="T35" s="900">
        <f>-T13-J26</f>
        <v>-4425716.709999999</v>
      </c>
      <c r="U35" s="818"/>
      <c r="V35" s="896">
        <f t="shared" si="2"/>
        <v>-4425716.709999999</v>
      </c>
    </row>
    <row r="36" spans="1:22">
      <c r="A36" s="967" t="s">
        <v>83</v>
      </c>
      <c r="B36" s="965">
        <f>'ESF 2018-2017'!K14</f>
        <v>-4183053</v>
      </c>
      <c r="C36" s="911"/>
      <c r="D36" s="563"/>
      <c r="E36" s="559">
        <f>+SUM(E19:E35)</f>
        <v>27213258</v>
      </c>
      <c r="F36" s="963"/>
      <c r="G36" s="930" t="s">
        <v>452</v>
      </c>
      <c r="H36" s="931" t="s">
        <v>749</v>
      </c>
      <c r="I36" s="931" t="s">
        <v>746</v>
      </c>
      <c r="J36" s="932" t="s">
        <v>750</v>
      </c>
      <c r="L36" s="920" t="s">
        <v>705</v>
      </c>
      <c r="M36" s="921">
        <f>-J27</f>
        <v>-3188348.8900000006</v>
      </c>
      <c r="N36" s="933"/>
      <c r="O36" s="818"/>
      <c r="P36" s="895"/>
      <c r="Q36" s="818"/>
      <c r="R36" s="894"/>
      <c r="S36" s="818"/>
      <c r="T36" s="818"/>
      <c r="U36" s="818"/>
      <c r="V36" s="896">
        <f t="shared" si="2"/>
        <v>0</v>
      </c>
    </row>
    <row r="37" spans="1:22">
      <c r="A37" s="807" t="s">
        <v>87</v>
      </c>
      <c r="B37" s="948">
        <v>0</v>
      </c>
      <c r="C37" s="911">
        <f>+'ESF 2018-2017'!N25</f>
        <v>0</v>
      </c>
      <c r="D37" s="563"/>
      <c r="E37" s="559">
        <v>-3198548</v>
      </c>
      <c r="F37" s="963"/>
      <c r="G37" s="934" t="s">
        <v>482</v>
      </c>
      <c r="H37" s="935">
        <f>-'ESF 2018-2017'!D6</f>
        <v>29809</v>
      </c>
      <c r="I37" s="894"/>
      <c r="J37" s="909">
        <f t="shared" ref="J37:J54" si="3">+H37+I37</f>
        <v>29809</v>
      </c>
      <c r="K37" s="929"/>
      <c r="L37" s="926" t="s">
        <v>716</v>
      </c>
      <c r="M37" s="927">
        <f>+V37</f>
        <v>-12220086.989999995</v>
      </c>
      <c r="N37" s="911">
        <f>-N6+J28</f>
        <v>-12220086.989999995</v>
      </c>
      <c r="O37" s="818"/>
      <c r="P37" s="895"/>
      <c r="Q37" s="818"/>
      <c r="R37" s="894"/>
      <c r="S37" s="818"/>
      <c r="T37" s="818"/>
      <c r="U37" s="818"/>
      <c r="V37" s="896">
        <f t="shared" si="2"/>
        <v>-12220086.989999995</v>
      </c>
    </row>
    <row r="38" spans="1:22">
      <c r="A38" s="810" t="s">
        <v>454</v>
      </c>
      <c r="B38" s="951">
        <f>+SUM(B20:B37)</f>
        <v>27589247.795620769</v>
      </c>
      <c r="C38" s="951">
        <f>+SUM(C20:C37)</f>
        <v>21651170.049999982</v>
      </c>
      <c r="D38" s="563"/>
      <c r="E38" s="559">
        <v>-2644886</v>
      </c>
      <c r="F38" s="963"/>
      <c r="G38" s="934" t="s">
        <v>65</v>
      </c>
      <c r="H38" s="935">
        <f>-'ESF 2018-2017'!D7</f>
        <v>251010.68000000017</v>
      </c>
      <c r="I38" s="894"/>
      <c r="J38" s="909">
        <f t="shared" si="3"/>
        <v>251010.68000000017</v>
      </c>
      <c r="L38" s="920" t="s">
        <v>719</v>
      </c>
      <c r="M38" s="921">
        <f>-J29</f>
        <v>1760971.52</v>
      </c>
      <c r="N38" s="933"/>
      <c r="O38" s="818"/>
      <c r="P38" s="895"/>
      <c r="Q38" s="818"/>
      <c r="R38" s="894"/>
      <c r="S38" s="818"/>
      <c r="T38" s="818"/>
      <c r="U38" s="818"/>
      <c r="V38" s="896">
        <f t="shared" si="2"/>
        <v>0</v>
      </c>
    </row>
    <row r="39" spans="1:22">
      <c r="A39" s="807" t="s">
        <v>455</v>
      </c>
      <c r="B39" s="965">
        <f>+'ERI 2018-2017'!D20</f>
        <v>-3475906</v>
      </c>
      <c r="C39" s="911">
        <f>+'ERI 2018-2017'!D20</f>
        <v>-3475906</v>
      </c>
      <c r="D39" s="563"/>
      <c r="E39" s="564">
        <v>-470931</v>
      </c>
      <c r="F39" s="963"/>
      <c r="G39" s="934" t="s">
        <v>484</v>
      </c>
      <c r="H39" s="935">
        <f>-'ESF 2018-2017'!D8</f>
        <v>6318018.660000002</v>
      </c>
      <c r="I39" s="935">
        <f>O18</f>
        <v>-2631345</v>
      </c>
      <c r="J39" s="909">
        <f t="shared" si="3"/>
        <v>3686673.660000002</v>
      </c>
      <c r="K39" s="929"/>
      <c r="L39" s="920" t="s">
        <v>709</v>
      </c>
      <c r="M39" s="921">
        <f>-J30</f>
        <v>995622</v>
      </c>
      <c r="N39" s="933"/>
      <c r="O39" s="818"/>
      <c r="P39" s="895"/>
      <c r="Q39" s="818"/>
      <c r="R39" s="894"/>
      <c r="S39" s="818"/>
      <c r="T39" s="818"/>
      <c r="U39" s="818"/>
      <c r="V39" s="896">
        <f t="shared" si="2"/>
        <v>0</v>
      </c>
    </row>
    <row r="40" spans="1:22">
      <c r="A40" s="807" t="s">
        <v>456</v>
      </c>
      <c r="B40" s="965">
        <f>'ERI 2018-2017'!D18</f>
        <v>-1591304</v>
      </c>
      <c r="C40" s="911">
        <f>'ERI 2018-2017'!F18</f>
        <v>-1759101</v>
      </c>
      <c r="D40" s="563"/>
      <c r="E40" s="566">
        <f>+E36+E37+E38+E39</f>
        <v>20898893</v>
      </c>
      <c r="F40" s="963"/>
      <c r="G40" s="934" t="s">
        <v>486</v>
      </c>
      <c r="H40" s="935">
        <f>-'ESF 2018-2017'!D9</f>
        <v>-5313977.3100000024</v>
      </c>
      <c r="I40" s="894"/>
      <c r="J40" s="909">
        <f t="shared" si="3"/>
        <v>-5313977.3100000024</v>
      </c>
      <c r="K40" s="929"/>
      <c r="L40" s="920" t="s">
        <v>714</v>
      </c>
      <c r="M40" s="921">
        <f>+J31</f>
        <v>-813868</v>
      </c>
      <c r="N40" s="933"/>
      <c r="O40" s="818"/>
      <c r="P40" s="895"/>
      <c r="Q40" s="818"/>
      <c r="R40" s="894"/>
      <c r="S40" s="818"/>
      <c r="T40" s="818"/>
      <c r="U40" s="818"/>
      <c r="V40" s="896">
        <f t="shared" si="2"/>
        <v>0</v>
      </c>
    </row>
    <row r="41" spans="1:22" ht="10.5" customHeight="1">
      <c r="A41" s="807" t="s">
        <v>457</v>
      </c>
      <c r="B41" s="965">
        <f>-B17+'ESF 2018-2017'!K23</f>
        <v>-525884.26000000024</v>
      </c>
      <c r="C41" s="911">
        <v>-107410</v>
      </c>
      <c r="D41" s="561"/>
      <c r="E41" s="561"/>
      <c r="F41" s="964"/>
      <c r="G41" s="934" t="s">
        <v>69</v>
      </c>
      <c r="H41" s="935">
        <f>-'ESF 2018-2017'!D10</f>
        <v>365080.16999999993</v>
      </c>
      <c r="I41" s="818"/>
      <c r="J41" s="909">
        <f t="shared" si="3"/>
        <v>365080.16999999993</v>
      </c>
      <c r="K41" s="929"/>
      <c r="L41" s="936" t="s">
        <v>715</v>
      </c>
      <c r="M41" s="917">
        <f>SUM(M31:M40)</f>
        <v>-22991843.935620796</v>
      </c>
      <c r="N41" s="933"/>
      <c r="O41" s="818"/>
      <c r="P41" s="895"/>
      <c r="Q41" s="818"/>
      <c r="R41" s="894"/>
      <c r="S41" s="818"/>
      <c r="T41" s="818"/>
      <c r="U41" s="818"/>
      <c r="V41" s="896">
        <f t="shared" si="2"/>
        <v>0</v>
      </c>
    </row>
    <row r="42" spans="1:22">
      <c r="A42" s="813" t="s">
        <v>761</v>
      </c>
      <c r="B42" s="952">
        <f>+B38+B39+B40+B41</f>
        <v>21996153.535620768</v>
      </c>
      <c r="C42" s="952">
        <f>+C38+C39+C40+C41</f>
        <v>16308753.049999982</v>
      </c>
      <c r="D42" s="561"/>
      <c r="E42" s="561"/>
      <c r="F42" s="963"/>
      <c r="G42" s="934" t="s">
        <v>68</v>
      </c>
      <c r="H42" s="935">
        <f>-'ESF 2018-2017'!D11</f>
        <v>-3924929.6100000013</v>
      </c>
      <c r="I42" s="894"/>
      <c r="J42" s="909">
        <f t="shared" si="3"/>
        <v>-3924929.6100000013</v>
      </c>
      <c r="K42" s="929"/>
      <c r="L42" s="937" t="s">
        <v>717</v>
      </c>
      <c r="M42" s="938">
        <f>+M23+M28+M41</f>
        <v>-1091770.9500000253</v>
      </c>
      <c r="N42" s="939"/>
      <c r="O42" s="940"/>
      <c r="P42" s="941"/>
      <c r="Q42" s="940"/>
      <c r="R42" s="885"/>
      <c r="S42" s="940"/>
      <c r="T42" s="940"/>
      <c r="U42" s="940"/>
      <c r="V42" s="942">
        <f t="shared" si="2"/>
        <v>0</v>
      </c>
    </row>
    <row r="43" spans="1:22">
      <c r="A43" s="815"/>
      <c r="B43" s="953"/>
      <c r="C43" s="953"/>
      <c r="D43" s="563"/>
      <c r="E43" s="563">
        <v>-175815</v>
      </c>
      <c r="F43" s="963"/>
      <c r="G43" s="934" t="s">
        <v>70</v>
      </c>
      <c r="H43" s="935">
        <f>-'ESF 2018-2017'!D12</f>
        <v>122526.69</v>
      </c>
      <c r="I43" s="894"/>
      <c r="J43" s="909">
        <f t="shared" si="3"/>
        <v>122526.69</v>
      </c>
      <c r="K43" s="929"/>
      <c r="L43" s="801"/>
      <c r="M43" s="801"/>
      <c r="N43" s="943">
        <f t="shared" ref="N43:V43" si="4">SUM(N6:N42)</f>
        <v>-298678.30000001192</v>
      </c>
      <c r="O43" s="943">
        <f t="shared" si="4"/>
        <v>0</v>
      </c>
      <c r="P43" s="943">
        <f t="shared" si="4"/>
        <v>0</v>
      </c>
      <c r="Q43" s="943">
        <f t="shared" si="4"/>
        <v>0</v>
      </c>
      <c r="R43" s="943">
        <f t="shared" si="4"/>
        <v>10451070.899999991</v>
      </c>
      <c r="S43" s="943">
        <f t="shared" si="4"/>
        <v>773460</v>
      </c>
      <c r="T43" s="943">
        <f t="shared" si="4"/>
        <v>-2155991.9499999993</v>
      </c>
      <c r="U43" s="943">
        <f t="shared" si="4"/>
        <v>2709792.109999992</v>
      </c>
      <c r="V43" s="943">
        <f t="shared" si="4"/>
        <v>11479652.759999968</v>
      </c>
    </row>
    <row r="44" spans="1:22">
      <c r="A44" s="802" t="s">
        <v>459</v>
      </c>
      <c r="B44" s="954"/>
      <c r="C44" s="953"/>
      <c r="D44" s="563"/>
      <c r="E44" s="563">
        <v>-1655856</v>
      </c>
      <c r="F44" s="963"/>
      <c r="G44" s="934" t="s">
        <v>6</v>
      </c>
      <c r="H44" s="935">
        <f>-'ESF 2018-2017'!D13</f>
        <v>-9528589.1000000015</v>
      </c>
      <c r="I44" s="894"/>
      <c r="J44" s="909">
        <f t="shared" si="3"/>
        <v>-9528589.1000000015</v>
      </c>
      <c r="K44" s="929"/>
      <c r="L44" s="944"/>
      <c r="M44" s="944">
        <f>+J33-M42</f>
        <v>0.42999999970197678</v>
      </c>
      <c r="N44" s="944"/>
      <c r="P44" s="928"/>
      <c r="R44" s="892"/>
      <c r="U44" s="945"/>
    </row>
    <row r="45" spans="1:22">
      <c r="A45" s="807" t="s">
        <v>460</v>
      </c>
      <c r="B45" s="965">
        <f>-'ESF 2018-2017'!D7</f>
        <v>251010.68000000017</v>
      </c>
      <c r="C45" s="955">
        <f>-'ESF 2018-2017'!F7</f>
        <v>-593863</v>
      </c>
      <c r="D45" s="563"/>
      <c r="E45" s="563">
        <v>-125000</v>
      </c>
      <c r="F45" s="963"/>
      <c r="G45" s="934" t="s">
        <v>481</v>
      </c>
      <c r="H45" s="912">
        <f>'ESF 2018-2017'!K5</f>
        <v>3532524</v>
      </c>
      <c r="I45" s="894"/>
      <c r="J45" s="909">
        <f t="shared" si="3"/>
        <v>3532524</v>
      </c>
      <c r="L45" s="944"/>
      <c r="M45" s="944"/>
      <c r="N45" s="944"/>
      <c r="P45" s="928"/>
      <c r="R45" s="892"/>
      <c r="U45" s="945"/>
    </row>
    <row r="46" spans="1:22">
      <c r="A46" s="807" t="s">
        <v>461</v>
      </c>
      <c r="B46" s="965">
        <f>-'ESF 2018-2017'!D6</f>
        <v>29809</v>
      </c>
      <c r="C46" s="955">
        <f>-'ESF 2018-2017'!F6</f>
        <v>5828169</v>
      </c>
      <c r="D46" s="563"/>
      <c r="E46" s="563">
        <v>-1494761</v>
      </c>
      <c r="F46" s="963"/>
      <c r="G46" s="934" t="s">
        <v>388</v>
      </c>
      <c r="H46" s="912">
        <f>'ESF 2018-2017'!K6</f>
        <v>-953537.80000000075</v>
      </c>
      <c r="I46" s="894"/>
      <c r="J46" s="909">
        <f t="shared" si="3"/>
        <v>-953537.80000000075</v>
      </c>
      <c r="L46" s="944"/>
      <c r="M46" s="944"/>
      <c r="N46" s="944"/>
      <c r="P46" s="928"/>
      <c r="R46" s="892"/>
    </row>
    <row r="47" spans="1:22">
      <c r="A47" s="807" t="s">
        <v>774</v>
      </c>
      <c r="B47" s="948">
        <f>-'ESF 2018-2017'!D22</f>
        <v>0</v>
      </c>
      <c r="C47" s="956">
        <f>-'ESF 2018-2017'!F22</f>
        <v>0</v>
      </c>
      <c r="D47" s="563"/>
      <c r="E47" s="563">
        <f>-19113929+437588</f>
        <v>-18676341</v>
      </c>
      <c r="F47" s="963"/>
      <c r="G47" s="934" t="s">
        <v>483</v>
      </c>
      <c r="H47" s="912">
        <f>'ESF 2018-2017'!K7</f>
        <v>-2871367</v>
      </c>
      <c r="I47" s="894"/>
      <c r="J47" s="909">
        <f t="shared" si="3"/>
        <v>-2871367</v>
      </c>
      <c r="L47" s="944"/>
      <c r="N47" s="944"/>
      <c r="P47" s="928"/>
      <c r="R47" s="892"/>
    </row>
    <row r="48" spans="1:22">
      <c r="A48" s="807" t="s">
        <v>773</v>
      </c>
      <c r="B48" s="966">
        <f>-'ESF 2018-2017'!D23-B14-'ESF 2018-2017'!D21-1752202.98999999</f>
        <v>2276062.0943792174</v>
      </c>
      <c r="C48" s="955">
        <f>-'ESF 2018-2017'!F23-C14</f>
        <v>119269</v>
      </c>
      <c r="D48" s="563"/>
      <c r="E48" s="563">
        <v>-49200</v>
      </c>
      <c r="F48" s="962"/>
      <c r="G48" s="934" t="s">
        <v>485</v>
      </c>
      <c r="H48" s="912">
        <f>'ESF 2018-2017'!K8</f>
        <v>-3322935.7699999996</v>
      </c>
      <c r="I48" s="933"/>
      <c r="J48" s="909">
        <f t="shared" si="3"/>
        <v>-3322935.7699999996</v>
      </c>
      <c r="L48" s="944"/>
      <c r="N48" s="944"/>
      <c r="P48" s="928"/>
      <c r="R48" s="892"/>
    </row>
    <row r="49" spans="1:18">
      <c r="A49" s="807" t="s">
        <v>772</v>
      </c>
      <c r="B49" s="966">
        <f>-'ESF 2018-2017'!D19-B10</f>
        <v>-11284673.90000001</v>
      </c>
      <c r="C49" s="955">
        <v>-15283415</v>
      </c>
      <c r="D49" s="563"/>
      <c r="E49" s="563">
        <v>-2492677</v>
      </c>
      <c r="F49" s="962"/>
      <c r="G49" s="934" t="s">
        <v>487</v>
      </c>
      <c r="H49" s="912">
        <f>'ESF 2018-2017'!K9</f>
        <v>4184360.37</v>
      </c>
      <c r="I49" s="933"/>
      <c r="J49" s="909">
        <f t="shared" si="3"/>
        <v>4184360.37</v>
      </c>
      <c r="L49" s="944"/>
      <c r="M49" s="944"/>
      <c r="N49" s="944"/>
      <c r="P49" s="928"/>
      <c r="R49" s="892"/>
    </row>
    <row r="50" spans="1:18">
      <c r="A50" s="807" t="s">
        <v>465</v>
      </c>
      <c r="B50" s="965">
        <f>-'ESF 2018-2017'!D20-B11</f>
        <v>0</v>
      </c>
      <c r="C50" s="956">
        <v>0</v>
      </c>
      <c r="D50" s="563"/>
      <c r="E50" s="566">
        <f>+SUM(E43:E49)</f>
        <v>-24669650</v>
      </c>
      <c r="F50" s="962"/>
      <c r="G50" s="934" t="s">
        <v>350</v>
      </c>
      <c r="H50" s="912">
        <f>'ESF 2018-2017'!K10</f>
        <v>2507919.41</v>
      </c>
      <c r="I50" s="818"/>
      <c r="J50" s="909">
        <f t="shared" si="3"/>
        <v>2507919.41</v>
      </c>
      <c r="L50" s="944"/>
      <c r="M50" s="944"/>
      <c r="N50" s="944"/>
      <c r="P50" s="928"/>
      <c r="R50" s="892"/>
    </row>
    <row r="51" spans="1:18" ht="12" customHeight="1">
      <c r="A51" s="807" t="s">
        <v>466</v>
      </c>
      <c r="B51" s="965">
        <f>-'ESF 2018-2017'!D21-B13+'ESF 2018-2017'!D21</f>
        <v>-2269724.7599999998</v>
      </c>
      <c r="C51" s="955">
        <f>-(1121449+75987)</f>
        <v>-1197436</v>
      </c>
      <c r="D51" s="567"/>
      <c r="E51" s="567"/>
      <c r="F51" s="962"/>
      <c r="G51" s="934" t="s">
        <v>80</v>
      </c>
      <c r="H51" s="912">
        <f>'ESF 2018-2017'!K11</f>
        <v>-1334209.2999999998</v>
      </c>
      <c r="I51" s="818"/>
      <c r="J51" s="909">
        <f t="shared" si="3"/>
        <v>-1334209.2999999998</v>
      </c>
      <c r="L51" s="944"/>
      <c r="M51" s="944"/>
      <c r="N51" s="944"/>
      <c r="P51" s="928"/>
      <c r="R51" s="892"/>
    </row>
    <row r="52" spans="1:18">
      <c r="A52" s="971" t="s">
        <v>776</v>
      </c>
      <c r="B52" s="966">
        <v>0</v>
      </c>
      <c r="D52" s="561"/>
      <c r="E52" s="561"/>
      <c r="F52" s="962"/>
      <c r="G52" s="934" t="s">
        <v>81</v>
      </c>
      <c r="H52" s="912">
        <f>'ESF 2018-2017'!K12</f>
        <v>7714411.5299999993</v>
      </c>
      <c r="I52" s="818"/>
      <c r="J52" s="909">
        <f t="shared" si="3"/>
        <v>7714411.5299999993</v>
      </c>
      <c r="P52" s="928"/>
      <c r="R52" s="892"/>
    </row>
    <row r="53" spans="1:18">
      <c r="A53" s="967" t="s">
        <v>77</v>
      </c>
      <c r="B53" s="965">
        <f>-'ESF 2018-2017'!D24</f>
        <v>995622</v>
      </c>
      <c r="C53" s="955">
        <f>-'ESF 2018-2017'!F24</f>
        <v>-1190535</v>
      </c>
      <c r="D53" s="563"/>
      <c r="E53" s="563">
        <v>1412099</v>
      </c>
      <c r="F53" s="962"/>
      <c r="G53" s="934" t="s">
        <v>488</v>
      </c>
      <c r="H53" s="912">
        <f>'ESF 2018-2017'!K13</f>
        <v>1650690.04</v>
      </c>
      <c r="I53" s="912">
        <f>P18+Q18</f>
        <v>-1583376</v>
      </c>
      <c r="J53" s="909">
        <f t="shared" si="3"/>
        <v>67314.040000000037</v>
      </c>
      <c r="P53" s="928"/>
      <c r="R53" s="892"/>
    </row>
    <row r="54" spans="1:18">
      <c r="A54" s="813" t="s">
        <v>762</v>
      </c>
      <c r="B54" s="957">
        <f>+SUM(B45:B53)</f>
        <v>-10001894.885620791</v>
      </c>
      <c r="C54" s="957">
        <f>+SUM(C45:C53)</f>
        <v>-12317811</v>
      </c>
      <c r="D54" s="563"/>
      <c r="E54" s="563">
        <f>15141796-13490379-198890+4596345</f>
        <v>6048872</v>
      </c>
      <c r="F54" s="962"/>
      <c r="G54" s="934" t="s">
        <v>83</v>
      </c>
      <c r="H54" s="912">
        <f>'ESF 2018-2017'!K14</f>
        <v>-4183053</v>
      </c>
      <c r="I54" s="818"/>
      <c r="J54" s="909">
        <f t="shared" si="3"/>
        <v>-4183053</v>
      </c>
      <c r="P54" s="928"/>
      <c r="R54" s="892"/>
    </row>
    <row r="55" spans="1:18">
      <c r="A55" s="818"/>
      <c r="B55" s="958"/>
      <c r="C55" s="900"/>
      <c r="D55" s="563"/>
      <c r="E55" s="563"/>
      <c r="F55" s="962"/>
      <c r="G55" s="934"/>
      <c r="H55" s="912"/>
      <c r="I55" s="818"/>
      <c r="J55" s="909"/>
      <c r="P55" s="928"/>
      <c r="R55" s="892"/>
    </row>
    <row r="56" spans="1:18">
      <c r="A56" s="802" t="s">
        <v>468</v>
      </c>
      <c r="B56" s="954"/>
      <c r="C56" s="953"/>
      <c r="D56" s="563"/>
      <c r="E56" s="563">
        <f>13238971-9192632</f>
        <v>4046339</v>
      </c>
      <c r="F56" s="962"/>
      <c r="G56" s="865" t="s">
        <v>748</v>
      </c>
      <c r="H56" s="946">
        <f>SUM(H37:H54)</f>
        <v>-4756248.3400000045</v>
      </c>
      <c r="I56" s="946">
        <f>SUM(I37:I54)</f>
        <v>-4214721</v>
      </c>
      <c r="J56" s="947">
        <f>SUM(J37:J54)</f>
        <v>-8970969.3400000036</v>
      </c>
    </row>
    <row r="57" spans="1:18">
      <c r="A57" s="807" t="s">
        <v>320</v>
      </c>
      <c r="B57" s="948">
        <v>0</v>
      </c>
      <c r="C57" s="955">
        <v>0</v>
      </c>
      <c r="D57" s="563"/>
      <c r="E57" s="566">
        <f>+E54+E56+E53</f>
        <v>11507310</v>
      </c>
      <c r="F57" s="962"/>
    </row>
    <row r="58" spans="1:18">
      <c r="A58" s="807" t="s">
        <v>387</v>
      </c>
      <c r="B58" s="965">
        <f>'ESF 2018-2017'!K5</f>
        <v>3532524</v>
      </c>
      <c r="C58" s="955"/>
      <c r="D58" s="563"/>
      <c r="E58" s="563"/>
      <c r="F58" s="962"/>
    </row>
    <row r="59" spans="1:18">
      <c r="A59" s="807" t="s">
        <v>469</v>
      </c>
      <c r="B59" s="965">
        <f>+'ESF 2018-2017'!K6+'ESF 2018-2017'!K18</f>
        <v>-6250082.8000000007</v>
      </c>
      <c r="C59" s="955">
        <f>+'ESF 2018-2017'!N6+'ESF 2018-2017'!N18</f>
        <v>-4735058</v>
      </c>
      <c r="D59" s="563"/>
      <c r="E59" s="563"/>
      <c r="F59" s="962"/>
    </row>
    <row r="60" spans="1:18">
      <c r="A60" s="807" t="s">
        <v>470</v>
      </c>
      <c r="B60" s="965">
        <f>+'ESF 2018-2017'!K7+'ESF 2018-2017'!K19</f>
        <v>-7134782</v>
      </c>
      <c r="C60" s="955">
        <f>+'ESF 2018-2017'!N7+'ESF 2018-2017'!N19</f>
        <v>-8370991</v>
      </c>
      <c r="D60" s="563"/>
      <c r="E60" s="563"/>
      <c r="F60" s="962"/>
      <c r="G60" s="360" t="s">
        <v>777</v>
      </c>
    </row>
    <row r="61" spans="1:18">
      <c r="A61" s="807" t="s">
        <v>765</v>
      </c>
      <c r="B61" s="965">
        <f>-'ESF 2018-2017'!D17</f>
        <v>1760971.52</v>
      </c>
      <c r="C61" s="955"/>
      <c r="D61" s="563"/>
      <c r="E61" s="563"/>
      <c r="F61" s="962"/>
      <c r="G61" s="360" t="s">
        <v>778</v>
      </c>
      <c r="H61" s="972">
        <v>1283965</v>
      </c>
    </row>
    <row r="62" spans="1:18">
      <c r="A62" s="807" t="s">
        <v>770</v>
      </c>
      <c r="B62" s="965">
        <f>-'ESF 2018-2017'!D18</f>
        <v>-3150764</v>
      </c>
      <c r="D62" s="563"/>
      <c r="E62" s="563"/>
      <c r="F62" s="962"/>
      <c r="G62" s="360" t="s">
        <v>779</v>
      </c>
      <c r="H62" s="972">
        <v>3573728</v>
      </c>
    </row>
    <row r="63" spans="1:18">
      <c r="A63" s="807" t="s">
        <v>766</v>
      </c>
      <c r="B63" s="965">
        <f>+'ESF 2018-2017'!K20</f>
        <v>142127</v>
      </c>
      <c r="C63" s="955"/>
      <c r="D63" s="561"/>
      <c r="E63" s="561"/>
      <c r="F63" s="962"/>
      <c r="G63" s="360" t="s">
        <v>780</v>
      </c>
      <c r="H63" s="972">
        <v>-2230401</v>
      </c>
    </row>
    <row r="64" spans="1:18">
      <c r="A64" s="807" t="s">
        <v>767</v>
      </c>
      <c r="B64" s="965">
        <f>+'ESF 2018-2017'!K21</f>
        <v>-37584.890000000596</v>
      </c>
      <c r="C64" s="955"/>
      <c r="D64" s="563"/>
      <c r="E64" s="563">
        <f>+E57+E50+E40</f>
        <v>7736553</v>
      </c>
      <c r="F64" s="962"/>
      <c r="H64" s="972">
        <f>SUM(H61:H63)</f>
        <v>2627292</v>
      </c>
    </row>
    <row r="65" spans="1:8">
      <c r="A65" s="807" t="s">
        <v>768</v>
      </c>
      <c r="B65" s="965">
        <f>+'ESF 2018-2017'!K22</f>
        <v>-955995</v>
      </c>
      <c r="C65" s="955"/>
      <c r="D65" s="563"/>
      <c r="E65" s="563">
        <v>2860714</v>
      </c>
      <c r="F65" s="962"/>
      <c r="H65" s="972">
        <f>SUM(H61:H62)</f>
        <v>4857693</v>
      </c>
    </row>
    <row r="66" spans="1:8" ht="9.75" thickBot="1">
      <c r="A66" s="807" t="s">
        <v>769</v>
      </c>
      <c r="B66" s="965">
        <f>+'ESF 2018-2017'!K25</f>
        <v>-992443</v>
      </c>
      <c r="C66" s="955"/>
      <c r="D66" s="563"/>
      <c r="E66" s="568">
        <f>+E64+E65</f>
        <v>10597267</v>
      </c>
      <c r="F66" s="962"/>
      <c r="H66" s="969"/>
    </row>
    <row r="67" spans="1:8" ht="18.75" thickTop="1">
      <c r="A67" s="813" t="s">
        <v>763</v>
      </c>
      <c r="B67" s="957">
        <f>SUM(B57:B66)</f>
        <v>-13086029.170000002</v>
      </c>
      <c r="C67" s="957">
        <f>SUM(C57:C66)</f>
        <v>-13106049</v>
      </c>
      <c r="D67" s="567"/>
      <c r="E67" s="567"/>
      <c r="F67" s="962"/>
    </row>
    <row r="68" spans="1:8">
      <c r="A68" s="820"/>
      <c r="B68" s="959"/>
      <c r="C68" s="953"/>
      <c r="D68" s="567"/>
      <c r="E68" s="567"/>
      <c r="F68" s="962"/>
    </row>
    <row r="69" spans="1:8">
      <c r="A69" s="822" t="s">
        <v>472</v>
      </c>
      <c r="B69" s="948">
        <f>B42+B54+B67</f>
        <v>-1091770.5200000256</v>
      </c>
      <c r="C69" s="955">
        <f>+C67+C54+C42</f>
        <v>-9115106.9500000179</v>
      </c>
      <c r="D69" s="567"/>
      <c r="E69" s="567"/>
      <c r="F69" s="962"/>
    </row>
    <row r="70" spans="1:8">
      <c r="A70" s="822" t="s">
        <v>473</v>
      </c>
      <c r="B70" s="948">
        <f>'ESF 2018-2017'!C5</f>
        <v>1742562</v>
      </c>
      <c r="C70" s="955">
        <f>'ESF 2018-2017'!E5</f>
        <v>10796157</v>
      </c>
      <c r="D70" s="567"/>
      <c r="E70" s="567"/>
    </row>
    <row r="71" spans="1:8">
      <c r="A71" s="813" t="s">
        <v>474</v>
      </c>
      <c r="B71" s="957">
        <f>+'ESF 2018-2017'!B5</f>
        <v>650792.31999999995</v>
      </c>
      <c r="C71" s="952">
        <f>+C69+C70</f>
        <v>1681050.0499999821</v>
      </c>
    </row>
    <row r="72" spans="1:8">
      <c r="A72" s="869"/>
      <c r="B72" s="870">
        <f>-B69+J33</f>
        <v>0</v>
      </c>
      <c r="C72" s="870"/>
    </row>
    <row r="73" spans="1:8">
      <c r="B73" s="96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499984740745262"/>
  </sheetPr>
  <dimension ref="A1:Z55"/>
  <sheetViews>
    <sheetView showGridLines="0" tabSelected="1" topLeftCell="A3" workbookViewId="0">
      <pane xSplit="2" ySplit="21" topLeftCell="I24" activePane="bottomRight" state="frozen"/>
      <selection activeCell="A3" sqref="A3"/>
      <selection pane="topRight" activeCell="C3" sqref="C3"/>
      <selection pane="bottomLeft" activeCell="A24" sqref="A24"/>
      <selection pane="bottomRight" activeCell="Y40" sqref="Y40"/>
    </sheetView>
  </sheetViews>
  <sheetFormatPr defaultColWidth="11.42578125" defaultRowHeight="9"/>
  <cols>
    <col min="1" max="1" width="36.7109375" style="516" customWidth="1"/>
    <col min="2" max="2" width="4.42578125" style="516" customWidth="1"/>
    <col min="3" max="3" width="10.5703125" style="516" customWidth="1"/>
    <col min="4" max="4" width="2.28515625" style="516" customWidth="1"/>
    <col min="5" max="5" width="12.7109375" style="516" bestFit="1" customWidth="1"/>
    <col min="6" max="6" width="12.85546875" style="516" customWidth="1"/>
    <col min="7" max="7" width="1.28515625" style="516" customWidth="1"/>
    <col min="8" max="8" width="9.28515625" style="516" customWidth="1"/>
    <col min="9" max="9" width="1.28515625" style="516" customWidth="1"/>
    <col min="10" max="10" width="10.42578125" style="516" customWidth="1"/>
    <col min="11" max="11" width="1.28515625" style="516" customWidth="1"/>
    <col min="12" max="12" width="9.7109375" style="516" customWidth="1"/>
    <col min="13" max="13" width="1.28515625" style="516" customWidth="1"/>
    <col min="14" max="14" width="8.5703125" style="516" bestFit="1" customWidth="1"/>
    <col min="15" max="15" width="1.28515625" style="516" customWidth="1"/>
    <col min="16" max="16" width="10.5703125" style="516" bestFit="1" customWidth="1"/>
    <col min="17" max="17" width="1.28515625" style="516" customWidth="1"/>
    <col min="18" max="18" width="10" style="516" customWidth="1"/>
    <col min="19" max="19" width="1.28515625" style="516" customWidth="1"/>
    <col min="20" max="20" width="11.42578125" style="516" bestFit="1" customWidth="1"/>
    <col min="21" max="21" width="2.28515625" style="516" customWidth="1"/>
    <col min="22" max="22" width="10" style="516" customWidth="1"/>
    <col min="23" max="23" width="2.28515625" style="516" customWidth="1"/>
    <col min="24" max="25" width="11.42578125" style="516"/>
    <col min="26" max="26" width="27" style="516" customWidth="1"/>
    <col min="27" max="16384" width="11.42578125" style="516"/>
  </cols>
  <sheetData>
    <row r="1" spans="1:23" s="512" customFormat="1">
      <c r="F1" s="508"/>
      <c r="G1" s="508"/>
      <c r="H1" s="508"/>
      <c r="I1" s="508"/>
      <c r="J1" s="508"/>
      <c r="K1" s="508"/>
      <c r="L1" s="508"/>
      <c r="M1" s="508"/>
      <c r="N1" s="1005" t="s">
        <v>157</v>
      </c>
      <c r="O1" s="1005"/>
      <c r="P1" s="1005"/>
      <c r="Q1" s="1005"/>
      <c r="R1" s="1005"/>
    </row>
    <row r="2" spans="1:23" s="512" customFormat="1" ht="14.25" customHeight="1">
      <c r="C2" s="1006" t="s">
        <v>527</v>
      </c>
      <c r="D2" s="513"/>
      <c r="E2" s="572"/>
      <c r="F2" s="508" t="s">
        <v>528</v>
      </c>
      <c r="G2" s="513"/>
      <c r="I2" s="513"/>
      <c r="K2" s="513"/>
      <c r="L2" s="508" t="s">
        <v>529</v>
      </c>
      <c r="M2" s="513"/>
      <c r="N2" s="508" t="s">
        <v>530</v>
      </c>
      <c r="O2" s="513"/>
      <c r="P2" s="514"/>
      <c r="Q2" s="513"/>
      <c r="S2" s="513"/>
      <c r="T2" s="513"/>
      <c r="U2" s="513"/>
      <c r="V2" s="513"/>
      <c r="W2" s="513"/>
    </row>
    <row r="3" spans="1:23" s="512" customFormat="1" ht="14.25" customHeight="1">
      <c r="C3" s="1006"/>
      <c r="D3" s="513"/>
      <c r="E3" s="572"/>
      <c r="F3" s="508" t="s">
        <v>531</v>
      </c>
      <c r="G3" s="513"/>
      <c r="H3" s="508" t="s">
        <v>532</v>
      </c>
      <c r="I3" s="513"/>
      <c r="J3" s="508" t="s">
        <v>532</v>
      </c>
      <c r="K3" s="513"/>
      <c r="L3" s="508" t="s">
        <v>533</v>
      </c>
      <c r="M3" s="513"/>
      <c r="N3" s="508" t="s">
        <v>534</v>
      </c>
      <c r="O3" s="513"/>
      <c r="P3" s="508" t="s">
        <v>535</v>
      </c>
      <c r="Q3" s="513"/>
      <c r="R3" s="513" t="s">
        <v>536</v>
      </c>
      <c r="S3" s="513"/>
      <c r="T3" s="513" t="s">
        <v>304</v>
      </c>
      <c r="U3" s="513"/>
      <c r="V3" s="513"/>
      <c r="W3" s="513"/>
    </row>
    <row r="4" spans="1:23" s="512" customFormat="1" ht="22.5">
      <c r="C4" s="1005"/>
      <c r="D4" s="515"/>
      <c r="E4" s="515" t="s">
        <v>568</v>
      </c>
      <c r="F4" s="509" t="s">
        <v>537</v>
      </c>
      <c r="G4" s="515"/>
      <c r="H4" s="509" t="s">
        <v>306</v>
      </c>
      <c r="I4" s="515"/>
      <c r="J4" s="509" t="s">
        <v>307</v>
      </c>
      <c r="K4" s="515"/>
      <c r="L4" s="509" t="s">
        <v>538</v>
      </c>
      <c r="M4" s="515"/>
      <c r="N4" s="509" t="s">
        <v>357</v>
      </c>
      <c r="O4" s="513"/>
      <c r="P4" s="509" t="s">
        <v>539</v>
      </c>
      <c r="Q4" s="513"/>
      <c r="R4" s="509" t="s">
        <v>310</v>
      </c>
      <c r="S4" s="513"/>
      <c r="T4" s="509" t="s">
        <v>540</v>
      </c>
      <c r="U4" s="513"/>
      <c r="V4" s="509" t="s">
        <v>15</v>
      </c>
      <c r="W4" s="513"/>
    </row>
    <row r="5" spans="1:23" hidden="1"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7"/>
      <c r="P5" s="517"/>
      <c r="Q5" s="517"/>
      <c r="R5" s="517"/>
      <c r="S5" s="517"/>
      <c r="T5" s="517"/>
      <c r="U5" s="517"/>
      <c r="V5" s="517"/>
      <c r="W5" s="517"/>
    </row>
    <row r="6" spans="1:23" hidden="1">
      <c r="A6" s="510" t="s">
        <v>541</v>
      </c>
      <c r="C6" s="517">
        <v>9830611</v>
      </c>
      <c r="D6" s="517"/>
      <c r="E6" s="517"/>
      <c r="F6" s="518">
        <v>900000</v>
      </c>
      <c r="G6" s="517"/>
      <c r="H6" s="518">
        <v>2751278</v>
      </c>
      <c r="I6" s="517"/>
      <c r="J6" s="518">
        <v>36350</v>
      </c>
      <c r="K6" s="517"/>
      <c r="L6" s="518">
        <v>36350</v>
      </c>
      <c r="M6" s="517"/>
      <c r="N6" s="518">
        <v>706749</v>
      </c>
      <c r="O6" s="517"/>
      <c r="P6" s="518">
        <v>960263</v>
      </c>
      <c r="Q6" s="517"/>
      <c r="R6" s="518">
        <v>16280475</v>
      </c>
      <c r="S6" s="517"/>
      <c r="T6" s="517">
        <v>31465726</v>
      </c>
      <c r="U6" s="517"/>
      <c r="V6" s="517">
        <v>31465726</v>
      </c>
      <c r="W6" s="517"/>
    </row>
    <row r="7" spans="1:23" hidden="1">
      <c r="C7" s="517"/>
      <c r="D7" s="517"/>
      <c r="E7" s="517"/>
      <c r="F7" s="519"/>
      <c r="G7" s="517"/>
      <c r="H7" s="519"/>
      <c r="I7" s="517"/>
      <c r="J7" s="519"/>
      <c r="K7" s="517"/>
      <c r="L7" s="519"/>
      <c r="M7" s="517"/>
      <c r="N7" s="517"/>
      <c r="O7" s="517"/>
      <c r="P7" s="517"/>
      <c r="Q7" s="517"/>
      <c r="R7" s="517"/>
      <c r="S7" s="517"/>
      <c r="T7" s="519"/>
      <c r="U7" s="517"/>
      <c r="V7" s="519"/>
      <c r="W7" s="517"/>
    </row>
    <row r="8" spans="1:23" hidden="1">
      <c r="A8" s="510" t="s">
        <v>286</v>
      </c>
      <c r="C8" s="519">
        <v>0</v>
      </c>
      <c r="D8" s="517"/>
      <c r="E8" s="517"/>
      <c r="F8" s="519">
        <v>0</v>
      </c>
      <c r="G8" s="517"/>
      <c r="H8" s="519">
        <v>0</v>
      </c>
      <c r="I8" s="517"/>
      <c r="J8" s="519">
        <v>0</v>
      </c>
      <c r="K8" s="517"/>
      <c r="L8" s="519">
        <v>0</v>
      </c>
      <c r="M8" s="517"/>
      <c r="N8" s="519">
        <v>0</v>
      </c>
      <c r="O8" s="517"/>
      <c r="P8" s="519">
        <v>0</v>
      </c>
      <c r="Q8" s="517"/>
      <c r="R8" s="518">
        <v>3055040</v>
      </c>
      <c r="S8" s="517"/>
      <c r="T8" s="518">
        <v>3055040</v>
      </c>
      <c r="U8" s="517"/>
      <c r="V8" s="518">
        <v>3055040</v>
      </c>
      <c r="W8" s="517"/>
    </row>
    <row r="9" spans="1:23" hidden="1">
      <c r="C9" s="517"/>
      <c r="D9" s="517"/>
      <c r="E9" s="517"/>
      <c r="F9" s="519"/>
      <c r="G9" s="517"/>
      <c r="H9" s="519"/>
      <c r="I9" s="517"/>
      <c r="J9" s="519"/>
      <c r="K9" s="517"/>
      <c r="L9" s="519"/>
      <c r="M9" s="517"/>
      <c r="N9" s="517"/>
      <c r="O9" s="517"/>
      <c r="P9" s="517"/>
      <c r="Q9" s="517"/>
      <c r="R9" s="517"/>
      <c r="S9" s="517"/>
      <c r="T9" s="519"/>
      <c r="U9" s="517"/>
      <c r="V9" s="519"/>
      <c r="W9" s="517"/>
    </row>
    <row r="10" spans="1:23" hidden="1">
      <c r="A10" s="520" t="s">
        <v>542</v>
      </c>
      <c r="C10" s="521">
        <v>0</v>
      </c>
      <c r="F10" s="521">
        <v>0</v>
      </c>
      <c r="H10" s="521">
        <v>305504</v>
      </c>
      <c r="J10" s="521">
        <v>0</v>
      </c>
      <c r="L10" s="521">
        <v>0</v>
      </c>
      <c r="N10" s="521">
        <v>0</v>
      </c>
      <c r="P10" s="521">
        <v>0</v>
      </c>
      <c r="R10" s="518">
        <v>-305504</v>
      </c>
      <c r="T10" s="518">
        <v>0</v>
      </c>
      <c r="V10" s="518">
        <v>0</v>
      </c>
    </row>
    <row r="11" spans="1:23" hidden="1">
      <c r="C11" s="522"/>
      <c r="F11" s="523"/>
      <c r="H11" s="523"/>
      <c r="J11" s="523"/>
      <c r="L11" s="523"/>
      <c r="N11" s="522"/>
      <c r="P11" s="522"/>
      <c r="R11" s="522"/>
      <c r="T11" s="522"/>
      <c r="V11" s="522"/>
    </row>
    <row r="12" spans="1:23" hidden="1">
      <c r="A12" s="510" t="s">
        <v>543</v>
      </c>
      <c r="C12" s="518">
        <v>23879352</v>
      </c>
      <c r="D12" s="518"/>
      <c r="E12" s="518"/>
      <c r="F12" s="518">
        <v>705936</v>
      </c>
      <c r="G12" s="518"/>
      <c r="H12" s="518">
        <v>2640253</v>
      </c>
      <c r="I12" s="518"/>
      <c r="J12" s="518">
        <v>34797</v>
      </c>
      <c r="K12" s="518"/>
      <c r="L12" s="518">
        <v>0</v>
      </c>
      <c r="M12" s="518"/>
      <c r="N12" s="518">
        <v>227072</v>
      </c>
      <c r="O12" s="518"/>
      <c r="P12" s="518">
        <v>-3202431</v>
      </c>
      <c r="Q12" s="518"/>
      <c r="R12" s="518">
        <v>34940142</v>
      </c>
      <c r="S12" s="518"/>
      <c r="T12" s="518">
        <v>9357519</v>
      </c>
      <c r="U12" s="518"/>
      <c r="V12" s="518">
        <f>SUM(C12:T12)</f>
        <v>68582640</v>
      </c>
      <c r="W12" s="518"/>
    </row>
    <row r="13" spans="1:23" ht="4.3499999999999996" hidden="1" customHeight="1"/>
    <row r="14" spans="1:23" hidden="1">
      <c r="A14" s="510" t="s">
        <v>544</v>
      </c>
      <c r="C14" s="518"/>
      <c r="D14" s="518"/>
      <c r="E14" s="518"/>
      <c r="F14" s="518"/>
      <c r="G14" s="518"/>
      <c r="H14" s="518"/>
      <c r="I14" s="518"/>
      <c r="J14" s="518"/>
      <c r="K14" s="518"/>
      <c r="L14" s="518"/>
      <c r="M14" s="518"/>
      <c r="N14" s="518"/>
      <c r="O14" s="518"/>
      <c r="P14" s="518"/>
      <c r="Q14" s="518"/>
      <c r="R14" s="518">
        <v>-2936828</v>
      </c>
      <c r="S14" s="518"/>
      <c r="T14" s="518">
        <f>SUM(A14:P14)</f>
        <v>0</v>
      </c>
      <c r="U14" s="518"/>
      <c r="V14" s="518">
        <f>SUM(C14:T14)</f>
        <v>-2936828</v>
      </c>
      <c r="W14" s="518"/>
    </row>
    <row r="15" spans="1:23" ht="4.3499999999999996" hidden="1" customHeight="1">
      <c r="C15" s="524"/>
      <c r="F15" s="524"/>
      <c r="H15" s="524"/>
      <c r="J15" s="524"/>
      <c r="L15" s="524"/>
      <c r="N15" s="524"/>
      <c r="P15" s="524"/>
      <c r="R15" s="524"/>
      <c r="T15" s="524"/>
      <c r="V15" s="524"/>
    </row>
    <row r="16" spans="1:23" ht="4.3499999999999996" hidden="1" customHeight="1">
      <c r="C16" s="525"/>
      <c r="E16" s="525"/>
      <c r="F16" s="525"/>
      <c r="H16" s="525"/>
      <c r="J16" s="525"/>
      <c r="L16" s="525"/>
      <c r="N16" s="525"/>
      <c r="P16" s="525"/>
      <c r="R16" s="525"/>
      <c r="T16" s="525"/>
      <c r="V16" s="525"/>
    </row>
    <row r="17" spans="1:24" hidden="1">
      <c r="A17" s="510" t="s">
        <v>545</v>
      </c>
      <c r="C17" s="518">
        <f>+C12+C14</f>
        <v>23879352</v>
      </c>
      <c r="D17" s="518"/>
      <c r="E17" s="526">
        <f>SUM(E9:E15)</f>
        <v>0</v>
      </c>
      <c r="F17" s="518">
        <f>+F12+F14</f>
        <v>705936</v>
      </c>
      <c r="G17" s="518"/>
      <c r="H17" s="518">
        <f>+H12+H14</f>
        <v>2640253</v>
      </c>
      <c r="I17" s="518"/>
      <c r="J17" s="518">
        <f>+J12+J14</f>
        <v>34797</v>
      </c>
      <c r="K17" s="518"/>
      <c r="L17" s="518">
        <f>+L12+L14</f>
        <v>0</v>
      </c>
      <c r="M17" s="518"/>
      <c r="N17" s="518">
        <f>+N12+N14</f>
        <v>227072</v>
      </c>
      <c r="O17" s="518"/>
      <c r="P17" s="518">
        <f>+P12+P14</f>
        <v>-3202431</v>
      </c>
      <c r="Q17" s="518"/>
      <c r="R17" s="518">
        <f>+R12+R14</f>
        <v>32003314</v>
      </c>
      <c r="S17" s="518"/>
      <c r="T17" s="518">
        <f>+T12+T14</f>
        <v>9357519</v>
      </c>
      <c r="U17" s="518"/>
      <c r="V17" s="518">
        <f>+V12+V14</f>
        <v>65645812</v>
      </c>
      <c r="W17" s="518"/>
    </row>
    <row r="18" spans="1:24" ht="4.3499999999999996" hidden="1" customHeight="1">
      <c r="C18" s="525"/>
      <c r="F18" s="525"/>
      <c r="H18" s="525"/>
      <c r="J18" s="525"/>
      <c r="L18" s="525"/>
      <c r="N18" s="525"/>
      <c r="P18" s="525"/>
      <c r="R18" s="525"/>
      <c r="T18" s="525"/>
      <c r="V18" s="525"/>
    </row>
    <row r="19" spans="1:24" hidden="1">
      <c r="A19" s="510" t="s">
        <v>546</v>
      </c>
      <c r="C19" s="525"/>
      <c r="F19" s="525"/>
      <c r="H19" s="525"/>
      <c r="J19" s="525"/>
      <c r="L19" s="525"/>
      <c r="N19" s="525"/>
      <c r="P19" s="525"/>
      <c r="R19" s="525"/>
      <c r="T19" s="518">
        <v>1412099</v>
      </c>
      <c r="V19" s="518">
        <f>SUM(C19:T19)</f>
        <v>1412099</v>
      </c>
    </row>
    <row r="20" spans="1:24" ht="4.3499999999999996" hidden="1" customHeight="1">
      <c r="C20" s="525"/>
      <c r="F20" s="525"/>
      <c r="H20" s="525"/>
      <c r="J20" s="525"/>
      <c r="L20" s="525"/>
      <c r="N20" s="525"/>
      <c r="P20" s="525"/>
      <c r="R20" s="525"/>
      <c r="T20" s="525"/>
      <c r="V20" s="525"/>
    </row>
    <row r="21" spans="1:24" ht="18" hidden="1">
      <c r="A21" s="510" t="s">
        <v>547</v>
      </c>
      <c r="C21" s="518"/>
      <c r="D21" s="518"/>
      <c r="E21" s="518"/>
      <c r="F21" s="518"/>
      <c r="G21" s="518"/>
      <c r="H21" s="518">
        <v>1341885</v>
      </c>
      <c r="I21" s="518"/>
      <c r="J21" s="518"/>
      <c r="K21" s="518"/>
      <c r="L21" s="518"/>
      <c r="M21" s="518"/>
      <c r="N21" s="518"/>
      <c r="O21" s="518"/>
      <c r="P21" s="518"/>
      <c r="Q21" s="518"/>
      <c r="R21" s="518">
        <v>-1341885</v>
      </c>
      <c r="S21" s="518"/>
      <c r="T21" s="518"/>
      <c r="U21" s="518"/>
      <c r="V21" s="518">
        <f>SUM(C21:T21)</f>
        <v>0</v>
      </c>
      <c r="W21" s="518"/>
    </row>
    <row r="22" spans="1:24" ht="4.3499999999999996" hidden="1" customHeight="1"/>
    <row r="23" spans="1:24" hidden="1">
      <c r="A23" s="510" t="s">
        <v>548</v>
      </c>
      <c r="C23" s="519"/>
      <c r="D23" s="517"/>
      <c r="E23" s="517"/>
      <c r="F23" s="518"/>
      <c r="G23" s="517"/>
      <c r="H23" s="518"/>
      <c r="I23" s="517"/>
      <c r="J23" s="518"/>
      <c r="K23" s="517"/>
      <c r="L23" s="518">
        <v>-495802</v>
      </c>
      <c r="M23" s="517"/>
      <c r="N23" s="518"/>
      <c r="O23" s="517"/>
      <c r="P23" s="518"/>
      <c r="Q23" s="517"/>
      <c r="R23" s="518">
        <v>7742390</v>
      </c>
      <c r="S23" s="517"/>
      <c r="T23" s="518">
        <v>391648</v>
      </c>
      <c r="U23" s="518"/>
      <c r="V23" s="518">
        <f>SUM(C23:T23)</f>
        <v>7638236</v>
      </c>
      <c r="W23" s="518"/>
    </row>
    <row r="24" spans="1:24" ht="4.3499999999999996" customHeight="1">
      <c r="L24" s="524"/>
    </row>
    <row r="25" spans="1:24">
      <c r="A25" s="510" t="s">
        <v>330</v>
      </c>
      <c r="C25" s="526">
        <f>SUM(C17:C23)</f>
        <v>23879352</v>
      </c>
      <c r="E25" s="526">
        <f>SUM(E17:E23)</f>
        <v>0</v>
      </c>
      <c r="F25" s="526">
        <f>SUM(F17:F23)</f>
        <v>705936</v>
      </c>
      <c r="H25" s="526">
        <f>SUM(H17:H23)</f>
        <v>3982138</v>
      </c>
      <c r="J25" s="526">
        <f>SUM(J17:J23)</f>
        <v>34797</v>
      </c>
      <c r="L25" s="518">
        <f>SUM(L17:L23)</f>
        <v>-495802</v>
      </c>
      <c r="N25" s="526">
        <f>SUM(N17:N23)</f>
        <v>227072</v>
      </c>
      <c r="P25" s="527">
        <f>SUM(P17:P23)</f>
        <v>-3202431</v>
      </c>
      <c r="R25" s="526">
        <f>SUM(R17:R23)</f>
        <v>38403819</v>
      </c>
      <c r="T25" s="526">
        <f>SUM(T17:T23)</f>
        <v>11161266</v>
      </c>
      <c r="U25" s="510"/>
      <c r="V25" s="526">
        <f>SUM(V17:V23)</f>
        <v>74696147</v>
      </c>
      <c r="W25" s="510"/>
      <c r="X25" s="528"/>
    </row>
    <row r="26" spans="1:24" ht="4.3499999999999996" customHeight="1">
      <c r="A26" s="521"/>
      <c r="B26" s="521"/>
      <c r="C26" s="521"/>
      <c r="D26" s="521"/>
      <c r="E26" s="521"/>
      <c r="F26" s="521"/>
      <c r="G26" s="521"/>
      <c r="H26" s="521"/>
      <c r="I26" s="521"/>
      <c r="J26" s="521"/>
      <c r="K26" s="521"/>
      <c r="L26" s="521"/>
      <c r="M26" s="521"/>
      <c r="N26" s="521"/>
      <c r="O26" s="521"/>
      <c r="P26" s="521"/>
      <c r="Q26" s="521"/>
      <c r="R26" s="521"/>
      <c r="S26" s="521"/>
      <c r="T26" s="521"/>
      <c r="U26" s="521"/>
      <c r="V26" s="521"/>
      <c r="W26" s="521"/>
    </row>
    <row r="27" spans="1:24" ht="18">
      <c r="A27" s="511" t="s">
        <v>549</v>
      </c>
      <c r="B27" s="529"/>
      <c r="C27" s="518">
        <v>6127345</v>
      </c>
      <c r="D27" s="530"/>
      <c r="E27" s="530"/>
      <c r="F27" s="531"/>
      <c r="G27" s="530"/>
      <c r="H27" s="531"/>
      <c r="I27" s="530"/>
      <c r="J27" s="531"/>
      <c r="K27" s="530"/>
      <c r="L27" s="531"/>
      <c r="M27" s="530"/>
      <c r="N27" s="531"/>
      <c r="O27" s="530"/>
      <c r="P27" s="531"/>
      <c r="Q27" s="530"/>
      <c r="R27" s="531">
        <v>-6127345</v>
      </c>
      <c r="S27" s="530"/>
      <c r="T27" s="531">
        <v>0</v>
      </c>
      <c r="U27" s="521"/>
      <c r="V27" s="531">
        <f>SUM(C27:T28)</f>
        <v>0</v>
      </c>
      <c r="W27" s="521"/>
    </row>
    <row r="28" spans="1:24" ht="5.0999999999999996" customHeight="1">
      <c r="A28" s="521"/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  <c r="V28" s="521"/>
      <c r="W28" s="521"/>
    </row>
    <row r="29" spans="1:24">
      <c r="A29" s="510" t="s">
        <v>542</v>
      </c>
      <c r="C29" s="519"/>
      <c r="D29" s="517"/>
      <c r="E29" s="517"/>
      <c r="F29" s="518"/>
      <c r="G29" s="517"/>
      <c r="H29" s="518">
        <v>680816</v>
      </c>
      <c r="I29" s="517"/>
      <c r="J29" s="518"/>
      <c r="K29" s="517"/>
      <c r="L29" s="518"/>
      <c r="M29" s="517"/>
      <c r="N29" s="518"/>
      <c r="O29" s="517"/>
      <c r="P29" s="518"/>
      <c r="Q29" s="517"/>
      <c r="R29" s="518">
        <v>-680816</v>
      </c>
      <c r="S29" s="517"/>
      <c r="T29" s="518">
        <v>0</v>
      </c>
      <c r="U29" s="517"/>
      <c r="V29" s="531">
        <f>SUM(C29:T30)</f>
        <v>0</v>
      </c>
      <c r="W29" s="517"/>
    </row>
    <row r="30" spans="1:24" ht="4.3499999999999996" customHeight="1">
      <c r="C30" s="518"/>
      <c r="D30" s="517"/>
      <c r="E30" s="517"/>
      <c r="F30" s="518"/>
      <c r="G30" s="517"/>
      <c r="H30" s="519"/>
      <c r="I30" s="517"/>
      <c r="J30" s="519"/>
      <c r="K30" s="517"/>
      <c r="L30" s="519"/>
      <c r="M30" s="517"/>
      <c r="N30" s="519"/>
      <c r="O30" s="517"/>
      <c r="P30" s="519"/>
      <c r="Q30" s="517"/>
      <c r="R30" s="519"/>
      <c r="S30" s="517"/>
      <c r="T30" s="517"/>
      <c r="U30" s="517"/>
      <c r="V30" s="517"/>
      <c r="W30" s="517"/>
    </row>
    <row r="31" spans="1:24">
      <c r="A31" s="510" t="s">
        <v>550</v>
      </c>
      <c r="C31" s="519"/>
      <c r="D31" s="517"/>
      <c r="E31" s="517"/>
      <c r="F31" s="518"/>
      <c r="G31" s="517"/>
      <c r="H31" s="518"/>
      <c r="I31" s="517"/>
      <c r="J31" s="518"/>
      <c r="K31" s="517"/>
      <c r="L31" s="518"/>
      <c r="M31" s="517"/>
      <c r="N31" s="518"/>
      <c r="O31" s="517"/>
      <c r="P31" s="518"/>
      <c r="Q31" s="517"/>
      <c r="R31" s="518">
        <f>476468-29500</f>
        <v>446968</v>
      </c>
      <c r="S31" s="517"/>
      <c r="T31" s="518">
        <f>SUM(A31:P31)</f>
        <v>0</v>
      </c>
      <c r="U31" s="517"/>
      <c r="V31" s="531">
        <f>SUM(C31:T32)</f>
        <v>446968</v>
      </c>
      <c r="W31" s="517"/>
    </row>
    <row r="32" spans="1:24" ht="4.3499999999999996" customHeight="1">
      <c r="C32" s="518"/>
      <c r="D32" s="517"/>
      <c r="E32" s="517"/>
      <c r="F32" s="518"/>
      <c r="G32" s="517"/>
      <c r="H32" s="519"/>
      <c r="I32" s="517"/>
      <c r="J32" s="519"/>
      <c r="K32" s="517"/>
      <c r="L32" s="519"/>
      <c r="M32" s="517"/>
      <c r="N32" s="519"/>
      <c r="O32" s="517"/>
      <c r="P32" s="519"/>
      <c r="Q32" s="517"/>
      <c r="R32" s="519"/>
      <c r="S32" s="517"/>
      <c r="T32" s="517"/>
      <c r="U32" s="517"/>
      <c r="V32" s="517"/>
      <c r="W32" s="517"/>
    </row>
    <row r="33" spans="1:26" ht="27">
      <c r="A33" s="511" t="s">
        <v>551</v>
      </c>
      <c r="C33" s="519"/>
      <c r="D33" s="517"/>
      <c r="E33" s="517"/>
      <c r="F33" s="518">
        <v>-705015</v>
      </c>
      <c r="G33" s="517"/>
      <c r="H33" s="518"/>
      <c r="I33" s="517"/>
      <c r="J33" s="518"/>
      <c r="K33" s="517"/>
      <c r="L33" s="518"/>
      <c r="M33" s="517"/>
      <c r="N33" s="518"/>
      <c r="O33" s="517"/>
      <c r="P33" s="518"/>
      <c r="Q33" s="517"/>
      <c r="R33" s="518"/>
      <c r="S33" s="517"/>
      <c r="T33" s="518">
        <v>0</v>
      </c>
      <c r="U33" s="517"/>
      <c r="V33" s="531">
        <f>SUM(C33:T34)</f>
        <v>-705015</v>
      </c>
      <c r="W33" s="517"/>
    </row>
    <row r="34" spans="1:26" ht="4.3499999999999996" customHeight="1">
      <c r="C34" s="518"/>
      <c r="D34" s="517"/>
      <c r="E34" s="517"/>
      <c r="F34" s="518"/>
      <c r="G34" s="517"/>
      <c r="H34" s="519"/>
      <c r="I34" s="517"/>
      <c r="J34" s="519"/>
      <c r="K34" s="517"/>
      <c r="L34" s="519"/>
      <c r="M34" s="517"/>
      <c r="N34" s="519"/>
      <c r="O34" s="517"/>
      <c r="P34" s="519"/>
      <c r="Q34" s="517"/>
      <c r="R34" s="519"/>
      <c r="S34" s="517"/>
      <c r="T34" s="517"/>
      <c r="U34" s="517"/>
      <c r="V34" s="517"/>
      <c r="W34" s="517"/>
    </row>
    <row r="35" spans="1:26">
      <c r="A35" s="510" t="s">
        <v>548</v>
      </c>
      <c r="C35" s="518"/>
      <c r="D35" s="517"/>
      <c r="E35" s="517"/>
      <c r="F35" s="518"/>
      <c r="G35" s="517"/>
      <c r="H35" s="518"/>
      <c r="I35" s="517"/>
      <c r="J35" s="518"/>
      <c r="K35" s="517"/>
      <c r="L35" s="518">
        <v>1849659</v>
      </c>
      <c r="M35" s="517"/>
      <c r="N35" s="518"/>
      <c r="O35" s="517"/>
      <c r="P35" s="518"/>
      <c r="Q35" s="517"/>
      <c r="R35" s="518">
        <f>+'Planilla Final 2017'!R76-'Planilla Final 2017'!R70</f>
        <v>4597812.9952226235</v>
      </c>
      <c r="S35" s="517"/>
      <c r="T35" s="518">
        <f>+'Planilla Final 2017'!R77</f>
        <v>-560218.94522262446</v>
      </c>
      <c r="U35" s="517"/>
      <c r="V35" s="531">
        <f>SUM(C35:T36)</f>
        <v>5887253.0499999989</v>
      </c>
      <c r="W35" s="517"/>
    </row>
    <row r="36" spans="1:26" ht="4.3499999999999996" customHeight="1"/>
    <row r="37" spans="1:26">
      <c r="A37" s="510" t="s">
        <v>552</v>
      </c>
      <c r="C37" s="527">
        <f>SUM(C25:C35)</f>
        <v>30006697</v>
      </c>
      <c r="D37" s="525"/>
      <c r="E37" s="526">
        <f>SUM(E29:E35)</f>
        <v>0</v>
      </c>
      <c r="F37" s="527">
        <f>SUM(F25:F35)</f>
        <v>921</v>
      </c>
      <c r="G37" s="525"/>
      <c r="H37" s="527">
        <f>SUM(H25:H35)</f>
        <v>4662954</v>
      </c>
      <c r="I37" s="525"/>
      <c r="J37" s="527">
        <f>SUM(J25:J35)</f>
        <v>34797</v>
      </c>
      <c r="K37" s="525"/>
      <c r="L37" s="527">
        <f>SUM(L25:L35)</f>
        <v>1353857</v>
      </c>
      <c r="M37" s="525"/>
      <c r="N37" s="527">
        <f>SUM(N25:N35)</f>
        <v>227072</v>
      </c>
      <c r="O37" s="525"/>
      <c r="P37" s="527">
        <f>SUM(P25:P35)</f>
        <v>-3202431</v>
      </c>
      <c r="Q37" s="525"/>
      <c r="R37" s="526">
        <f>SUM(R25:R35)</f>
        <v>36640438.995222621</v>
      </c>
      <c r="S37" s="525"/>
      <c r="T37" s="526">
        <f>SUM(T25:T35)</f>
        <v>10601047.054777376</v>
      </c>
      <c r="U37" s="536"/>
      <c r="V37" s="526">
        <f>SUM(V25:V35)</f>
        <v>80325353.049999997</v>
      </c>
      <c r="W37" s="510"/>
    </row>
    <row r="38" spans="1:26" ht="4.9000000000000004" customHeight="1">
      <c r="C38" s="510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0"/>
      <c r="R38" s="510"/>
      <c r="S38" s="510"/>
      <c r="T38" s="510"/>
      <c r="U38" s="510"/>
      <c r="V38" s="510"/>
      <c r="W38" s="510"/>
    </row>
    <row r="39" spans="1:26" ht="18">
      <c r="A39" s="511" t="s">
        <v>677</v>
      </c>
      <c r="C39" s="763">
        <v>5035990</v>
      </c>
      <c r="D39" s="510"/>
      <c r="E39" s="510"/>
      <c r="F39" s="510"/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10"/>
      <c r="R39" s="531">
        <f>-C39</f>
        <v>-5035990</v>
      </c>
      <c r="S39" s="531"/>
      <c r="T39" s="531"/>
      <c r="U39" s="510"/>
      <c r="V39" s="531">
        <f>SUM(C39:T40)</f>
        <v>0</v>
      </c>
      <c r="W39" s="510"/>
    </row>
    <row r="40" spans="1:26" ht="4.9000000000000004" customHeight="1">
      <c r="C40" s="510"/>
      <c r="D40" s="510"/>
      <c r="E40" s="510"/>
      <c r="F40" s="510"/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0"/>
      <c r="R40" s="531"/>
      <c r="S40" s="531"/>
      <c r="T40" s="531"/>
      <c r="U40" s="510"/>
      <c r="V40" s="510"/>
      <c r="W40" s="510"/>
    </row>
    <row r="41" spans="1:26">
      <c r="A41" s="510" t="s">
        <v>542</v>
      </c>
      <c r="C41" s="510"/>
      <c r="D41" s="510"/>
      <c r="E41" s="510"/>
      <c r="F41" s="510"/>
      <c r="G41" s="510"/>
      <c r="H41" s="763">
        <v>559554.55999999959</v>
      </c>
      <c r="I41" s="510"/>
      <c r="J41" s="510"/>
      <c r="K41" s="510"/>
      <c r="L41" s="510"/>
      <c r="M41" s="510"/>
      <c r="N41" s="510"/>
      <c r="O41" s="510"/>
      <c r="P41" s="510"/>
      <c r="Q41" s="510"/>
      <c r="R41" s="763">
        <v>-559554.56000000006</v>
      </c>
      <c r="S41" s="531"/>
      <c r="T41" s="531"/>
      <c r="U41" s="510"/>
      <c r="V41" s="531">
        <f>SUM(C41:T42)</f>
        <v>0</v>
      </c>
      <c r="W41" s="510"/>
    </row>
    <row r="42" spans="1:26" ht="5.25" customHeight="1">
      <c r="C42" s="510"/>
      <c r="D42" s="510"/>
      <c r="E42" s="510"/>
      <c r="F42" s="510"/>
      <c r="G42" s="510"/>
      <c r="H42" s="510"/>
      <c r="I42" s="510"/>
      <c r="J42" s="510"/>
      <c r="K42" s="510"/>
      <c r="L42" s="510"/>
      <c r="M42" s="510"/>
      <c r="N42" s="510"/>
      <c r="O42" s="510"/>
      <c r="P42" s="510"/>
      <c r="Q42" s="510"/>
      <c r="R42" s="531"/>
      <c r="S42" s="531"/>
      <c r="T42" s="531"/>
      <c r="U42" s="510"/>
      <c r="V42" s="510"/>
      <c r="W42" s="510"/>
    </row>
    <row r="43" spans="1:26">
      <c r="A43" s="510" t="s">
        <v>550</v>
      </c>
      <c r="C43" s="510"/>
      <c r="D43" s="510"/>
      <c r="E43" s="510"/>
      <c r="F43" s="510"/>
      <c r="G43" s="510"/>
      <c r="H43" s="510"/>
      <c r="I43" s="510"/>
      <c r="J43" s="510"/>
      <c r="K43" s="510"/>
      <c r="L43" s="510"/>
      <c r="M43" s="510"/>
      <c r="N43" s="510"/>
      <c r="O43" s="510"/>
      <c r="P43" s="510"/>
      <c r="Q43" s="510"/>
      <c r="R43" s="531">
        <v>0</v>
      </c>
      <c r="S43" s="531"/>
      <c r="T43" s="531"/>
      <c r="U43" s="510"/>
      <c r="V43" s="531">
        <f>SUM(C43:T44)</f>
        <v>0</v>
      </c>
      <c r="W43" s="510"/>
    </row>
    <row r="44" spans="1:26" ht="5.25" customHeight="1">
      <c r="C44" s="510"/>
      <c r="D44" s="510"/>
      <c r="E44" s="510"/>
      <c r="F44" s="510"/>
      <c r="G44" s="510"/>
      <c r="H44" s="510"/>
      <c r="I44" s="510"/>
      <c r="J44" s="510"/>
      <c r="K44" s="510"/>
      <c r="L44" s="510"/>
      <c r="M44" s="510"/>
      <c r="N44" s="510"/>
      <c r="O44" s="510"/>
      <c r="P44" s="510"/>
      <c r="Q44" s="510"/>
      <c r="R44" s="531"/>
      <c r="S44" s="531"/>
      <c r="T44" s="531"/>
      <c r="U44" s="510"/>
      <c r="V44" s="510"/>
      <c r="W44" s="510"/>
    </row>
    <row r="45" spans="1:26">
      <c r="A45" s="510" t="s">
        <v>548</v>
      </c>
      <c r="C45" s="510"/>
      <c r="D45" s="510"/>
      <c r="E45" s="510"/>
      <c r="F45" s="510"/>
      <c r="G45" s="510"/>
      <c r="H45" s="510"/>
      <c r="I45" s="510"/>
      <c r="J45" s="510"/>
      <c r="K45" s="510"/>
      <c r="L45" s="763">
        <v>70086</v>
      </c>
      <c r="M45" s="510"/>
      <c r="N45" s="510"/>
      <c r="O45" s="510"/>
      <c r="P45" s="510"/>
      <c r="Q45" s="510"/>
      <c r="R45" s="531">
        <f>'ERI 2018-2017'!B35</f>
        <v>6292621.3569136029</v>
      </c>
      <c r="S45" s="531"/>
      <c r="T45" s="531">
        <f>'ERI 2018-2017'!B32</f>
        <v>-1021798.66691362</v>
      </c>
      <c r="U45" s="510"/>
      <c r="V45" s="531">
        <f>SUM(C45:T46)</f>
        <v>5340908.6899999827</v>
      </c>
      <c r="W45" s="510"/>
      <c r="Y45" s="1016" t="s">
        <v>783</v>
      </c>
      <c r="Z45" s="1015" t="s">
        <v>784</v>
      </c>
    </row>
    <row r="46" spans="1:26" ht="3.75" customHeight="1">
      <c r="C46" s="510"/>
      <c r="D46" s="510"/>
      <c r="E46" s="593"/>
      <c r="F46" s="510"/>
      <c r="G46" s="510"/>
      <c r="H46" s="510"/>
      <c r="I46" s="510"/>
      <c r="J46" s="510"/>
      <c r="K46" s="510"/>
      <c r="L46" s="510"/>
      <c r="M46" s="510"/>
      <c r="N46" s="510"/>
      <c r="O46" s="510"/>
      <c r="P46" s="510"/>
      <c r="Q46" s="510"/>
      <c r="R46" s="531"/>
      <c r="S46" s="531"/>
      <c r="T46" s="531"/>
      <c r="U46" s="510"/>
      <c r="V46" s="510"/>
      <c r="W46" s="510"/>
      <c r="Y46" s="1010"/>
      <c r="Z46" s="1011"/>
    </row>
    <row r="47" spans="1:26">
      <c r="A47" s="510" t="s">
        <v>684</v>
      </c>
      <c r="C47" s="763"/>
      <c r="D47" s="510"/>
      <c r="E47" s="510"/>
      <c r="F47" s="510"/>
      <c r="G47" s="510"/>
      <c r="H47" s="763">
        <v>51997.906960000197</v>
      </c>
      <c r="I47" s="510"/>
      <c r="J47" s="510"/>
      <c r="K47" s="510"/>
      <c r="L47" s="763">
        <v>-495266.49759400001</v>
      </c>
      <c r="M47" s="510"/>
      <c r="N47" s="763">
        <v>82224.75</v>
      </c>
      <c r="O47" s="510"/>
      <c r="P47" s="510"/>
      <c r="Q47" s="510"/>
      <c r="R47" s="531">
        <v>-3474464.9243792146</v>
      </c>
      <c r="S47" s="531"/>
      <c r="T47" s="531">
        <v>-1804079.2749867784</v>
      </c>
      <c r="U47" s="510"/>
      <c r="V47" s="531">
        <f>SUM(C47:T48)</f>
        <v>-5639588.0399999926</v>
      </c>
      <c r="W47" s="510"/>
      <c r="Y47" s="1012">
        <f>+V47</f>
        <v>-5639588.0399999926</v>
      </c>
      <c r="Z47" s="1011" t="s">
        <v>785</v>
      </c>
    </row>
    <row r="48" spans="1:26">
      <c r="C48" s="510"/>
      <c r="D48" s="510"/>
      <c r="E48" s="510"/>
      <c r="F48" s="510"/>
      <c r="G48" s="510"/>
      <c r="H48" s="510"/>
      <c r="I48" s="510"/>
      <c r="J48" s="510"/>
      <c r="K48" s="510"/>
      <c r="L48" s="510"/>
      <c r="M48" s="510"/>
      <c r="N48" s="510"/>
      <c r="O48" s="510"/>
      <c r="P48" s="510"/>
      <c r="Q48" s="510"/>
      <c r="R48" s="510"/>
      <c r="S48" s="510"/>
      <c r="T48" s="510"/>
      <c r="U48" s="510"/>
      <c r="V48" s="510"/>
      <c r="W48" s="510"/>
      <c r="Y48" s="1013">
        <v>1986316</v>
      </c>
      <c r="Z48" s="1011" t="s">
        <v>787</v>
      </c>
    </row>
    <row r="49" spans="1:26">
      <c r="C49" s="510"/>
      <c r="D49" s="510"/>
      <c r="E49" s="510"/>
      <c r="F49" s="510"/>
      <c r="G49" s="510"/>
      <c r="H49" s="510"/>
      <c r="I49" s="510"/>
      <c r="J49" s="510"/>
      <c r="K49" s="510"/>
      <c r="L49" s="510"/>
      <c r="M49" s="510"/>
      <c r="N49" s="510"/>
      <c r="O49" s="510"/>
      <c r="P49" s="510"/>
      <c r="Q49" s="510"/>
      <c r="R49" s="510"/>
      <c r="S49" s="510"/>
      <c r="T49" s="510"/>
      <c r="U49" s="510"/>
      <c r="V49" s="510"/>
      <c r="W49" s="510"/>
      <c r="Y49" s="1013">
        <v>1560840</v>
      </c>
      <c r="Z49" s="1011" t="s">
        <v>781</v>
      </c>
    </row>
    <row r="50" spans="1:26" ht="9.75" thickBot="1">
      <c r="A50" s="510" t="s">
        <v>554</v>
      </c>
      <c r="C50" s="532">
        <f>SUM(C37:C49)</f>
        <v>35042687</v>
      </c>
      <c r="E50" s="532">
        <f>SUM(E37:E49)</f>
        <v>0</v>
      </c>
      <c r="F50" s="532">
        <f>SUM(F37:F49)</f>
        <v>921</v>
      </c>
      <c r="H50" s="532">
        <f>SUM(H37:H49)</f>
        <v>5274506.4669599999</v>
      </c>
      <c r="J50" s="532">
        <f>SUM(J37:J49)</f>
        <v>34797</v>
      </c>
      <c r="L50" s="532">
        <f>SUM(L37:L49)</f>
        <v>928676.50240599993</v>
      </c>
      <c r="N50" s="532">
        <f>SUM(N37:N49)</f>
        <v>309296.75</v>
      </c>
      <c r="P50" s="532">
        <f>SUM(P37:P49)</f>
        <v>-3202431</v>
      </c>
      <c r="R50" s="532">
        <f>SUM(R37:R49)</f>
        <v>33863050.867757007</v>
      </c>
      <c r="T50" s="532">
        <f>SUM(T37:T49)</f>
        <v>7775169.1128769787</v>
      </c>
      <c r="U50" s="510"/>
      <c r="V50" s="532">
        <f>SUM(V37:V49)</f>
        <v>80026673.699999988</v>
      </c>
      <c r="X50" s="528">
        <f>'ESF 2018-2017'!I29-'ECP 2018-2017'!V50</f>
        <v>0</v>
      </c>
      <c r="Y50" s="1013">
        <v>-854455</v>
      </c>
      <c r="Z50" s="1011" t="s">
        <v>782</v>
      </c>
    </row>
    <row r="51" spans="1:26" ht="9.75" thickTop="1">
      <c r="Y51" s="1014">
        <f>SUM(Y47:Y50)</f>
        <v>-2946887.0399999926</v>
      </c>
      <c r="Z51" s="1015" t="s">
        <v>786</v>
      </c>
    </row>
    <row r="52" spans="1:26">
      <c r="C52" s="763">
        <v>35042687</v>
      </c>
      <c r="D52" s="763"/>
      <c r="E52" s="763"/>
      <c r="F52" s="763">
        <v>921</v>
      </c>
      <c r="G52" s="763"/>
      <c r="H52" s="763">
        <v>5274506.4669599999</v>
      </c>
      <c r="I52" s="763"/>
      <c r="J52" s="763">
        <v>34797</v>
      </c>
      <c r="K52" s="763"/>
      <c r="L52" s="763">
        <v>928676.50240600016</v>
      </c>
      <c r="M52" s="763"/>
      <c r="N52" s="763">
        <v>309296.75</v>
      </c>
      <c r="O52" s="763"/>
      <c r="P52" s="763">
        <v>-3202431</v>
      </c>
      <c r="Q52" s="763"/>
      <c r="R52" s="763">
        <v>33863050.867757007</v>
      </c>
      <c r="S52" s="763"/>
      <c r="T52" s="763">
        <v>7775169.1128769787</v>
      </c>
      <c r="U52" s="763"/>
      <c r="V52" s="763">
        <f>SUM(C52:T52)</f>
        <v>80026673.699999988</v>
      </c>
    </row>
    <row r="53" spans="1:26">
      <c r="C53" s="763">
        <f>C50-C52</f>
        <v>0</v>
      </c>
      <c r="D53" s="763"/>
      <c r="E53" s="763"/>
      <c r="F53" s="763">
        <f>F50-F52</f>
        <v>0</v>
      </c>
      <c r="G53" s="763"/>
      <c r="H53" s="763">
        <f>H50-H52</f>
        <v>0</v>
      </c>
      <c r="I53" s="763"/>
      <c r="J53" s="763">
        <f>J50-J52</f>
        <v>0</v>
      </c>
      <c r="K53" s="763"/>
      <c r="L53" s="763">
        <f>L50-L52</f>
        <v>0</v>
      </c>
      <c r="M53" s="763"/>
      <c r="N53" s="763">
        <f>N50-N52</f>
        <v>0</v>
      </c>
      <c r="O53" s="763"/>
      <c r="P53" s="763">
        <f>P50-P52</f>
        <v>0</v>
      </c>
      <c r="Q53" s="763"/>
      <c r="R53" s="763">
        <f>R52-R50</f>
        <v>0</v>
      </c>
      <c r="S53" s="763"/>
      <c r="T53" s="763">
        <f>T52-T50</f>
        <v>0</v>
      </c>
      <c r="U53" s="763"/>
      <c r="V53" s="763">
        <f>V52-V50</f>
        <v>0</v>
      </c>
    </row>
    <row r="55" spans="1:26">
      <c r="L55" s="528"/>
    </row>
  </sheetData>
  <mergeCells count="2">
    <mergeCell ref="N1:R1"/>
    <mergeCell ref="C2:C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499984740745262"/>
  </sheetPr>
  <dimension ref="A1:X65"/>
  <sheetViews>
    <sheetView showGridLines="0" zoomScale="120" zoomScaleNormal="120" workbookViewId="0">
      <pane ySplit="4" topLeftCell="A18" activePane="bottomLeft" state="frozen"/>
      <selection pane="bottomLeft" activeCell="A21" sqref="A21"/>
    </sheetView>
  </sheetViews>
  <sheetFormatPr defaultColWidth="11.42578125" defaultRowHeight="9" outlineLevelCol="1"/>
  <cols>
    <col min="1" max="1" width="48.85546875" style="360" bestFit="1" customWidth="1"/>
    <col min="2" max="2" width="10.42578125" style="360" bestFit="1" customWidth="1"/>
    <col min="3" max="3" width="10.140625" style="360" hidden="1" customWidth="1" outlineLevel="1"/>
    <col min="4" max="7" width="8.28515625" style="360" hidden="1" customWidth="1" outlineLevel="1"/>
    <col min="8" max="8" width="9.140625" style="360" hidden="1" customWidth="1" outlineLevel="1"/>
    <col min="9" max="13" width="8.28515625" style="360" hidden="1" customWidth="1" outlineLevel="1"/>
    <col min="14" max="14" width="10.42578125" style="360" bestFit="1" customWidth="1" collapsed="1"/>
    <col min="15" max="17" width="8.28515625" style="360" customWidth="1"/>
    <col min="18" max="18" width="1.7109375" style="360" customWidth="1"/>
    <col min="19" max="19" width="9.85546875" style="360" customWidth="1"/>
    <col min="20" max="20" width="1.7109375" style="360" customWidth="1"/>
    <col min="21" max="21" width="9.28515625" style="360" hidden="1" customWidth="1"/>
    <col min="22" max="22" width="1.7109375" style="360" customWidth="1"/>
    <col min="23" max="23" width="11.5703125" style="360" bestFit="1" customWidth="1"/>
    <col min="24" max="16384" width="11.42578125" style="360"/>
  </cols>
  <sheetData>
    <row r="1" spans="1:21">
      <c r="A1" s="362" t="s">
        <v>686</v>
      </c>
      <c r="B1" s="362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</row>
    <row r="2" spans="1:21">
      <c r="A2" s="362" t="s">
        <v>687</v>
      </c>
      <c r="B2" s="362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T2" s="359"/>
      <c r="U2" s="361">
        <v>2016</v>
      </c>
    </row>
    <row r="3" spans="1:21" ht="12.75" customHeight="1">
      <c r="A3" s="359"/>
      <c r="B3" s="359"/>
      <c r="C3" s="788" t="s">
        <v>688</v>
      </c>
      <c r="D3" s="788" t="s">
        <v>688</v>
      </c>
      <c r="E3" s="788" t="s">
        <v>688</v>
      </c>
      <c r="F3" s="789"/>
      <c r="G3" s="788" t="s">
        <v>688</v>
      </c>
      <c r="H3" s="788"/>
      <c r="I3" s="788"/>
      <c r="J3" s="788" t="s">
        <v>688</v>
      </c>
      <c r="K3" s="788" t="s">
        <v>688</v>
      </c>
      <c r="L3" s="788" t="s">
        <v>688</v>
      </c>
      <c r="M3" s="788" t="s">
        <v>688</v>
      </c>
      <c r="N3" s="788"/>
      <c r="O3" s="1007" t="s">
        <v>11</v>
      </c>
      <c r="P3" s="1007"/>
      <c r="Q3" s="790"/>
      <c r="R3" s="791"/>
      <c r="T3" s="359"/>
      <c r="U3" s="361"/>
    </row>
    <row r="4" spans="1:21" ht="41.25">
      <c r="B4" s="792" t="s">
        <v>555</v>
      </c>
      <c r="C4" s="792" t="s">
        <v>556</v>
      </c>
      <c r="D4" s="792" t="s">
        <v>557</v>
      </c>
      <c r="E4" s="792" t="s">
        <v>558</v>
      </c>
      <c r="F4" s="792" t="s">
        <v>559</v>
      </c>
      <c r="G4" s="792" t="s">
        <v>560</v>
      </c>
      <c r="H4" s="792" t="s">
        <v>561</v>
      </c>
      <c r="I4" s="792" t="s">
        <v>562</v>
      </c>
      <c r="J4" s="792" t="s">
        <v>563</v>
      </c>
      <c r="K4" s="792" t="s">
        <v>564</v>
      </c>
      <c r="L4" s="792" t="s">
        <v>565</v>
      </c>
      <c r="M4" s="792" t="s">
        <v>566</v>
      </c>
      <c r="N4" s="792" t="s">
        <v>15</v>
      </c>
      <c r="O4" s="792" t="s">
        <v>689</v>
      </c>
      <c r="P4" s="792" t="s">
        <v>690</v>
      </c>
      <c r="Q4" s="793">
        <v>2018</v>
      </c>
      <c r="R4" s="794"/>
      <c r="S4" s="795">
        <v>2017</v>
      </c>
      <c r="T4" s="359"/>
      <c r="U4" s="359"/>
    </row>
    <row r="5" spans="1:21" s="801" customFormat="1">
      <c r="A5" s="362" t="s">
        <v>439</v>
      </c>
      <c r="B5" s="796"/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7"/>
      <c r="R5" s="798"/>
      <c r="S5" s="799"/>
      <c r="T5" s="800"/>
      <c r="U5" s="800"/>
    </row>
    <row r="6" spans="1:21">
      <c r="A6" s="362" t="s">
        <v>440</v>
      </c>
      <c r="B6" s="824">
        <f>'Planilla Final 2018'!B65+'Planilla Final 2018'!B67</f>
        <v>13627931.449999988</v>
      </c>
      <c r="C6" s="802"/>
      <c r="D6" s="802"/>
      <c r="E6" s="802"/>
      <c r="F6" s="802"/>
      <c r="G6" s="802"/>
      <c r="H6" s="802"/>
      <c r="I6" s="802"/>
      <c r="J6" s="802"/>
      <c r="K6" s="802"/>
      <c r="L6" s="802"/>
      <c r="M6" s="802"/>
      <c r="N6" s="802"/>
      <c r="O6" s="802"/>
      <c r="P6" s="802"/>
      <c r="Q6" s="803">
        <f>+'[2]ERI 2018-2017'!B16+'[2]ERI 2018-2017'!B18</f>
        <v>12029436.569999961</v>
      </c>
      <c r="R6" s="560"/>
      <c r="S6" s="574">
        <f>+'[2]ERI 2018-2017'!D16+'[2]ERI 2018-2017'!D18</f>
        <v>7513500.0499999858</v>
      </c>
      <c r="T6" s="561"/>
      <c r="U6" s="559">
        <f>+'[2]ERI 2018-2017'!F16+'[2]ERI 2018-2017'!F18</f>
        <v>11332586</v>
      </c>
    </row>
    <row r="7" spans="1:21">
      <c r="A7" s="363" t="s">
        <v>441</v>
      </c>
      <c r="B7" s="825"/>
      <c r="C7" s="804"/>
      <c r="D7" s="804"/>
      <c r="E7" s="804"/>
      <c r="F7" s="804"/>
      <c r="G7" s="804"/>
      <c r="H7" s="804"/>
      <c r="I7" s="804"/>
      <c r="J7" s="804"/>
      <c r="K7" s="804"/>
      <c r="L7" s="804"/>
      <c r="M7" s="804"/>
      <c r="N7" s="804"/>
      <c r="O7" s="804"/>
      <c r="P7" s="804"/>
      <c r="Q7" s="805"/>
      <c r="R7" s="562"/>
      <c r="S7" s="574"/>
      <c r="T7" s="563"/>
      <c r="U7" s="559"/>
    </row>
    <row r="8" spans="1:21">
      <c r="A8" s="364" t="s">
        <v>442</v>
      </c>
      <c r="B8" s="824">
        <v>23826</v>
      </c>
      <c r="C8" s="807"/>
      <c r="D8" s="807"/>
      <c r="E8" s="807"/>
      <c r="F8" s="807"/>
      <c r="G8" s="807"/>
      <c r="H8" s="807"/>
      <c r="I8" s="807"/>
      <c r="J8" s="807"/>
      <c r="K8" s="807"/>
      <c r="L8" s="807"/>
      <c r="M8" s="807"/>
      <c r="N8" s="806">
        <f>SUM(B8:M8)</f>
        <v>23826</v>
      </c>
      <c r="O8" s="807"/>
      <c r="P8" s="807"/>
      <c r="Q8" s="805"/>
      <c r="R8" s="562"/>
      <c r="S8" s="574">
        <v>200000</v>
      </c>
      <c r="T8" s="563"/>
      <c r="U8" s="559">
        <v>1319177</v>
      </c>
    </row>
    <row r="9" spans="1:21">
      <c r="A9" s="364" t="s">
        <v>443</v>
      </c>
      <c r="B9" s="824">
        <v>2607519</v>
      </c>
      <c r="C9" s="807"/>
      <c r="D9" s="807"/>
      <c r="E9" s="807"/>
      <c r="F9" s="807"/>
      <c r="G9" s="807"/>
      <c r="H9" s="807"/>
      <c r="I9" s="807"/>
      <c r="J9" s="807"/>
      <c r="K9" s="807"/>
      <c r="L9" s="807"/>
      <c r="M9" s="807"/>
      <c r="N9" s="806">
        <f t="shared" ref="N9:N39" si="0">SUM(B9:M9)</f>
        <v>2607519</v>
      </c>
      <c r="O9" s="807"/>
      <c r="P9" s="807"/>
      <c r="Q9" s="805"/>
      <c r="R9" s="562"/>
      <c r="S9" s="574">
        <v>2268000</v>
      </c>
      <c r="T9" s="563"/>
      <c r="U9" s="559">
        <v>812940</v>
      </c>
    </row>
    <row r="10" spans="1:21">
      <c r="A10" s="364" t="s">
        <v>444</v>
      </c>
      <c r="B10" s="824">
        <v>19329207</v>
      </c>
      <c r="C10" s="808">
        <v>1758796</v>
      </c>
      <c r="D10" s="808">
        <f>199804.76+2162.16</f>
        <v>201966.92</v>
      </c>
      <c r="E10" s="807"/>
      <c r="F10" s="807"/>
      <c r="G10" s="808">
        <v>13474</v>
      </c>
      <c r="H10" s="807"/>
      <c r="I10" s="807"/>
      <c r="J10" s="808">
        <v>201038</v>
      </c>
      <c r="K10" s="808">
        <v>132905.13</v>
      </c>
      <c r="L10" s="808">
        <v>60613.75</v>
      </c>
      <c r="M10" s="807"/>
      <c r="N10" s="806">
        <f t="shared" si="0"/>
        <v>21698000.800000001</v>
      </c>
      <c r="O10" s="807"/>
      <c r="P10" s="807"/>
      <c r="Q10" s="805"/>
      <c r="R10" s="562"/>
      <c r="S10" s="574">
        <v>17782846</v>
      </c>
      <c r="T10" s="563"/>
      <c r="U10" s="559">
        <v>17607176</v>
      </c>
    </row>
    <row r="11" spans="1:21">
      <c r="A11" s="364" t="s">
        <v>445</v>
      </c>
      <c r="B11" s="824">
        <v>37744</v>
      </c>
      <c r="C11" s="807"/>
      <c r="D11" s="807"/>
      <c r="E11" s="807"/>
      <c r="F11" s="807"/>
      <c r="G11" s="807"/>
      <c r="H11" s="807"/>
      <c r="I11" s="807"/>
      <c r="J11" s="807"/>
      <c r="K11" s="807"/>
      <c r="L11" s="807"/>
      <c r="M11" s="807"/>
      <c r="N11" s="806">
        <f t="shared" si="0"/>
        <v>37744</v>
      </c>
      <c r="O11" s="807"/>
      <c r="P11" s="807"/>
      <c r="Q11" s="805"/>
      <c r="R11" s="562"/>
      <c r="S11" s="574">
        <v>39210</v>
      </c>
      <c r="T11" s="563"/>
      <c r="U11" s="559">
        <v>39210</v>
      </c>
    </row>
    <row r="12" spans="1:21">
      <c r="A12" s="364" t="s">
        <v>446</v>
      </c>
      <c r="B12" s="824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7"/>
      <c r="N12" s="806">
        <f t="shared" si="0"/>
        <v>0</v>
      </c>
      <c r="O12" s="807"/>
      <c r="P12" s="807"/>
      <c r="Q12" s="805"/>
      <c r="R12" s="562"/>
      <c r="S12" s="574">
        <v>0</v>
      </c>
      <c r="T12" s="563"/>
      <c r="U12" s="559">
        <v>169491</v>
      </c>
    </row>
    <row r="13" spans="1:21">
      <c r="A13" s="364" t="s">
        <v>447</v>
      </c>
      <c r="B13" s="824">
        <v>2230401</v>
      </c>
      <c r="C13" s="807"/>
      <c r="D13" s="807"/>
      <c r="E13" s="807"/>
      <c r="F13" s="807"/>
      <c r="G13" s="807"/>
      <c r="H13" s="807"/>
      <c r="I13" s="807"/>
      <c r="J13" s="807"/>
      <c r="K13" s="807"/>
      <c r="L13" s="808">
        <v>39323.760000000002</v>
      </c>
      <c r="M13" s="807"/>
      <c r="N13" s="806">
        <f t="shared" si="0"/>
        <v>2269724.7599999998</v>
      </c>
      <c r="O13" s="807"/>
      <c r="P13" s="807"/>
      <c r="Q13" s="805"/>
      <c r="R13" s="562"/>
      <c r="S13" s="574">
        <v>2038777</v>
      </c>
      <c r="T13" s="563"/>
      <c r="U13" s="559">
        <v>2759959</v>
      </c>
    </row>
    <row r="14" spans="1:21">
      <c r="A14" s="833" t="s">
        <v>691</v>
      </c>
      <c r="B14" s="834">
        <v>366832</v>
      </c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7"/>
      <c r="N14" s="806">
        <f t="shared" si="0"/>
        <v>366832</v>
      </c>
      <c r="O14" s="807"/>
      <c r="P14" s="807"/>
      <c r="Q14" s="805"/>
      <c r="R14" s="562"/>
      <c r="S14" s="574">
        <v>-42502</v>
      </c>
      <c r="T14" s="563"/>
      <c r="U14" s="559">
        <v>266232</v>
      </c>
    </row>
    <row r="15" spans="1:21">
      <c r="A15" s="364" t="s">
        <v>448</v>
      </c>
      <c r="B15" s="824">
        <f>-'Planilla Final 2018'!B67</f>
        <v>2404929</v>
      </c>
      <c r="C15" s="807"/>
      <c r="D15" s="808">
        <v>12685.82</v>
      </c>
      <c r="E15" s="807"/>
      <c r="F15" s="807"/>
      <c r="G15" s="807"/>
      <c r="H15" s="807"/>
      <c r="I15" s="807"/>
      <c r="J15" s="807"/>
      <c r="K15" s="807"/>
      <c r="L15" s="807"/>
      <c r="M15" s="807"/>
      <c r="N15" s="806">
        <f t="shared" si="0"/>
        <v>2417614.8199999998</v>
      </c>
      <c r="O15" s="807"/>
      <c r="P15" s="807"/>
      <c r="Q15" s="803">
        <f>-'[2]ERI 2018-2017'!B18</f>
        <v>2444549</v>
      </c>
      <c r="R15" s="562"/>
      <c r="S15" s="574">
        <f>-'[2]ERI 2018-2017'!D18</f>
        <v>1591304</v>
      </c>
      <c r="T15" s="563"/>
      <c r="U15" s="559">
        <v>1759101</v>
      </c>
    </row>
    <row r="16" spans="1:21">
      <c r="A16" s="364" t="s">
        <v>449</v>
      </c>
      <c r="B16" s="824">
        <v>1293142</v>
      </c>
      <c r="C16" s="807"/>
      <c r="D16" s="807"/>
      <c r="E16" s="807"/>
      <c r="F16" s="807"/>
      <c r="G16" s="807"/>
      <c r="H16" s="807"/>
      <c r="I16" s="807"/>
      <c r="J16" s="807"/>
      <c r="K16" s="808">
        <v>1206</v>
      </c>
      <c r="L16" s="808">
        <v>4996.6899999999996</v>
      </c>
      <c r="M16" s="807"/>
      <c r="N16" s="806">
        <f t="shared" si="0"/>
        <v>1299344.69</v>
      </c>
      <c r="O16" s="807"/>
      <c r="P16" s="807"/>
      <c r="Q16" s="805"/>
      <c r="R16" s="562"/>
      <c r="S16" s="574">
        <v>1546045</v>
      </c>
      <c r="T16" s="563"/>
      <c r="U16" s="559">
        <v>1249002</v>
      </c>
    </row>
    <row r="17" spans="1:22">
      <c r="A17" s="364" t="s">
        <v>450</v>
      </c>
      <c r="B17" s="824">
        <v>7559526</v>
      </c>
      <c r="C17" s="807"/>
      <c r="D17" s="807"/>
      <c r="E17" s="807"/>
      <c r="F17" s="807"/>
      <c r="G17" s="807"/>
      <c r="H17" s="807"/>
      <c r="I17" s="807"/>
      <c r="J17" s="807"/>
      <c r="K17" s="807"/>
      <c r="L17" s="807"/>
      <c r="M17" s="807"/>
      <c r="N17" s="806">
        <f t="shared" si="0"/>
        <v>7559526</v>
      </c>
      <c r="O17" s="807"/>
      <c r="P17" s="807"/>
      <c r="Q17" s="805">
        <f>+'[2]ESF 2018-2017'!K14+'[2]ESF 2018-2017'!K24</f>
        <v>-24996259</v>
      </c>
      <c r="R17" s="562"/>
      <c r="S17" s="574">
        <f>+'[2]ESF 2018-2017'!M14+'[2]ESF 2018-2017'!M24</f>
        <v>3074772</v>
      </c>
      <c r="T17" s="563"/>
      <c r="U17" s="559">
        <v>5177025</v>
      </c>
    </row>
    <row r="18" spans="1:22">
      <c r="A18" s="364" t="s">
        <v>451</v>
      </c>
      <c r="B18" s="824">
        <v>251108</v>
      </c>
      <c r="C18" s="807"/>
      <c r="D18" s="807"/>
      <c r="E18" s="807"/>
      <c r="F18" s="807"/>
      <c r="G18" s="807"/>
      <c r="H18" s="807"/>
      <c r="I18" s="807"/>
      <c r="J18" s="807"/>
      <c r="K18" s="807"/>
      <c r="L18" s="807"/>
      <c r="M18" s="807"/>
      <c r="N18" s="806">
        <f t="shared" si="0"/>
        <v>251108</v>
      </c>
      <c r="O18" s="807"/>
      <c r="P18" s="807"/>
      <c r="Q18" s="805"/>
      <c r="R18" s="562"/>
      <c r="S18" s="575">
        <v>446968</v>
      </c>
      <c r="T18" s="563"/>
      <c r="U18" s="564">
        <v>0</v>
      </c>
    </row>
    <row r="19" spans="1:22">
      <c r="A19" s="364" t="s">
        <v>692</v>
      </c>
      <c r="B19" s="824">
        <v>-261500</v>
      </c>
      <c r="C19" s="807"/>
      <c r="D19" s="807"/>
      <c r="E19" s="807"/>
      <c r="F19" s="807"/>
      <c r="G19" s="807"/>
      <c r="H19" s="807"/>
      <c r="I19" s="807"/>
      <c r="J19" s="807"/>
      <c r="K19" s="807"/>
      <c r="L19" s="807"/>
      <c r="M19" s="807"/>
      <c r="N19" s="806">
        <f t="shared" si="0"/>
        <v>-261500</v>
      </c>
      <c r="O19" s="807"/>
      <c r="P19" s="807"/>
      <c r="Q19" s="805"/>
      <c r="R19" s="562"/>
      <c r="S19" s="574">
        <f>+SUM(S6:S18)</f>
        <v>36458920.049999982</v>
      </c>
      <c r="T19" s="563"/>
      <c r="U19" s="559">
        <f>+SUM(U6:U18)</f>
        <v>42491899</v>
      </c>
    </row>
    <row r="20" spans="1:22">
      <c r="A20" s="363" t="s">
        <v>452</v>
      </c>
      <c r="B20" s="825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6"/>
      <c r="O20" s="804"/>
      <c r="P20" s="804"/>
      <c r="Q20" s="805"/>
      <c r="R20" s="562"/>
      <c r="S20" s="574"/>
      <c r="T20" s="563"/>
      <c r="U20" s="559"/>
    </row>
    <row r="21" spans="1:22">
      <c r="A21" s="364" t="s">
        <v>67</v>
      </c>
      <c r="B21" s="824">
        <f>-'ESF 2018-2017'!D8</f>
        <v>6318018.660000002</v>
      </c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6">
        <f t="shared" si="0"/>
        <v>6318018.660000002</v>
      </c>
      <c r="O21" s="807"/>
      <c r="P21" s="807"/>
      <c r="Q21" s="805">
        <f>+'[2]ESF 2018-2017'!D8-'EFE Subs 2018-2017'!Q8</f>
        <v>-6275838.8000000026</v>
      </c>
      <c r="R21" s="562"/>
      <c r="S21" s="574">
        <f>+'[2]ESF 2018-2017'!F8-'EFE Subs 2018-2017'!S8</f>
        <v>900909</v>
      </c>
      <c r="T21" s="563"/>
      <c r="U21" s="559">
        <v>2909073</v>
      </c>
    </row>
    <row r="22" spans="1:22">
      <c r="A22" s="364" t="s">
        <v>338</v>
      </c>
      <c r="B22" s="824">
        <f>-'ESF 2018-2017'!D9</f>
        <v>-5313977.3100000024</v>
      </c>
      <c r="C22" s="807"/>
      <c r="D22" s="807"/>
      <c r="E22" s="807"/>
      <c r="F22" s="807"/>
      <c r="G22" s="807"/>
      <c r="H22" s="807"/>
      <c r="I22" s="807"/>
      <c r="J22" s="807"/>
      <c r="K22" s="807"/>
      <c r="L22" s="807"/>
      <c r="M22" s="807"/>
      <c r="N22" s="806">
        <f t="shared" si="0"/>
        <v>-5313977.3100000024</v>
      </c>
      <c r="O22" s="807"/>
      <c r="P22" s="807"/>
      <c r="Q22" s="805">
        <f>+'[2]ESF 2018-2017'!D9</f>
        <v>638449.0700000003</v>
      </c>
      <c r="R22" s="562"/>
      <c r="S22" s="574">
        <f>+'[2]ESF 2018-2017'!F9</f>
        <v>11254398</v>
      </c>
      <c r="T22" s="563"/>
      <c r="U22" s="559">
        <v>-10190618</v>
      </c>
    </row>
    <row r="23" spans="1:22">
      <c r="A23" s="364" t="s">
        <v>68</v>
      </c>
      <c r="B23" s="824">
        <f>-'ESF 2018-2017'!D17-'ESF 2018-2017'!D11</f>
        <v>-2163958.0900000012</v>
      </c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6">
        <f t="shared" si="0"/>
        <v>-2163958.0900000012</v>
      </c>
      <c r="O23" s="807"/>
      <c r="P23" s="807"/>
      <c r="Q23" s="805">
        <f>+'[2]ESF 2018-2017'!D17+'[2]ESF 2018-2017'!D11-'EFE Subs 2018-2017'!S9</f>
        <v>16680295.32</v>
      </c>
      <c r="R23" s="562"/>
      <c r="S23" s="574">
        <f>+'[2]ESF 2018-2017'!F17+'[2]ESF 2018-2017'!F11-'EFE Subs 2018-2017'!U9</f>
        <v>2356808</v>
      </c>
      <c r="T23" s="563"/>
      <c r="U23" s="559">
        <v>3571662</v>
      </c>
    </row>
    <row r="24" spans="1:22">
      <c r="A24" s="364" t="s">
        <v>69</v>
      </c>
      <c r="B24" s="824">
        <f>-'ESF 2018-2017'!D10</f>
        <v>365080.16999999993</v>
      </c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6">
        <f t="shared" si="0"/>
        <v>365080.16999999993</v>
      </c>
      <c r="O24" s="807"/>
      <c r="P24" s="807"/>
      <c r="Q24" s="805">
        <f>+'[2]ESF 2018-2017'!D10</f>
        <v>-365080.16999999993</v>
      </c>
      <c r="R24" s="562"/>
      <c r="S24" s="574">
        <f>+'[2]ESF 2018-2017'!F10</f>
        <v>-685042</v>
      </c>
      <c r="T24" s="563"/>
      <c r="U24" s="559">
        <v>53985</v>
      </c>
    </row>
    <row r="25" spans="1:22">
      <c r="A25" s="364" t="s">
        <v>70</v>
      </c>
      <c r="B25" s="824">
        <f>-'ESF 2018-2017'!D12</f>
        <v>122526.69</v>
      </c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6">
        <f t="shared" si="0"/>
        <v>122526.69</v>
      </c>
      <c r="O25" s="807"/>
      <c r="P25" s="807"/>
      <c r="Q25" s="805">
        <f>+'[2]ESF 2018-2017'!D12</f>
        <v>-84058.080000000075</v>
      </c>
      <c r="R25" s="562"/>
      <c r="S25" s="574">
        <f>+'[2]ESF 2018-2017'!F12</f>
        <v>-1728719</v>
      </c>
      <c r="T25" s="563"/>
      <c r="U25" s="559">
        <v>-230586</v>
      </c>
    </row>
    <row r="26" spans="1:22">
      <c r="A26" s="364" t="s">
        <v>6</v>
      </c>
      <c r="B26" s="824">
        <f>-'ESF 2018-2017'!D13</f>
        <v>-9528589.1000000015</v>
      </c>
      <c r="C26" s="807"/>
      <c r="D26" s="807"/>
      <c r="E26" s="807"/>
      <c r="F26" s="807"/>
      <c r="G26" s="807"/>
      <c r="H26" s="807"/>
      <c r="I26" s="807"/>
      <c r="J26" s="807"/>
      <c r="K26" s="807"/>
      <c r="L26" s="807"/>
      <c r="M26" s="807"/>
      <c r="N26" s="806">
        <f t="shared" si="0"/>
        <v>-9528589.1000000015</v>
      </c>
      <c r="O26" s="807"/>
      <c r="P26" s="807"/>
      <c r="Q26" s="805">
        <f>+'[2]ESF 2018-2017'!D13</f>
        <v>9528589.1000000015</v>
      </c>
      <c r="R26" s="562"/>
      <c r="S26" s="574">
        <f>+'[2]ESF 2018-2017'!F13</f>
        <v>-4055589</v>
      </c>
      <c r="T26" s="563"/>
      <c r="U26" s="559">
        <v>653652</v>
      </c>
    </row>
    <row r="27" spans="1:22">
      <c r="A27" s="364" t="s">
        <v>71</v>
      </c>
      <c r="B27" s="824">
        <v>0</v>
      </c>
      <c r="C27" s="807"/>
      <c r="D27" s="807"/>
      <c r="E27" s="807"/>
      <c r="F27" s="807"/>
      <c r="G27" s="807"/>
      <c r="H27" s="807"/>
      <c r="I27" s="807"/>
      <c r="J27" s="807"/>
      <c r="K27" s="807"/>
      <c r="L27" s="807"/>
      <c r="M27" s="807"/>
      <c r="N27" s="806">
        <f t="shared" si="0"/>
        <v>0</v>
      </c>
      <c r="O27" s="807"/>
      <c r="P27" s="807"/>
      <c r="Q27" s="805"/>
      <c r="R27" s="562"/>
      <c r="S27" s="574">
        <v>0</v>
      </c>
      <c r="T27" s="563"/>
      <c r="U27" s="559">
        <v>-4040714</v>
      </c>
    </row>
    <row r="28" spans="1:22">
      <c r="A28" s="364" t="s">
        <v>77</v>
      </c>
      <c r="B28" s="824">
        <v>0</v>
      </c>
      <c r="C28" s="807"/>
      <c r="D28" s="807"/>
      <c r="E28" s="807"/>
      <c r="F28" s="807"/>
      <c r="G28" s="807"/>
      <c r="H28" s="807"/>
      <c r="I28" s="807"/>
      <c r="J28" s="807"/>
      <c r="K28" s="807"/>
      <c r="L28" s="807"/>
      <c r="M28" s="807"/>
      <c r="N28" s="806">
        <f t="shared" si="0"/>
        <v>0</v>
      </c>
      <c r="O28" s="807"/>
      <c r="P28" s="807"/>
      <c r="Q28" s="805">
        <f>+'[2]ESF 2018-2017'!D23</f>
        <v>9177544.8599999994</v>
      </c>
      <c r="R28" s="562"/>
      <c r="S28" s="574">
        <f>+'[2]ESF 2018-2017'!F23</f>
        <v>1190535</v>
      </c>
      <c r="T28" s="563"/>
      <c r="U28" s="559">
        <v>-114</v>
      </c>
    </row>
    <row r="29" spans="1:22">
      <c r="A29" s="364" t="s">
        <v>79</v>
      </c>
      <c r="B29" s="824">
        <f>'ESF 2018-2017'!K8</f>
        <v>-3322935.7699999996</v>
      </c>
      <c r="C29" s="807"/>
      <c r="D29" s="807"/>
      <c r="E29" s="807"/>
      <c r="F29" s="807"/>
      <c r="G29" s="807"/>
      <c r="H29" s="807"/>
      <c r="I29" s="807"/>
      <c r="J29" s="807"/>
      <c r="K29" s="807"/>
      <c r="L29" s="807"/>
      <c r="M29" s="807"/>
      <c r="N29" s="806">
        <f t="shared" si="0"/>
        <v>-3322935.7699999996</v>
      </c>
      <c r="O29" s="807"/>
      <c r="P29" s="807"/>
      <c r="Q29" s="805">
        <f>+'[2]ESF 2018-2017'!K8+'[2]ESF 2018-2017'!K20</f>
        <v>-3523899.379999999</v>
      </c>
      <c r="R29" s="562"/>
      <c r="S29" s="574">
        <f>+'[2]ESF 2018-2017'!M8+'[2]ESF 2018-2017'!M20</f>
        <v>-1598876</v>
      </c>
      <c r="T29" s="563"/>
      <c r="U29" s="559">
        <v>-436112</v>
      </c>
    </row>
    <row r="30" spans="1:22">
      <c r="A30" s="364" t="s">
        <v>349</v>
      </c>
      <c r="B30" s="824">
        <f>'ESF 2018-2017'!K9</f>
        <v>4184360.37</v>
      </c>
      <c r="C30" s="807"/>
      <c r="D30" s="807"/>
      <c r="E30" s="807"/>
      <c r="F30" s="807"/>
      <c r="G30" s="807"/>
      <c r="H30" s="807"/>
      <c r="I30" s="807"/>
      <c r="J30" s="807"/>
      <c r="K30" s="807"/>
      <c r="L30" s="807"/>
      <c r="M30" s="807"/>
      <c r="N30" s="806">
        <f t="shared" si="0"/>
        <v>4184360.37</v>
      </c>
      <c r="O30" s="807"/>
      <c r="P30" s="807"/>
      <c r="Q30" s="805">
        <f>+'[2]ESF 2018-2017'!K9+'[2]ESF 2018-2017'!K21</f>
        <v>12716773.539999999</v>
      </c>
      <c r="R30" s="562"/>
      <c r="S30" s="574">
        <f>+'[2]ESF 2018-2017'!M9+'[2]ESF 2018-2017'!M21-705016</f>
        <v>946225</v>
      </c>
      <c r="T30" s="563"/>
      <c r="U30" s="559">
        <v>-4197057</v>
      </c>
    </row>
    <row r="31" spans="1:22">
      <c r="A31" s="364" t="s">
        <v>453</v>
      </c>
      <c r="B31" s="824">
        <f>'ESF 2018-2017'!K10</f>
        <v>2507919.41</v>
      </c>
      <c r="C31" s="807"/>
      <c r="D31" s="807"/>
      <c r="E31" s="807"/>
      <c r="F31" s="807"/>
      <c r="G31" s="807"/>
      <c r="H31" s="807"/>
      <c r="I31" s="807"/>
      <c r="J31" s="807"/>
      <c r="K31" s="807"/>
      <c r="L31" s="807"/>
      <c r="M31" s="807"/>
      <c r="N31" s="806">
        <f t="shared" si="0"/>
        <v>2507919.41</v>
      </c>
      <c r="O31" s="807"/>
      <c r="P31" s="807"/>
      <c r="Q31" s="805">
        <f>+'[2]ESF 2018-2017'!K10</f>
        <v>2522549.16</v>
      </c>
      <c r="R31" s="562"/>
      <c r="S31" s="574">
        <f>+'[2]ESF 2018-2017'!M10</f>
        <v>130512</v>
      </c>
      <c r="T31" s="563"/>
      <c r="U31" s="559">
        <f>1627958+392</f>
        <v>1628350</v>
      </c>
    </row>
    <row r="32" spans="1:22">
      <c r="A32" s="364" t="s">
        <v>80</v>
      </c>
      <c r="B32" s="824">
        <f>'ESF 2018-2017'!K11</f>
        <v>-1334209.2999999998</v>
      </c>
      <c r="C32" s="807"/>
      <c r="D32" s="807"/>
      <c r="E32" s="807"/>
      <c r="F32" s="807"/>
      <c r="G32" s="807"/>
      <c r="H32" s="807"/>
      <c r="I32" s="807"/>
      <c r="J32" s="807"/>
      <c r="K32" s="807"/>
      <c r="L32" s="807"/>
      <c r="M32" s="807"/>
      <c r="N32" s="806">
        <f t="shared" si="0"/>
        <v>-1334209.2999999998</v>
      </c>
      <c r="O32" s="807"/>
      <c r="P32" s="807"/>
      <c r="Q32" s="805">
        <f>+'[2]ESF 2018-2017'!K11+'[2]ESF 2018-2017'!K22</f>
        <v>13474864.389999999</v>
      </c>
      <c r="R32" s="562"/>
      <c r="S32" s="574">
        <f>+'[2]ESF 2018-2017'!M11+'[2]ESF 2018-2017'!M22</f>
        <v>-509500</v>
      </c>
      <c r="T32" s="563"/>
      <c r="U32" s="559">
        <v>2623083</v>
      </c>
      <c r="V32" s="359"/>
    </row>
    <row r="33" spans="1:24">
      <c r="A33" s="364" t="s">
        <v>81</v>
      </c>
      <c r="B33" s="824">
        <f>'ESF 2018-2017'!K12</f>
        <v>7714411.5299999993</v>
      </c>
      <c r="C33" s="807"/>
      <c r="D33" s="807"/>
      <c r="E33" s="807"/>
      <c r="F33" s="807"/>
      <c r="G33" s="807"/>
      <c r="H33" s="807"/>
      <c r="I33" s="807"/>
      <c r="J33" s="807"/>
      <c r="K33" s="807"/>
      <c r="L33" s="807"/>
      <c r="M33" s="807"/>
      <c r="N33" s="806">
        <f t="shared" si="0"/>
        <v>7714411.5299999993</v>
      </c>
      <c r="O33" s="807"/>
      <c r="P33" s="807"/>
      <c r="Q33" s="805">
        <f>+'[2]ESF 2018-2017'!K12</f>
        <v>25845514.140000001</v>
      </c>
      <c r="R33" s="562"/>
      <c r="S33" s="574">
        <f>+'[2]ESF 2018-2017'!M12</f>
        <v>-2404770</v>
      </c>
      <c r="T33" s="563"/>
      <c r="U33" s="559">
        <v>-5964702</v>
      </c>
      <c r="V33" s="359"/>
    </row>
    <row r="34" spans="1:24">
      <c r="A34" s="364" t="s">
        <v>82</v>
      </c>
      <c r="B34" s="824">
        <f>'ESF 2018-2017'!K13</f>
        <v>1650690.04</v>
      </c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6">
        <f t="shared" si="0"/>
        <v>1650690.04</v>
      </c>
      <c r="O34" s="807"/>
      <c r="P34" s="807"/>
      <c r="Q34" s="805">
        <f>+'[2]ESF 2018-2017'!K13</f>
        <v>1777900.6600000001</v>
      </c>
      <c r="R34" s="562"/>
      <c r="S34" s="574">
        <f>+'[2]ESF 2018-2017'!M13-199556+167797</f>
        <v>152364</v>
      </c>
      <c r="T34" s="563"/>
      <c r="U34" s="559">
        <v>707123</v>
      </c>
      <c r="V34" s="359"/>
    </row>
    <row r="35" spans="1:24">
      <c r="A35" s="364" t="s">
        <v>87</v>
      </c>
      <c r="B35" s="824">
        <f>'ESF 2018-2017'!K25</f>
        <v>-992443</v>
      </c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6">
        <f t="shared" si="0"/>
        <v>-992443</v>
      </c>
      <c r="O35" s="807"/>
      <c r="P35" s="807"/>
      <c r="Q35" s="805">
        <f>+'[2]ESF 2018-2017'!K25</f>
        <v>-3572443</v>
      </c>
      <c r="R35" s="562"/>
      <c r="S35" s="575">
        <f>+'[2]ESF 2018-2017'!M25</f>
        <v>0</v>
      </c>
      <c r="T35" s="563"/>
      <c r="U35" s="564">
        <v>-2365666</v>
      </c>
      <c r="V35" s="359"/>
    </row>
    <row r="36" spans="1:24">
      <c r="A36" s="809" t="s">
        <v>454</v>
      </c>
      <c r="B36" s="823">
        <f>SUM(B6:B35)</f>
        <v>49677559.749999993</v>
      </c>
      <c r="C36" s="810"/>
      <c r="D36" s="810"/>
      <c r="E36" s="810"/>
      <c r="F36" s="810"/>
      <c r="G36" s="810"/>
      <c r="H36" s="810"/>
      <c r="I36" s="810"/>
      <c r="J36" s="810"/>
      <c r="K36" s="810"/>
      <c r="L36" s="810"/>
      <c r="M36" s="810"/>
      <c r="N36" s="806">
        <f t="shared" si="0"/>
        <v>49677559.749999993</v>
      </c>
      <c r="O36" s="810"/>
      <c r="P36" s="810"/>
      <c r="Q36" s="811"/>
      <c r="R36" s="562"/>
      <c r="S36" s="574">
        <f>+SUM(S19:S35)</f>
        <v>42408175.049999982</v>
      </c>
      <c r="T36" s="563"/>
      <c r="U36" s="559">
        <f>+SUM(U19:U35)</f>
        <v>27213258</v>
      </c>
      <c r="V36" s="359"/>
    </row>
    <row r="37" spans="1:24">
      <c r="A37" s="364" t="s">
        <v>455</v>
      </c>
      <c r="B37" s="824">
        <f>'ERI 2018-2017'!B20</f>
        <v>-4232971</v>
      </c>
      <c r="C37" s="807"/>
      <c r="D37" s="807"/>
      <c r="E37" s="807"/>
      <c r="F37" s="807"/>
      <c r="G37" s="807"/>
      <c r="H37" s="807"/>
      <c r="I37" s="807"/>
      <c r="J37" s="807"/>
      <c r="K37" s="807"/>
      <c r="L37" s="807"/>
      <c r="M37" s="807"/>
      <c r="N37" s="806">
        <f t="shared" si="0"/>
        <v>-4232971</v>
      </c>
      <c r="O37" s="807"/>
      <c r="P37" s="807"/>
      <c r="Q37" s="805">
        <f>+'[2]ERI 2018-2017'!B20</f>
        <v>-4274637</v>
      </c>
      <c r="R37" s="562"/>
      <c r="S37" s="574">
        <f>+'[2]ERI 2018-2017'!D20</f>
        <v>-3475906</v>
      </c>
      <c r="T37" s="563"/>
      <c r="U37" s="559">
        <v>-3198548</v>
      </c>
      <c r="V37" s="359"/>
    </row>
    <row r="38" spans="1:24">
      <c r="A38" s="364" t="s">
        <v>456</v>
      </c>
      <c r="B38" s="824">
        <f>'ERI 2018-2017'!D18</f>
        <v>-1591304</v>
      </c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6">
        <f t="shared" si="0"/>
        <v>-1591304</v>
      </c>
      <c r="O38" s="807"/>
      <c r="P38" s="807"/>
      <c r="Q38" s="805"/>
      <c r="R38" s="562"/>
      <c r="S38" s="574">
        <v>-1759101</v>
      </c>
      <c r="T38" s="563"/>
      <c r="U38" s="559">
        <v>-2644886</v>
      </c>
      <c r="V38" s="359"/>
    </row>
    <row r="39" spans="1:24">
      <c r="A39" s="364" t="s">
        <v>457</v>
      </c>
      <c r="B39" s="824">
        <v>-207177</v>
      </c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6">
        <f t="shared" si="0"/>
        <v>-207177</v>
      </c>
      <c r="O39" s="807"/>
      <c r="P39" s="807"/>
      <c r="Q39" s="805"/>
      <c r="R39" s="562"/>
      <c r="S39" s="575">
        <v>-107410</v>
      </c>
      <c r="T39" s="563"/>
      <c r="U39" s="564">
        <v>-470931</v>
      </c>
      <c r="V39" s="359"/>
    </row>
    <row r="40" spans="1:24">
      <c r="A40" s="812" t="s">
        <v>458</v>
      </c>
      <c r="B40" s="826">
        <f>SUM(B36:B39)</f>
        <v>43646107.749999993</v>
      </c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26">
        <f>SUM(N36:N39)</f>
        <v>43646107.749999993</v>
      </c>
      <c r="O40" s="813"/>
      <c r="P40" s="813"/>
      <c r="Q40" s="814"/>
      <c r="R40" s="565"/>
      <c r="S40" s="576">
        <f>+S36+S37+S38+S39</f>
        <v>37065758.049999982</v>
      </c>
      <c r="T40" s="563"/>
      <c r="U40" s="566">
        <f>+U36+U37+U38+U39</f>
        <v>20898893</v>
      </c>
      <c r="V40" s="359"/>
      <c r="X40" s="368"/>
    </row>
    <row r="41" spans="1:24" ht="5.0999999999999996" customHeight="1">
      <c r="A41" s="359"/>
      <c r="B41" s="815"/>
      <c r="C41" s="815"/>
      <c r="D41" s="815"/>
      <c r="E41" s="815"/>
      <c r="F41" s="815"/>
      <c r="G41" s="815"/>
      <c r="H41" s="815"/>
      <c r="I41" s="815"/>
      <c r="J41" s="815"/>
      <c r="K41" s="815"/>
      <c r="L41" s="815"/>
      <c r="M41" s="815"/>
      <c r="N41" s="815"/>
      <c r="O41" s="815"/>
      <c r="P41" s="815"/>
      <c r="Q41" s="816"/>
      <c r="R41" s="561"/>
      <c r="S41" s="573"/>
      <c r="T41" s="561"/>
      <c r="U41" s="561"/>
      <c r="V41" s="366"/>
    </row>
    <row r="42" spans="1:24">
      <c r="A42" s="362" t="s">
        <v>459</v>
      </c>
      <c r="B42" s="802"/>
      <c r="C42" s="802"/>
      <c r="D42" s="802"/>
      <c r="E42" s="802"/>
      <c r="F42" s="802"/>
      <c r="G42" s="802"/>
      <c r="H42" s="802"/>
      <c r="I42" s="802"/>
      <c r="J42" s="802"/>
      <c r="K42" s="802"/>
      <c r="L42" s="802"/>
      <c r="M42" s="802"/>
      <c r="N42" s="802"/>
      <c r="O42" s="802"/>
      <c r="P42" s="802"/>
      <c r="Q42" s="817"/>
      <c r="R42" s="560"/>
      <c r="S42" s="573"/>
      <c r="T42" s="561"/>
      <c r="U42" s="561"/>
      <c r="V42" s="359"/>
    </row>
    <row r="43" spans="1:24">
      <c r="A43" s="364" t="s">
        <v>460</v>
      </c>
      <c r="B43" s="824">
        <f>-'ESF 2018-2017'!D7</f>
        <v>251010.68000000017</v>
      </c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27">
        <f t="shared" ref="N43:N49" si="1">SUM(B43:M43)</f>
        <v>251010.68000000017</v>
      </c>
      <c r="O43" s="807"/>
      <c r="P43" s="807"/>
      <c r="Q43" s="805">
        <f>+'[2]ESF 2018-2017'!B7</f>
        <v>2393444.3199999998</v>
      </c>
      <c r="R43" s="562"/>
      <c r="S43" s="577">
        <f>+'[2]ESF 2018-2017'!D7</f>
        <v>-251010.68000000017</v>
      </c>
      <c r="T43" s="563"/>
      <c r="U43" s="563">
        <v>-175815</v>
      </c>
      <c r="V43" s="359"/>
    </row>
    <row r="44" spans="1:24">
      <c r="A44" s="364" t="s">
        <v>461</v>
      </c>
      <c r="B44" s="824">
        <f>-'ESF 2018-2017'!D6</f>
        <v>29809</v>
      </c>
      <c r="C44" s="807"/>
      <c r="D44" s="807"/>
      <c r="E44" s="807"/>
      <c r="F44" s="807"/>
      <c r="G44" s="807"/>
      <c r="H44" s="807"/>
      <c r="I44" s="807"/>
      <c r="J44" s="807"/>
      <c r="K44" s="807"/>
      <c r="L44" s="807"/>
      <c r="M44" s="807"/>
      <c r="N44" s="827">
        <f t="shared" si="1"/>
        <v>29809</v>
      </c>
      <c r="O44" s="807"/>
      <c r="P44" s="807"/>
      <c r="Q44" s="805">
        <f>+'[2]ESF 2018-2017'!B6</f>
        <v>0</v>
      </c>
      <c r="R44" s="562"/>
      <c r="S44" s="577">
        <f>+'[2]ESF 2018-2017'!D6</f>
        <v>-102620</v>
      </c>
      <c r="T44" s="563"/>
      <c r="U44" s="563">
        <v>-1655856</v>
      </c>
      <c r="V44" s="359"/>
    </row>
    <row r="45" spans="1:24">
      <c r="A45" s="364" t="s">
        <v>462</v>
      </c>
      <c r="B45" s="824">
        <v>0</v>
      </c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27">
        <f t="shared" si="1"/>
        <v>0</v>
      </c>
      <c r="O45" s="807"/>
      <c r="P45" s="807"/>
      <c r="Q45" s="805"/>
      <c r="R45" s="562"/>
      <c r="S45" s="578">
        <v>0</v>
      </c>
      <c r="T45" s="563"/>
      <c r="U45" s="563">
        <v>-125000</v>
      </c>
      <c r="V45" s="359"/>
    </row>
    <row r="46" spans="1:24">
      <c r="A46" s="364" t="s">
        <v>463</v>
      </c>
      <c r="B46" s="824">
        <f>-'ESF 2018-2017'!D23</f>
        <v>2709792.109999992</v>
      </c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27">
        <f t="shared" si="1"/>
        <v>2709792.109999992</v>
      </c>
      <c r="O46" s="807"/>
      <c r="P46" s="807"/>
      <c r="Q46" s="805"/>
      <c r="R46" s="562"/>
      <c r="S46" s="577">
        <v>119269</v>
      </c>
      <c r="T46" s="563"/>
      <c r="U46" s="563">
        <v>-1494761</v>
      </c>
      <c r="V46" s="359"/>
    </row>
    <row r="47" spans="1:24">
      <c r="A47" s="364" t="s">
        <v>464</v>
      </c>
      <c r="B47" s="824">
        <f>-'ESF 2018-2017'!D19</f>
        <v>10413326.899999991</v>
      </c>
      <c r="C47" s="807"/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27">
        <f t="shared" si="1"/>
        <v>10413326.899999991</v>
      </c>
      <c r="O47" s="807"/>
      <c r="P47" s="807"/>
      <c r="Q47" s="805"/>
      <c r="R47" s="562"/>
      <c r="S47" s="577">
        <v>-15283415</v>
      </c>
      <c r="T47" s="563"/>
      <c r="U47" s="563">
        <f>-19113929+437588</f>
        <v>-18676341</v>
      </c>
      <c r="V47" s="359"/>
    </row>
    <row r="48" spans="1:24">
      <c r="A48" s="364" t="s">
        <v>465</v>
      </c>
      <c r="B48" s="824">
        <f>-'ESF 2018-2017'!D20</f>
        <v>37744</v>
      </c>
      <c r="C48" s="807"/>
      <c r="D48" s="807"/>
      <c r="E48" s="807"/>
      <c r="F48" s="807"/>
      <c r="G48" s="807"/>
      <c r="H48" s="807"/>
      <c r="I48" s="807"/>
      <c r="J48" s="807"/>
      <c r="K48" s="807"/>
      <c r="L48" s="807"/>
      <c r="M48" s="807"/>
      <c r="N48" s="827">
        <f t="shared" si="1"/>
        <v>37744</v>
      </c>
      <c r="O48" s="807"/>
      <c r="P48" s="807"/>
      <c r="Q48" s="805"/>
      <c r="R48" s="562"/>
      <c r="S48" s="578">
        <v>0</v>
      </c>
      <c r="T48" s="563"/>
      <c r="U48" s="563">
        <v>-49200</v>
      </c>
    </row>
    <row r="49" spans="1:21">
      <c r="A49" s="364" t="s">
        <v>466</v>
      </c>
      <c r="B49" s="824">
        <f>-'ESF 2018-2017'!D21</f>
        <v>-2155991.9499999993</v>
      </c>
      <c r="C49" s="807"/>
      <c r="D49" s="807"/>
      <c r="E49" s="807"/>
      <c r="F49" s="807"/>
      <c r="G49" s="807"/>
      <c r="H49" s="807"/>
      <c r="I49" s="807"/>
      <c r="J49" s="807"/>
      <c r="K49" s="807"/>
      <c r="L49" s="807"/>
      <c r="M49" s="807"/>
      <c r="N49" s="827">
        <f t="shared" si="1"/>
        <v>-2155991.9499999993</v>
      </c>
      <c r="O49" s="807"/>
      <c r="P49" s="807"/>
      <c r="Q49" s="805"/>
      <c r="R49" s="562"/>
      <c r="S49" s="577">
        <f>-(1121449+75987)</f>
        <v>-1197436</v>
      </c>
      <c r="T49" s="563"/>
      <c r="U49" s="563">
        <v>-2492677</v>
      </c>
    </row>
    <row r="50" spans="1:21">
      <c r="A50" s="812" t="s">
        <v>467</v>
      </c>
      <c r="B50" s="826">
        <f>SUM(B43:B49)</f>
        <v>11285690.739999983</v>
      </c>
      <c r="C50" s="813"/>
      <c r="D50" s="813"/>
      <c r="E50" s="813"/>
      <c r="F50" s="813"/>
      <c r="G50" s="813"/>
      <c r="H50" s="813"/>
      <c r="I50" s="813"/>
      <c r="J50" s="813"/>
      <c r="K50" s="813"/>
      <c r="L50" s="813"/>
      <c r="M50" s="813"/>
      <c r="N50" s="826">
        <f>SUM(N43:N49)</f>
        <v>11285690.739999983</v>
      </c>
      <c r="O50" s="813"/>
      <c r="P50" s="813"/>
      <c r="Q50" s="814">
        <f>+SUM(Q43:Q49)</f>
        <v>2393444.3199999998</v>
      </c>
      <c r="R50" s="565"/>
      <c r="S50" s="576">
        <f>+SUM(S43:S49)</f>
        <v>-16715212.68</v>
      </c>
      <c r="T50" s="563"/>
      <c r="U50" s="566">
        <f>+SUM(U43:U49)</f>
        <v>-24669650</v>
      </c>
    </row>
    <row r="51" spans="1:21" ht="5.0999999999999996" customHeight="1">
      <c r="B51" s="818"/>
      <c r="C51" s="818"/>
      <c r="D51" s="818"/>
      <c r="E51" s="818"/>
      <c r="F51" s="818"/>
      <c r="G51" s="818"/>
      <c r="H51" s="818"/>
      <c r="I51" s="818"/>
      <c r="J51" s="818"/>
      <c r="K51" s="818"/>
      <c r="L51" s="818"/>
      <c r="M51" s="818"/>
      <c r="N51" s="818"/>
      <c r="O51" s="818"/>
      <c r="P51" s="818"/>
      <c r="Q51" s="819"/>
      <c r="R51" s="567"/>
      <c r="S51" s="579"/>
      <c r="T51" s="567"/>
      <c r="U51" s="567"/>
    </row>
    <row r="52" spans="1:21">
      <c r="A52" s="362" t="s">
        <v>468</v>
      </c>
      <c r="B52" s="802"/>
      <c r="C52" s="802"/>
      <c r="D52" s="802"/>
      <c r="E52" s="802"/>
      <c r="F52" s="802"/>
      <c r="G52" s="802"/>
      <c r="H52" s="802"/>
      <c r="I52" s="802"/>
      <c r="J52" s="802"/>
      <c r="K52" s="802"/>
      <c r="L52" s="802"/>
      <c r="M52" s="802"/>
      <c r="N52" s="802"/>
      <c r="O52" s="802"/>
      <c r="P52" s="802"/>
      <c r="Q52" s="817"/>
      <c r="R52" s="560"/>
      <c r="S52" s="573"/>
      <c r="T52" s="561"/>
      <c r="U52" s="561"/>
    </row>
    <row r="53" spans="1:21">
      <c r="A53" s="364" t="s">
        <v>320</v>
      </c>
      <c r="B53" s="824">
        <v>0</v>
      </c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27">
        <f t="shared" ref="N53:N55" si="2">SUM(B53:M53)</f>
        <v>0</v>
      </c>
      <c r="O53" s="807"/>
      <c r="P53" s="807"/>
      <c r="Q53" s="805"/>
      <c r="R53" s="562"/>
      <c r="S53" s="577">
        <v>0</v>
      </c>
      <c r="T53" s="563"/>
      <c r="U53" s="563">
        <v>1412099</v>
      </c>
    </row>
    <row r="54" spans="1:21">
      <c r="A54" s="364" t="s">
        <v>469</v>
      </c>
      <c r="B54" s="824">
        <f>'ESF 2018-2017'!K6+'ESF 2018-2017'!K18</f>
        <v>-6250082.8000000007</v>
      </c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27">
        <f t="shared" si="2"/>
        <v>-6250082.8000000007</v>
      </c>
      <c r="O54" s="807"/>
      <c r="P54" s="807"/>
      <c r="Q54" s="805">
        <f>+'[2]ESF 2018-2017'!K6+'[2]ESF 2018-2017'!K18</f>
        <v>7006457.0699999975</v>
      </c>
      <c r="R54" s="562"/>
      <c r="S54" s="577">
        <f>+'[2]ESF 2018-2017'!M6+'[2]ESF 2018-2017'!M18</f>
        <v>-4735058</v>
      </c>
      <c r="T54" s="563"/>
      <c r="U54" s="563">
        <f>15141796-13490379-198890+4596345</f>
        <v>6048872</v>
      </c>
    </row>
    <row r="55" spans="1:21">
      <c r="A55" s="364" t="s">
        <v>470</v>
      </c>
      <c r="B55" s="824">
        <f>'ESF 2018-2017'!K7+'ESF 2018-2017'!K19</f>
        <v>-7134782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27">
        <f t="shared" si="2"/>
        <v>-7134782</v>
      </c>
      <c r="O55" s="807"/>
      <c r="P55" s="807"/>
      <c r="Q55" s="805">
        <f>+'[2]ESF 2018-2017'!K7+'[2]ESF 2018-2017'!K19</f>
        <v>-18169826</v>
      </c>
      <c r="R55" s="562"/>
      <c r="S55" s="577">
        <f>+'[2]ESF 2018-2017'!M7+'[2]ESF 2018-2017'!M19</f>
        <v>-8370991</v>
      </c>
      <c r="T55" s="563"/>
      <c r="U55" s="563">
        <f>13238971-9192632</f>
        <v>4046339</v>
      </c>
    </row>
    <row r="56" spans="1:21">
      <c r="A56" s="812" t="s">
        <v>471</v>
      </c>
      <c r="B56" s="826">
        <f>SUM(B53:B55)</f>
        <v>-13384864.800000001</v>
      </c>
      <c r="C56" s="813"/>
      <c r="D56" s="813"/>
      <c r="E56" s="813"/>
      <c r="F56" s="813"/>
      <c r="G56" s="813"/>
      <c r="H56" s="813"/>
      <c r="I56" s="813"/>
      <c r="J56" s="813"/>
      <c r="K56" s="813"/>
      <c r="L56" s="813"/>
      <c r="M56" s="813"/>
      <c r="N56" s="826">
        <f>SUM(N53:N55)</f>
        <v>-13384864.800000001</v>
      </c>
      <c r="O56" s="813"/>
      <c r="P56" s="813"/>
      <c r="Q56" s="814">
        <f>+Q54+Q55</f>
        <v>-11163368.930000003</v>
      </c>
      <c r="R56" s="565"/>
      <c r="S56" s="576">
        <f>+S54+S55</f>
        <v>-13106049</v>
      </c>
      <c r="T56" s="563"/>
      <c r="U56" s="566">
        <f>+U54+U55+U53</f>
        <v>11507310</v>
      </c>
    </row>
    <row r="57" spans="1:21" ht="5.0999999999999996" customHeight="1">
      <c r="A57" s="367"/>
      <c r="B57" s="820"/>
      <c r="C57" s="820"/>
      <c r="D57" s="820"/>
      <c r="E57" s="820"/>
      <c r="F57" s="820"/>
      <c r="G57" s="820"/>
      <c r="H57" s="820"/>
      <c r="I57" s="820"/>
      <c r="J57" s="820"/>
      <c r="K57" s="820"/>
      <c r="L57" s="820"/>
      <c r="M57" s="820"/>
      <c r="N57" s="820"/>
      <c r="O57" s="820"/>
      <c r="P57" s="820"/>
      <c r="Q57" s="821"/>
      <c r="R57" s="565"/>
      <c r="S57" s="573"/>
      <c r="T57" s="561"/>
      <c r="U57" s="561"/>
    </row>
    <row r="58" spans="1:21">
      <c r="A58" s="365" t="s">
        <v>472</v>
      </c>
      <c r="B58" s="827">
        <f>B40+B50+B56</f>
        <v>41546933.689999983</v>
      </c>
      <c r="C58" s="822"/>
      <c r="D58" s="822"/>
      <c r="E58" s="822"/>
      <c r="F58" s="822"/>
      <c r="G58" s="822"/>
      <c r="H58" s="822"/>
      <c r="I58" s="822"/>
      <c r="J58" s="822"/>
      <c r="K58" s="822"/>
      <c r="L58" s="822"/>
      <c r="M58" s="822"/>
      <c r="N58" s="827">
        <f>N40+N50+N56</f>
        <v>41546933.689999983</v>
      </c>
      <c r="O58" s="822"/>
      <c r="P58" s="822"/>
      <c r="Q58" s="805">
        <f>+Q56+Q50+Q40</f>
        <v>-8769924.6100000031</v>
      </c>
      <c r="R58" s="565"/>
      <c r="S58" s="577">
        <f>+S56+S50+S40</f>
        <v>7244496.3699999824</v>
      </c>
      <c r="T58" s="563"/>
      <c r="U58" s="563">
        <f>+U56+U50+U40</f>
        <v>7736553</v>
      </c>
    </row>
    <row r="59" spans="1:21">
      <c r="A59" s="365" t="s">
        <v>473</v>
      </c>
      <c r="B59" s="822"/>
      <c r="C59" s="822"/>
      <c r="D59" s="822"/>
      <c r="E59" s="822"/>
      <c r="F59" s="822"/>
      <c r="G59" s="822"/>
      <c r="H59" s="822"/>
      <c r="I59" s="822"/>
      <c r="J59" s="822"/>
      <c r="K59" s="822"/>
      <c r="L59" s="822"/>
      <c r="M59" s="822"/>
      <c r="N59" s="822"/>
      <c r="O59" s="822"/>
      <c r="P59" s="822"/>
      <c r="Q59" s="805">
        <f>'[2]ESF 2018-2017'!C5</f>
        <v>1742562</v>
      </c>
      <c r="R59" s="565"/>
      <c r="S59" s="577">
        <f>'[2]ESF 2018-2017'!E5</f>
        <v>10796157</v>
      </c>
      <c r="T59" s="563"/>
      <c r="U59" s="563">
        <v>2860714</v>
      </c>
    </row>
    <row r="60" spans="1:21" ht="9.75" thickBot="1">
      <c r="A60" s="812" t="s">
        <v>474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4">
        <f>+Q58+Q59</f>
        <v>-7027362.6100000031</v>
      </c>
      <c r="R60" s="565"/>
      <c r="S60" s="580">
        <f>+S58+S59</f>
        <v>18040653.369999982</v>
      </c>
      <c r="T60" s="563"/>
      <c r="U60" s="568">
        <f>+U58+U59</f>
        <v>10597267</v>
      </c>
    </row>
    <row r="61" spans="1:21" ht="5.0999999999999996" customHeight="1" thickTop="1">
      <c r="Q61" s="567"/>
      <c r="R61" s="567"/>
      <c r="S61" s="567"/>
      <c r="T61" s="567"/>
      <c r="U61" s="567"/>
    </row>
    <row r="62" spans="1:21">
      <c r="Q62" s="567"/>
      <c r="R62" s="567"/>
      <c r="S62" s="567"/>
      <c r="T62" s="567"/>
      <c r="U62" s="567"/>
    </row>
    <row r="63" spans="1:21">
      <c r="Q63" s="567"/>
      <c r="R63" s="567"/>
      <c r="S63" s="567"/>
      <c r="T63" s="567"/>
      <c r="U63" s="567"/>
    </row>
    <row r="64" spans="1:21">
      <c r="Q64" s="567"/>
      <c r="R64" s="567"/>
      <c r="S64" s="567"/>
      <c r="T64" s="567"/>
      <c r="U64" s="567"/>
    </row>
    <row r="65" spans="19:19">
      <c r="S65" s="397"/>
    </row>
  </sheetData>
  <mergeCells count="1">
    <mergeCell ref="O3:P3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499984740745262"/>
  </sheetPr>
  <dimension ref="A1:W80"/>
  <sheetViews>
    <sheetView showGridLines="0" zoomScale="80" zoomScaleNormal="80" workbookViewId="0">
      <pane xSplit="1" ySplit="4" topLeftCell="K55" activePane="bottomRight" state="frozen"/>
      <selection activeCell="B10" sqref="B10"/>
      <selection pane="topRight" activeCell="B10" sqref="B10"/>
      <selection pane="bottomLeft" activeCell="B10" sqref="B10"/>
      <selection pane="bottomRight" activeCell="R71" sqref="R71"/>
    </sheetView>
  </sheetViews>
  <sheetFormatPr defaultColWidth="11.42578125" defaultRowHeight="12.75"/>
  <cols>
    <col min="1" max="1" width="47.7109375" style="399" bestFit="1" customWidth="1"/>
    <col min="2" max="2" width="17.28515625" style="399" bestFit="1" customWidth="1"/>
    <col min="3" max="3" width="17.140625" style="399" customWidth="1"/>
    <col min="4" max="4" width="19.140625" style="399" customWidth="1"/>
    <col min="5" max="5" width="14.140625" style="399" bestFit="1" customWidth="1"/>
    <col min="6" max="6" width="14.7109375" style="399" bestFit="1" customWidth="1"/>
    <col min="7" max="7" width="13.7109375" style="399" customWidth="1"/>
    <col min="8" max="8" width="16.28515625" style="399" customWidth="1"/>
    <col min="9" max="9" width="14.85546875" style="399" bestFit="1" customWidth="1"/>
    <col min="10" max="10" width="15.85546875" style="399" customWidth="1"/>
    <col min="11" max="11" width="14.85546875" style="399" bestFit="1" customWidth="1"/>
    <col min="12" max="12" width="14.42578125" style="399" bestFit="1" customWidth="1"/>
    <col min="13" max="13" width="15.85546875" style="399" customWidth="1"/>
    <col min="14" max="14" width="18" style="399" customWidth="1"/>
    <col min="15" max="15" width="8.28515625" style="399" customWidth="1"/>
    <col min="16" max="17" width="16.28515625" style="399" bestFit="1" customWidth="1"/>
    <col min="18" max="18" width="17.42578125" style="399" customWidth="1"/>
    <col min="19" max="19" width="14.28515625" style="399" bestFit="1" customWidth="1"/>
    <col min="20" max="20" width="14.42578125" style="399" customWidth="1"/>
    <col min="21" max="21" width="11.42578125" style="399"/>
    <col min="22" max="22" width="14" style="399" customWidth="1"/>
    <col min="23" max="23" width="13.28515625" style="399" customWidth="1"/>
    <col min="24" max="16384" width="11.42578125" style="399"/>
  </cols>
  <sheetData>
    <row r="1" spans="1:22">
      <c r="A1" s="398" t="s">
        <v>49</v>
      </c>
      <c r="C1" s="400"/>
    </row>
    <row r="2" spans="1:22">
      <c r="A2" s="401" t="s">
        <v>36</v>
      </c>
      <c r="C2" s="402"/>
    </row>
    <row r="3" spans="1:22" ht="15" customHeight="1">
      <c r="A3" s="403"/>
      <c r="E3" s="400"/>
      <c r="P3" s="1008" t="s">
        <v>11</v>
      </c>
      <c r="Q3" s="1009"/>
    </row>
    <row r="4" spans="1:22" ht="38.25">
      <c r="A4" s="431" t="s">
        <v>4</v>
      </c>
      <c r="B4" s="432" t="s">
        <v>515</v>
      </c>
      <c r="C4" s="432" t="s">
        <v>525</v>
      </c>
      <c r="D4" s="432" t="s">
        <v>516</v>
      </c>
      <c r="E4" s="432" t="s">
        <v>517</v>
      </c>
      <c r="F4" s="432" t="s">
        <v>518</v>
      </c>
      <c r="G4" s="432" t="s">
        <v>519</v>
      </c>
      <c r="H4" s="432" t="s">
        <v>520</v>
      </c>
      <c r="I4" s="432" t="s">
        <v>526</v>
      </c>
      <c r="J4" s="432" t="s">
        <v>524</v>
      </c>
      <c r="K4" s="432" t="s">
        <v>521</v>
      </c>
      <c r="L4" s="432" t="s">
        <v>522</v>
      </c>
      <c r="M4" s="432" t="s">
        <v>523</v>
      </c>
      <c r="N4" s="432" t="s">
        <v>15</v>
      </c>
      <c r="O4" s="432" t="s">
        <v>10</v>
      </c>
      <c r="P4" s="432" t="s">
        <v>12</v>
      </c>
      <c r="Q4" s="432" t="s">
        <v>13</v>
      </c>
      <c r="R4" s="432" t="s">
        <v>423</v>
      </c>
    </row>
    <row r="5" spans="1:22" ht="15.75" customHeight="1">
      <c r="A5" s="412" t="s">
        <v>22</v>
      </c>
      <c r="B5" s="404">
        <v>1607132</v>
      </c>
      <c r="C5" s="404">
        <v>42926</v>
      </c>
      <c r="D5" s="404">
        <v>6856</v>
      </c>
      <c r="E5" s="404">
        <v>2227</v>
      </c>
      <c r="F5" s="404">
        <v>3845</v>
      </c>
      <c r="G5" s="404">
        <v>0</v>
      </c>
      <c r="H5" s="404">
        <v>0</v>
      </c>
      <c r="I5" s="404">
        <v>10000</v>
      </c>
      <c r="J5" s="404">
        <v>0</v>
      </c>
      <c r="K5" s="404">
        <v>5631</v>
      </c>
      <c r="L5" s="404">
        <v>10301</v>
      </c>
      <c r="M5" s="404">
        <v>53644</v>
      </c>
      <c r="N5" s="405">
        <f>SUM(B5:M5)</f>
        <v>1742562</v>
      </c>
      <c r="O5" s="406"/>
      <c r="P5" s="404"/>
      <c r="Q5" s="404"/>
      <c r="R5" s="474">
        <f>N5+P5-Q5</f>
        <v>1742562</v>
      </c>
    </row>
    <row r="6" spans="1:22" ht="27.75" customHeight="1">
      <c r="A6" s="412" t="s">
        <v>65</v>
      </c>
      <c r="B6" s="404">
        <v>2644455</v>
      </c>
      <c r="C6" s="404">
        <v>0</v>
      </c>
      <c r="D6" s="404">
        <v>0</v>
      </c>
      <c r="E6" s="404">
        <v>0</v>
      </c>
      <c r="F6" s="404">
        <v>0</v>
      </c>
      <c r="G6" s="404">
        <v>0</v>
      </c>
      <c r="H6" s="404">
        <v>0</v>
      </c>
      <c r="I6" s="404">
        <v>0</v>
      </c>
      <c r="J6" s="404">
        <v>0</v>
      </c>
      <c r="K6" s="404">
        <v>0</v>
      </c>
      <c r="L6" s="404">
        <v>0</v>
      </c>
      <c r="M6" s="404">
        <v>0</v>
      </c>
      <c r="N6" s="405">
        <f t="shared" ref="N6:N22" si="0">SUM(B6:M6)</f>
        <v>2644455</v>
      </c>
      <c r="O6" s="406"/>
      <c r="P6" s="404"/>
      <c r="Q6" s="404"/>
      <c r="R6" s="474">
        <f>N6+P6-Q6</f>
        <v>2644455</v>
      </c>
    </row>
    <row r="7" spans="1:22" ht="26.25" customHeight="1">
      <c r="A7" s="412" t="s">
        <v>66</v>
      </c>
      <c r="B7" s="404">
        <v>102620</v>
      </c>
      <c r="C7" s="404">
        <v>0</v>
      </c>
      <c r="D7" s="404">
        <v>0</v>
      </c>
      <c r="E7" s="404">
        <v>0</v>
      </c>
      <c r="F7" s="404">
        <v>0</v>
      </c>
      <c r="G7" s="404">
        <v>0</v>
      </c>
      <c r="H7" s="404">
        <v>0</v>
      </c>
      <c r="I7" s="404">
        <v>0</v>
      </c>
      <c r="J7" s="404">
        <v>0</v>
      </c>
      <c r="K7" s="404">
        <v>0</v>
      </c>
      <c r="L7" s="404">
        <v>0</v>
      </c>
      <c r="M7" s="404">
        <v>0</v>
      </c>
      <c r="N7" s="405">
        <f t="shared" si="0"/>
        <v>102620</v>
      </c>
      <c r="O7" s="406"/>
      <c r="P7" s="404"/>
      <c r="Q7" s="404"/>
      <c r="R7" s="474">
        <f>N7+P7-Q7</f>
        <v>102620</v>
      </c>
    </row>
    <row r="8" spans="1:22" ht="15.75" customHeight="1">
      <c r="A8" s="412" t="s">
        <v>67</v>
      </c>
      <c r="B8" s="404">
        <v>10565005</v>
      </c>
      <c r="C8" s="404">
        <v>4461516</v>
      </c>
      <c r="D8" s="404">
        <v>273861</v>
      </c>
      <c r="E8" s="404">
        <v>0</v>
      </c>
      <c r="F8" s="404">
        <v>18892</v>
      </c>
      <c r="G8" s="404">
        <v>0</v>
      </c>
      <c r="H8" s="404">
        <v>0</v>
      </c>
      <c r="I8" s="404">
        <v>0</v>
      </c>
      <c r="J8" s="404">
        <v>0</v>
      </c>
      <c r="K8" s="404">
        <v>41672</v>
      </c>
      <c r="L8" s="404">
        <f>81977-46414</f>
        <v>35563</v>
      </c>
      <c r="M8" s="404">
        <v>166895</v>
      </c>
      <c r="N8" s="405">
        <f t="shared" si="0"/>
        <v>15563404</v>
      </c>
      <c r="O8" s="406" t="s">
        <v>279</v>
      </c>
      <c r="P8" s="404"/>
      <c r="Q8" s="404">
        <f>+'Diarios Cxc Cxp relac (c)'!E36</f>
        <v>0</v>
      </c>
      <c r="R8" s="474">
        <f t="shared" ref="R8:R22" si="1">N8+P8-Q8</f>
        <v>15563404</v>
      </c>
      <c r="T8" s="400"/>
    </row>
    <row r="9" spans="1:22">
      <c r="A9" s="412" t="s">
        <v>5</v>
      </c>
      <c r="B9" s="404">
        <v>32908556</v>
      </c>
      <c r="C9" s="404">
        <v>2044176</v>
      </c>
      <c r="D9" s="404">
        <v>717537</v>
      </c>
      <c r="E9" s="404">
        <v>990080</v>
      </c>
      <c r="F9" s="404">
        <v>0</v>
      </c>
      <c r="G9" s="404">
        <v>0</v>
      </c>
      <c r="H9" s="404">
        <v>0</v>
      </c>
      <c r="I9" s="404">
        <v>0</v>
      </c>
      <c r="J9" s="404">
        <v>0</v>
      </c>
      <c r="K9" s="404">
        <v>0</v>
      </c>
      <c r="L9" s="404">
        <v>0</v>
      </c>
      <c r="M9" s="404">
        <v>10000</v>
      </c>
      <c r="N9" s="405">
        <f t="shared" si="0"/>
        <v>36670349</v>
      </c>
      <c r="O9" s="406" t="s">
        <v>279</v>
      </c>
      <c r="P9" s="404"/>
      <c r="Q9" s="404">
        <v>11595352</v>
      </c>
      <c r="R9" s="474">
        <f t="shared" si="1"/>
        <v>25074997</v>
      </c>
    </row>
    <row r="10" spans="1:22" ht="15.75" customHeight="1">
      <c r="A10" s="412" t="s">
        <v>68</v>
      </c>
      <c r="B10" s="404">
        <v>5481731</v>
      </c>
      <c r="C10" s="404">
        <v>4477</v>
      </c>
      <c r="D10" s="404">
        <v>0</v>
      </c>
      <c r="E10" s="404">
        <v>0</v>
      </c>
      <c r="F10" s="404"/>
      <c r="G10" s="404">
        <v>0</v>
      </c>
      <c r="H10" s="404">
        <v>0</v>
      </c>
      <c r="I10" s="404">
        <v>0</v>
      </c>
      <c r="J10" s="404">
        <v>0</v>
      </c>
      <c r="K10" s="404">
        <v>448</v>
      </c>
      <c r="L10" s="404">
        <f>35886+1569+4835</f>
        <v>42290</v>
      </c>
      <c r="M10" s="404">
        <v>9502</v>
      </c>
      <c r="N10" s="405">
        <f t="shared" si="0"/>
        <v>5538448</v>
      </c>
      <c r="O10" s="406" t="s">
        <v>279</v>
      </c>
      <c r="P10" s="404"/>
      <c r="Q10" s="404">
        <f>'Diarios Cxc Cxp relac (c)'!E35</f>
        <v>0</v>
      </c>
      <c r="R10" s="474">
        <f t="shared" si="1"/>
        <v>5538448</v>
      </c>
    </row>
    <row r="11" spans="1:22" ht="15.75" customHeight="1">
      <c r="A11" s="412" t="s">
        <v>69</v>
      </c>
      <c r="B11" s="404">
        <v>480186</v>
      </c>
      <c r="C11" s="404">
        <v>0</v>
      </c>
      <c r="D11" s="404">
        <v>60656</v>
      </c>
      <c r="E11" s="404">
        <v>134914</v>
      </c>
      <c r="F11" s="404">
        <v>123577</v>
      </c>
      <c r="G11" s="404">
        <v>0</v>
      </c>
      <c r="H11" s="404">
        <v>7989</v>
      </c>
      <c r="I11" s="404">
        <v>0</v>
      </c>
      <c r="J11" s="404">
        <v>0</v>
      </c>
      <c r="K11" s="404">
        <v>242520</v>
      </c>
      <c r="L11" s="404">
        <v>74937</v>
      </c>
      <c r="M11" s="404" t="s">
        <v>340</v>
      </c>
      <c r="N11" s="405">
        <f t="shared" si="0"/>
        <v>1124779</v>
      </c>
      <c r="O11" s="406"/>
      <c r="P11" s="404"/>
      <c r="Q11" s="404"/>
      <c r="R11" s="474">
        <f t="shared" si="1"/>
        <v>1124779</v>
      </c>
    </row>
    <row r="12" spans="1:22" ht="15.75" customHeight="1">
      <c r="A12" s="412" t="s">
        <v>70</v>
      </c>
      <c r="B12" s="404">
        <v>625964</v>
      </c>
      <c r="C12" s="404">
        <v>0</v>
      </c>
      <c r="D12" s="404">
        <v>152</v>
      </c>
      <c r="E12" s="404">
        <v>0</v>
      </c>
      <c r="F12" s="404">
        <v>0</v>
      </c>
      <c r="G12" s="404">
        <v>0</v>
      </c>
      <c r="H12" s="404">
        <v>0</v>
      </c>
      <c r="I12" s="404">
        <v>0</v>
      </c>
      <c r="J12" s="404">
        <v>0</v>
      </c>
      <c r="K12" s="404">
        <v>16068</v>
      </c>
      <c r="L12" s="404">
        <v>0</v>
      </c>
      <c r="M12" s="404">
        <v>0</v>
      </c>
      <c r="N12" s="405">
        <f t="shared" si="0"/>
        <v>642184</v>
      </c>
      <c r="O12" s="406"/>
      <c r="P12" s="404"/>
      <c r="Q12" s="404"/>
      <c r="R12" s="474">
        <f t="shared" si="1"/>
        <v>642184</v>
      </c>
    </row>
    <row r="13" spans="1:22" ht="15.75" customHeight="1">
      <c r="A13" s="412" t="s">
        <v>6</v>
      </c>
      <c r="B13" s="404">
        <v>14883321</v>
      </c>
      <c r="C13" s="404">
        <v>0</v>
      </c>
      <c r="D13" s="404">
        <v>1706</v>
      </c>
      <c r="E13" s="404">
        <v>0</v>
      </c>
      <c r="F13" s="404">
        <v>0</v>
      </c>
      <c r="G13" s="404">
        <v>0</v>
      </c>
      <c r="H13" s="404">
        <v>0</v>
      </c>
      <c r="I13" s="404">
        <v>0</v>
      </c>
      <c r="J13" s="404">
        <v>0</v>
      </c>
      <c r="K13" s="404">
        <v>11306</v>
      </c>
      <c r="L13" s="404">
        <v>0</v>
      </c>
      <c r="M13" s="404">
        <v>0</v>
      </c>
      <c r="N13" s="405">
        <f t="shared" si="0"/>
        <v>14896333</v>
      </c>
      <c r="O13" s="406"/>
      <c r="P13" s="404"/>
      <c r="Q13" s="404">
        <f>'Ventas-Compras (d)'!E30</f>
        <v>11306</v>
      </c>
      <c r="R13" s="474">
        <f t="shared" si="1"/>
        <v>14885027</v>
      </c>
    </row>
    <row r="14" spans="1:22" ht="15.75" customHeight="1">
      <c r="A14" s="412" t="s">
        <v>283</v>
      </c>
      <c r="B14" s="404">
        <v>40694</v>
      </c>
      <c r="C14" s="404">
        <v>0</v>
      </c>
      <c r="D14" s="404">
        <v>0</v>
      </c>
      <c r="E14" s="404">
        <v>0</v>
      </c>
      <c r="F14" s="404">
        <v>0</v>
      </c>
      <c r="G14" s="404">
        <v>0</v>
      </c>
      <c r="H14" s="404">
        <v>0</v>
      </c>
      <c r="I14" s="404">
        <v>0</v>
      </c>
      <c r="J14" s="404">
        <v>0</v>
      </c>
      <c r="K14" s="404">
        <v>0</v>
      </c>
      <c r="L14" s="404">
        <v>0</v>
      </c>
      <c r="M14" s="404">
        <v>0</v>
      </c>
      <c r="N14" s="405">
        <f t="shared" si="0"/>
        <v>40694</v>
      </c>
      <c r="O14" s="406" t="s">
        <v>279</v>
      </c>
      <c r="P14" s="404"/>
      <c r="Q14" s="404">
        <f>'Diarios Cxc Cxp relac (c)'!E34</f>
        <v>40694</v>
      </c>
      <c r="R14" s="475">
        <f t="shared" si="1"/>
        <v>0</v>
      </c>
    </row>
    <row r="15" spans="1:22" ht="15.75" customHeight="1">
      <c r="A15" s="412" t="s">
        <v>72</v>
      </c>
      <c r="B15" s="404">
        <v>3212434</v>
      </c>
      <c r="C15" s="404">
        <v>0</v>
      </c>
      <c r="D15" s="404">
        <v>0</v>
      </c>
      <c r="E15" s="404">
        <v>0</v>
      </c>
      <c r="F15" s="404">
        <v>0</v>
      </c>
      <c r="G15" s="404">
        <v>0</v>
      </c>
      <c r="H15" s="404">
        <v>0</v>
      </c>
      <c r="I15" s="404">
        <v>0</v>
      </c>
      <c r="J15" s="404">
        <v>0</v>
      </c>
      <c r="K15" s="404">
        <v>0</v>
      </c>
      <c r="L15" s="404">
        <v>0</v>
      </c>
      <c r="M15" s="404">
        <v>0</v>
      </c>
      <c r="N15" s="405">
        <f t="shared" si="0"/>
        <v>3212434</v>
      </c>
      <c r="O15" s="406"/>
      <c r="P15" s="404"/>
      <c r="Q15" s="404"/>
      <c r="R15" s="474">
        <f t="shared" si="1"/>
        <v>3212434</v>
      </c>
      <c r="V15" s="400">
        <f>B15-R15</f>
        <v>0</v>
      </c>
    </row>
    <row r="16" spans="1:22" ht="14.25" customHeight="1">
      <c r="A16" s="412" t="s">
        <v>73</v>
      </c>
      <c r="B16" s="404">
        <v>66573020</v>
      </c>
      <c r="C16" s="404">
        <v>44671913</v>
      </c>
      <c r="D16" s="404">
        <v>3233810</v>
      </c>
      <c r="E16" s="404">
        <v>33545</v>
      </c>
      <c r="F16" s="404">
        <v>218631</v>
      </c>
      <c r="G16" s="404">
        <v>373713</v>
      </c>
      <c r="H16" s="404">
        <v>0</v>
      </c>
      <c r="I16" s="404">
        <v>0</v>
      </c>
      <c r="J16" s="404">
        <v>1140</v>
      </c>
      <c r="K16" s="404">
        <v>1718909</v>
      </c>
      <c r="L16" s="404">
        <v>367967</v>
      </c>
      <c r="M16" s="404">
        <v>204656</v>
      </c>
      <c r="N16" s="405">
        <f t="shared" si="0"/>
        <v>117397304</v>
      </c>
      <c r="O16" s="406" t="s">
        <v>278</v>
      </c>
      <c r="P16" s="404">
        <f>'Diario 2015 (a)'!C10</f>
        <v>881973.00000000559</v>
      </c>
      <c r="Q16" s="404">
        <v>5392876</v>
      </c>
      <c r="R16" s="474">
        <f t="shared" si="1"/>
        <v>112886401</v>
      </c>
      <c r="S16" s="400"/>
    </row>
    <row r="17" spans="1:20" ht="15.75" customHeight="1">
      <c r="A17" s="412" t="s">
        <v>16</v>
      </c>
      <c r="B17" s="404">
        <v>661755</v>
      </c>
      <c r="C17" s="404">
        <v>0</v>
      </c>
      <c r="D17" s="404">
        <v>0</v>
      </c>
      <c r="E17" s="404">
        <v>0</v>
      </c>
      <c r="F17" s="404">
        <v>0</v>
      </c>
      <c r="G17" s="404">
        <v>0</v>
      </c>
      <c r="H17" s="404">
        <v>0</v>
      </c>
      <c r="I17" s="404">
        <v>0</v>
      </c>
      <c r="J17" s="404">
        <v>0</v>
      </c>
      <c r="K17" s="404">
        <v>0</v>
      </c>
      <c r="L17" s="404"/>
      <c r="M17" s="404">
        <v>0</v>
      </c>
      <c r="N17" s="405">
        <f t="shared" si="0"/>
        <v>661755</v>
      </c>
      <c r="O17" s="406"/>
      <c r="P17" s="404"/>
      <c r="Q17" s="404"/>
      <c r="R17" s="474">
        <f t="shared" si="1"/>
        <v>661755</v>
      </c>
    </row>
    <row r="18" spans="1:20" ht="15.75" customHeight="1">
      <c r="A18" s="412" t="s">
        <v>74</v>
      </c>
      <c r="B18" s="404">
        <v>11586243</v>
      </c>
      <c r="C18" s="408">
        <v>0</v>
      </c>
      <c r="D18" s="404">
        <v>0</v>
      </c>
      <c r="E18" s="404">
        <v>0</v>
      </c>
      <c r="F18" s="404">
        <v>0</v>
      </c>
      <c r="G18" s="404">
        <v>0</v>
      </c>
      <c r="H18" s="404">
        <v>0</v>
      </c>
      <c r="I18" s="404">
        <v>0</v>
      </c>
      <c r="J18" s="404">
        <v>0</v>
      </c>
      <c r="K18" s="404">
        <v>0</v>
      </c>
      <c r="L18" s="404">
        <v>117971</v>
      </c>
      <c r="M18" s="404">
        <v>0</v>
      </c>
      <c r="N18" s="405">
        <f t="shared" si="0"/>
        <v>11704214</v>
      </c>
      <c r="O18" s="406" t="s">
        <v>42</v>
      </c>
      <c r="P18" s="404">
        <v>394335</v>
      </c>
      <c r="Q18" s="404">
        <v>822437</v>
      </c>
      <c r="R18" s="474">
        <f t="shared" si="1"/>
        <v>11276112</v>
      </c>
      <c r="T18" s="400"/>
    </row>
    <row r="19" spans="1:20">
      <c r="A19" s="412" t="s">
        <v>212</v>
      </c>
      <c r="B19" s="404">
        <v>1422229</v>
      </c>
      <c r="C19" s="404">
        <v>0</v>
      </c>
      <c r="D19" s="404">
        <v>0</v>
      </c>
      <c r="E19" s="404">
        <v>0</v>
      </c>
      <c r="F19" s="404">
        <v>0</v>
      </c>
      <c r="G19" s="404">
        <v>0</v>
      </c>
      <c r="H19" s="404">
        <v>0</v>
      </c>
      <c r="I19" s="404">
        <v>0</v>
      </c>
      <c r="J19" s="404">
        <v>0</v>
      </c>
      <c r="K19" s="404">
        <v>0</v>
      </c>
      <c r="L19" s="404">
        <v>0</v>
      </c>
      <c r="M19" s="404">
        <v>0</v>
      </c>
      <c r="N19" s="405">
        <f t="shared" si="0"/>
        <v>1422229</v>
      </c>
      <c r="O19" s="406"/>
      <c r="P19" s="404"/>
      <c r="Q19" s="404"/>
      <c r="R19" s="474">
        <f t="shared" si="1"/>
        <v>1422229</v>
      </c>
    </row>
    <row r="20" spans="1:20">
      <c r="A20" s="412" t="s">
        <v>76</v>
      </c>
      <c r="B20" s="404">
        <v>44513438</v>
      </c>
      <c r="C20" s="404">
        <v>100</v>
      </c>
      <c r="D20" s="404">
        <v>0</v>
      </c>
      <c r="E20" s="404">
        <v>0</v>
      </c>
      <c r="F20" s="404">
        <v>0</v>
      </c>
      <c r="G20" s="404">
        <v>0</v>
      </c>
      <c r="H20" s="404">
        <v>0</v>
      </c>
      <c r="I20" s="404">
        <v>0</v>
      </c>
      <c r="J20" s="404">
        <v>0</v>
      </c>
      <c r="K20" s="404">
        <v>0</v>
      </c>
      <c r="L20" s="404">
        <v>0</v>
      </c>
      <c r="M20" s="404">
        <v>0</v>
      </c>
      <c r="N20" s="405">
        <f t="shared" si="0"/>
        <v>44513538</v>
      </c>
      <c r="O20" s="406" t="s">
        <v>280</v>
      </c>
      <c r="P20" s="404">
        <f>1231351+42502+8000</f>
        <v>1281853</v>
      </c>
      <c r="Q20" s="404">
        <f>-(-1982263-800-943459-147840-462500-140052-1834157-31550577-6000-644000-10000-1113036-340-266632-224942-1)</f>
        <v>39326599</v>
      </c>
      <c r="R20" s="474">
        <f t="shared" si="1"/>
        <v>6468792</v>
      </c>
    </row>
    <row r="21" spans="1:20">
      <c r="A21" s="412" t="s">
        <v>181</v>
      </c>
      <c r="B21" s="409">
        <v>0</v>
      </c>
      <c r="C21" s="409">
        <v>883849</v>
      </c>
      <c r="D21" s="404">
        <v>0</v>
      </c>
      <c r="E21" s="404">
        <v>0</v>
      </c>
      <c r="F21" s="404">
        <v>0</v>
      </c>
      <c r="G21" s="404">
        <v>0</v>
      </c>
      <c r="H21" s="404">
        <v>0</v>
      </c>
      <c r="I21" s="404">
        <v>0</v>
      </c>
      <c r="J21" s="404">
        <v>0</v>
      </c>
      <c r="L21" s="404">
        <v>0</v>
      </c>
      <c r="M21" s="404">
        <v>0</v>
      </c>
      <c r="N21" s="405">
        <f t="shared" si="0"/>
        <v>883849</v>
      </c>
      <c r="O21" s="406"/>
      <c r="P21" s="404"/>
      <c r="Q21" s="404"/>
      <c r="R21" s="474">
        <f t="shared" si="1"/>
        <v>883849</v>
      </c>
    </row>
    <row r="22" spans="1:20">
      <c r="A22" s="412" t="s">
        <v>77</v>
      </c>
      <c r="B22" s="409">
        <v>105894</v>
      </c>
      <c r="C22" s="404">
        <v>0</v>
      </c>
      <c r="D22" s="404">
        <v>373443</v>
      </c>
      <c r="E22" s="404">
        <v>0</v>
      </c>
      <c r="F22" s="404">
        <v>0</v>
      </c>
      <c r="G22" s="404">
        <v>0</v>
      </c>
      <c r="H22" s="404">
        <v>0</v>
      </c>
      <c r="I22" s="404">
        <v>0</v>
      </c>
      <c r="J22" s="404">
        <v>0</v>
      </c>
      <c r="K22" s="404">
        <v>2963501</v>
      </c>
      <c r="L22" s="404">
        <v>0</v>
      </c>
      <c r="M22" s="404">
        <v>0</v>
      </c>
      <c r="N22" s="405">
        <f t="shared" si="0"/>
        <v>3442838</v>
      </c>
      <c r="O22" s="406"/>
      <c r="P22" s="404"/>
      <c r="Q22" s="404"/>
      <c r="R22" s="474">
        <f t="shared" si="1"/>
        <v>3442838</v>
      </c>
    </row>
    <row r="23" spans="1:20">
      <c r="A23" s="477" t="s">
        <v>39</v>
      </c>
      <c r="B23" s="478">
        <f t="shared" ref="B23:N23" si="2">SUM(B5:B22)</f>
        <v>197414677</v>
      </c>
      <c r="C23" s="478">
        <f t="shared" si="2"/>
        <v>52108957</v>
      </c>
      <c r="D23" s="478">
        <f t="shared" si="2"/>
        <v>4668021</v>
      </c>
      <c r="E23" s="478">
        <f t="shared" si="2"/>
        <v>1160766</v>
      </c>
      <c r="F23" s="478">
        <f t="shared" si="2"/>
        <v>364945</v>
      </c>
      <c r="G23" s="478">
        <f t="shared" si="2"/>
        <v>373713</v>
      </c>
      <c r="H23" s="478">
        <f t="shared" si="2"/>
        <v>7989</v>
      </c>
      <c r="I23" s="478">
        <f t="shared" si="2"/>
        <v>10000</v>
      </c>
      <c r="J23" s="478">
        <f t="shared" si="2"/>
        <v>1140</v>
      </c>
      <c r="K23" s="478">
        <f t="shared" si="2"/>
        <v>5000055</v>
      </c>
      <c r="L23" s="478">
        <f t="shared" si="2"/>
        <v>649029</v>
      </c>
      <c r="M23" s="478">
        <f t="shared" si="2"/>
        <v>444697</v>
      </c>
      <c r="N23" s="478">
        <f t="shared" si="2"/>
        <v>262203989</v>
      </c>
      <c r="O23" s="479"/>
      <c r="P23" s="478">
        <f>+SUM(P5:P22)</f>
        <v>2558161.0000000056</v>
      </c>
      <c r="Q23" s="478">
        <f>+SUM(Q5:Q22)</f>
        <v>57189264</v>
      </c>
      <c r="R23" s="478">
        <f>SUM(R5:R22)</f>
        <v>207572886</v>
      </c>
    </row>
    <row r="24" spans="1:20">
      <c r="A24" s="412" t="s">
        <v>387</v>
      </c>
      <c r="B24" s="404">
        <v>260402</v>
      </c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05">
        <f>SUM(B24:M24)</f>
        <v>260402</v>
      </c>
      <c r="O24" s="406"/>
      <c r="P24" s="413">
        <v>0</v>
      </c>
      <c r="Q24" s="413">
        <v>0</v>
      </c>
      <c r="R24" s="407">
        <f>N24-P24+Q24</f>
        <v>260402</v>
      </c>
    </row>
    <row r="25" spans="1:20">
      <c r="A25" s="412" t="s">
        <v>388</v>
      </c>
      <c r="B25" s="404">
        <v>13413675</v>
      </c>
      <c r="C25" s="404">
        <v>0</v>
      </c>
      <c r="D25" s="404">
        <v>0</v>
      </c>
      <c r="E25" s="404">
        <v>0</v>
      </c>
      <c r="F25" s="404">
        <v>0</v>
      </c>
      <c r="G25" s="404">
        <v>0</v>
      </c>
      <c r="H25" s="404">
        <v>0</v>
      </c>
      <c r="I25" s="404">
        <v>0</v>
      </c>
      <c r="J25" s="404">
        <v>0</v>
      </c>
      <c r="K25" s="404">
        <v>0</v>
      </c>
      <c r="L25" s="404">
        <v>0</v>
      </c>
      <c r="M25" s="404">
        <v>0</v>
      </c>
      <c r="N25" s="405">
        <f>SUM(B25:M25)</f>
        <v>13413675</v>
      </c>
      <c r="O25" s="406"/>
      <c r="P25" s="404"/>
      <c r="Q25" s="404"/>
      <c r="R25" s="407">
        <f>N25-P25+Q25</f>
        <v>13413675</v>
      </c>
    </row>
    <row r="26" spans="1:20">
      <c r="A26" s="412" t="s">
        <v>389</v>
      </c>
      <c r="B26" s="404">
        <v>11459310</v>
      </c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5">
        <f>SUM(B26:M26)</f>
        <v>11459310</v>
      </c>
      <c r="O26" s="406"/>
      <c r="P26" s="404"/>
      <c r="Q26" s="404"/>
      <c r="R26" s="407">
        <f>N26-P26+Q26</f>
        <v>11459310</v>
      </c>
    </row>
    <row r="27" spans="1:20" ht="15.75" customHeight="1">
      <c r="A27" s="412" t="s">
        <v>79</v>
      </c>
      <c r="B27" s="404">
        <v>18438625</v>
      </c>
      <c r="C27" s="404">
        <v>2041083</v>
      </c>
      <c r="D27" s="404">
        <v>42437</v>
      </c>
      <c r="E27" s="404">
        <v>0</v>
      </c>
      <c r="F27" s="404"/>
      <c r="G27" s="404">
        <v>0</v>
      </c>
      <c r="H27" s="404">
        <v>0</v>
      </c>
      <c r="I27" s="404">
        <v>0</v>
      </c>
      <c r="J27" s="404">
        <v>0</v>
      </c>
      <c r="K27" s="404">
        <v>24357</v>
      </c>
      <c r="L27" s="404">
        <v>10173</v>
      </c>
      <c r="M27" s="404">
        <v>55288</v>
      </c>
      <c r="N27" s="405">
        <f t="shared" ref="N27:N39" si="3">SUM(B27:M27)</f>
        <v>20611963</v>
      </c>
      <c r="O27" s="406" t="s">
        <v>279</v>
      </c>
      <c r="P27" s="404">
        <v>175918</v>
      </c>
      <c r="Q27" s="404"/>
      <c r="R27" s="407">
        <f t="shared" ref="R27:R40" si="4">N27-P27+Q27</f>
        <v>20436045</v>
      </c>
    </row>
    <row r="28" spans="1:20" ht="15.75" customHeight="1">
      <c r="A28" s="412" t="s">
        <v>7</v>
      </c>
      <c r="B28" s="404">
        <v>1314903</v>
      </c>
      <c r="C28" s="404">
        <f>4733+865104+5397853+278023</f>
        <v>6545713</v>
      </c>
      <c r="D28" s="404">
        <v>0</v>
      </c>
      <c r="E28" s="404">
        <v>180603</v>
      </c>
      <c r="F28" s="404">
        <v>1296079</v>
      </c>
      <c r="G28" s="404">
        <v>0</v>
      </c>
      <c r="H28" s="404">
        <v>0</v>
      </c>
      <c r="I28" s="404">
        <v>0</v>
      </c>
      <c r="J28" s="404">
        <v>0</v>
      </c>
      <c r="K28" s="404">
        <v>0</v>
      </c>
      <c r="L28" s="404">
        <v>125748</v>
      </c>
      <c r="M28" s="404">
        <v>901340</v>
      </c>
      <c r="N28" s="405">
        <f t="shared" si="3"/>
        <v>10364386</v>
      </c>
      <c r="O28" s="406" t="s">
        <v>179</v>
      </c>
      <c r="P28" s="404">
        <f>8450783-26</f>
        <v>8450757</v>
      </c>
      <c r="Q28" s="404"/>
      <c r="R28" s="407">
        <f t="shared" si="4"/>
        <v>1913629</v>
      </c>
    </row>
    <row r="29" spans="1:20" ht="15.75" customHeight="1">
      <c r="A29" s="412" t="s">
        <v>350</v>
      </c>
      <c r="B29" s="404">
        <v>4228478</v>
      </c>
      <c r="C29" s="404">
        <v>0</v>
      </c>
      <c r="D29" s="404">
        <v>39874</v>
      </c>
      <c r="E29" s="404">
        <v>0</v>
      </c>
      <c r="F29" s="404">
        <v>0</v>
      </c>
      <c r="G29" s="404">
        <v>0</v>
      </c>
      <c r="H29" s="404">
        <v>0</v>
      </c>
      <c r="I29" s="404">
        <v>0</v>
      </c>
      <c r="J29" s="404">
        <v>0</v>
      </c>
      <c r="K29" s="404">
        <v>0</v>
      </c>
      <c r="L29" s="404">
        <v>6555</v>
      </c>
      <c r="M29" s="404">
        <v>0</v>
      </c>
      <c r="N29" s="405">
        <f t="shared" si="3"/>
        <v>4274907</v>
      </c>
      <c r="O29" s="406"/>
      <c r="P29" s="404"/>
      <c r="Q29" s="404"/>
      <c r="R29" s="407">
        <f t="shared" si="4"/>
        <v>4274907</v>
      </c>
    </row>
    <row r="30" spans="1:20" ht="15.75" customHeight="1">
      <c r="A30" s="412" t="s">
        <v>80</v>
      </c>
      <c r="B30" s="404">
        <v>4870701</v>
      </c>
      <c r="C30" s="404">
        <v>0</v>
      </c>
      <c r="D30" s="404">
        <v>19615</v>
      </c>
      <c r="E30" s="404">
        <v>0</v>
      </c>
      <c r="F30" s="404">
        <v>0</v>
      </c>
      <c r="G30" s="404">
        <v>0</v>
      </c>
      <c r="H30" s="404">
        <v>0</v>
      </c>
      <c r="I30" s="404">
        <v>0</v>
      </c>
      <c r="J30" s="404">
        <v>0</v>
      </c>
      <c r="K30" s="404">
        <v>551</v>
      </c>
      <c r="L30" s="404">
        <f>26629+15462+477</f>
        <v>42568</v>
      </c>
      <c r="M30" s="404">
        <v>22519</v>
      </c>
      <c r="N30" s="405">
        <f t="shared" si="3"/>
        <v>4955954</v>
      </c>
      <c r="O30" s="406" t="s">
        <v>380</v>
      </c>
      <c r="P30" s="404">
        <f>1380360+25</f>
        <v>1380385</v>
      </c>
      <c r="Q30" s="404">
        <f>+'Inversiones 2018'!X165</f>
        <v>112799</v>
      </c>
      <c r="R30" s="407">
        <f>N30-P30+Q30</f>
        <v>3688368</v>
      </c>
    </row>
    <row r="31" spans="1:20" ht="15.75" customHeight="1">
      <c r="A31" s="412" t="s">
        <v>81</v>
      </c>
      <c r="B31" s="404">
        <v>1953502</v>
      </c>
      <c r="C31" s="404">
        <f>6540980-865104-5397853-278023</f>
        <v>0</v>
      </c>
      <c r="D31" s="404">
        <v>0</v>
      </c>
      <c r="E31" s="404">
        <v>0</v>
      </c>
      <c r="F31" s="404">
        <v>0</v>
      </c>
      <c r="G31" s="404">
        <v>0</v>
      </c>
      <c r="H31" s="404">
        <v>0</v>
      </c>
      <c r="I31" s="404">
        <v>0</v>
      </c>
      <c r="J31" s="404">
        <v>0</v>
      </c>
      <c r="K31" s="404">
        <v>0</v>
      </c>
      <c r="L31" s="404">
        <v>0</v>
      </c>
      <c r="M31" s="404">
        <v>0</v>
      </c>
      <c r="N31" s="405">
        <f t="shared" si="3"/>
        <v>1953502</v>
      </c>
      <c r="O31" s="406"/>
      <c r="P31" s="404"/>
      <c r="Q31" s="404"/>
      <c r="R31" s="407">
        <f t="shared" si="4"/>
        <v>1953502</v>
      </c>
    </row>
    <row r="32" spans="1:20" ht="15.75" customHeight="1">
      <c r="A32" s="412" t="s">
        <v>82</v>
      </c>
      <c r="B32" s="404">
        <v>4524107</v>
      </c>
      <c r="C32" s="404">
        <v>0</v>
      </c>
      <c r="D32" s="404">
        <v>14447</v>
      </c>
      <c r="E32" s="404">
        <v>0</v>
      </c>
      <c r="F32" s="404">
        <v>0</v>
      </c>
      <c r="G32" s="404">
        <v>0</v>
      </c>
      <c r="H32" s="404">
        <v>0</v>
      </c>
      <c r="I32" s="404">
        <v>0</v>
      </c>
      <c r="J32" s="404">
        <v>0</v>
      </c>
      <c r="K32" s="404">
        <v>6596</v>
      </c>
      <c r="L32" s="404">
        <f>11535+2782</f>
        <v>14317</v>
      </c>
      <c r="M32" s="404">
        <v>0</v>
      </c>
      <c r="N32" s="405">
        <f t="shared" si="3"/>
        <v>4559467</v>
      </c>
      <c r="O32" s="406"/>
      <c r="P32" s="404"/>
      <c r="Q32" s="404"/>
      <c r="R32" s="407">
        <f t="shared" si="4"/>
        <v>4559467</v>
      </c>
    </row>
    <row r="33" spans="1:23" ht="15.75" customHeight="1">
      <c r="A33" s="412" t="s">
        <v>83</v>
      </c>
      <c r="B33" s="409">
        <v>4183053</v>
      </c>
      <c r="C33" s="404">
        <v>0</v>
      </c>
      <c r="D33" s="404">
        <v>0</v>
      </c>
      <c r="E33" s="404">
        <v>0</v>
      </c>
      <c r="F33" s="404">
        <v>0</v>
      </c>
      <c r="G33" s="404">
        <v>0</v>
      </c>
      <c r="H33" s="404">
        <v>0</v>
      </c>
      <c r="I33" s="404">
        <v>0</v>
      </c>
      <c r="J33" s="404">
        <v>0</v>
      </c>
      <c r="K33" s="404">
        <v>0</v>
      </c>
      <c r="L33" s="404">
        <v>0</v>
      </c>
      <c r="M33" s="404">
        <v>0</v>
      </c>
      <c r="N33" s="405">
        <f t="shared" si="3"/>
        <v>4183053</v>
      </c>
      <c r="O33" s="406"/>
      <c r="P33" s="404"/>
      <c r="Q33" s="404"/>
      <c r="R33" s="407">
        <f t="shared" si="4"/>
        <v>4183053</v>
      </c>
    </row>
    <row r="34" spans="1:23" ht="15.75" customHeight="1">
      <c r="A34" s="412" t="s">
        <v>390</v>
      </c>
      <c r="B34" s="409">
        <v>9674932</v>
      </c>
      <c r="C34" s="404">
        <v>0</v>
      </c>
      <c r="D34" s="404">
        <v>0</v>
      </c>
      <c r="E34" s="404">
        <v>0</v>
      </c>
      <c r="F34" s="404">
        <v>0</v>
      </c>
      <c r="G34" s="404">
        <v>0</v>
      </c>
      <c r="H34" s="404">
        <v>0</v>
      </c>
      <c r="I34" s="404">
        <v>0</v>
      </c>
      <c r="J34" s="404">
        <v>0</v>
      </c>
      <c r="K34" s="404">
        <v>0</v>
      </c>
      <c r="L34" s="404">
        <v>0</v>
      </c>
      <c r="M34" s="404">
        <v>0</v>
      </c>
      <c r="N34" s="405">
        <f t="shared" si="3"/>
        <v>9674932</v>
      </c>
      <c r="O34" s="406"/>
      <c r="P34" s="404"/>
      <c r="Q34" s="404"/>
      <c r="R34" s="407">
        <f t="shared" si="4"/>
        <v>9674932</v>
      </c>
    </row>
    <row r="35" spans="1:23" ht="15.75" customHeight="1">
      <c r="A35" s="412" t="s">
        <v>391</v>
      </c>
      <c r="B35" s="409">
        <v>6710516</v>
      </c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5">
        <f t="shared" si="3"/>
        <v>6710516</v>
      </c>
      <c r="O35" s="406"/>
      <c r="P35" s="404"/>
      <c r="Q35" s="404"/>
      <c r="R35" s="407">
        <f t="shared" si="4"/>
        <v>6710516</v>
      </c>
    </row>
    <row r="36" spans="1:23" ht="15.75" customHeight="1">
      <c r="A36" s="412" t="s">
        <v>214</v>
      </c>
      <c r="B36" s="409">
        <v>2203673</v>
      </c>
      <c r="C36" s="404">
        <v>0</v>
      </c>
      <c r="D36" s="404">
        <v>0</v>
      </c>
      <c r="E36" s="404">
        <v>0</v>
      </c>
      <c r="F36" s="404">
        <v>0</v>
      </c>
      <c r="G36" s="404">
        <v>0</v>
      </c>
      <c r="H36" s="404">
        <v>0</v>
      </c>
      <c r="I36" s="404">
        <v>0</v>
      </c>
      <c r="J36" s="404">
        <v>0</v>
      </c>
      <c r="K36" s="404">
        <v>0</v>
      </c>
      <c r="L36" s="404">
        <v>0</v>
      </c>
      <c r="M36" s="404">
        <v>0</v>
      </c>
      <c r="N36" s="405">
        <f t="shared" si="3"/>
        <v>2203673</v>
      </c>
      <c r="O36" s="406"/>
      <c r="P36" s="404"/>
      <c r="Q36" s="404"/>
      <c r="R36" s="407">
        <f t="shared" si="4"/>
        <v>2203673</v>
      </c>
    </row>
    <row r="37" spans="1:23" ht="15.75" customHeight="1">
      <c r="A37" s="412" t="s">
        <v>84</v>
      </c>
      <c r="B37" s="409">
        <v>10628880</v>
      </c>
      <c r="C37" s="404">
        <v>0</v>
      </c>
      <c r="D37" s="409">
        <v>2566935</v>
      </c>
      <c r="E37" s="404">
        <v>0</v>
      </c>
      <c r="F37" s="404">
        <v>0</v>
      </c>
      <c r="G37" s="404">
        <v>0</v>
      </c>
      <c r="H37" s="404">
        <v>0</v>
      </c>
      <c r="I37" s="404">
        <v>0</v>
      </c>
      <c r="J37" s="404">
        <v>0</v>
      </c>
      <c r="K37" s="409">
        <v>3477854</v>
      </c>
      <c r="L37" s="404">
        <v>507600</v>
      </c>
      <c r="M37" s="404">
        <v>0</v>
      </c>
      <c r="N37" s="405">
        <f t="shared" si="3"/>
        <v>17181269</v>
      </c>
      <c r="O37" s="406" t="s">
        <v>279</v>
      </c>
      <c r="P37" s="404">
        <v>6552389</v>
      </c>
      <c r="Q37" s="404"/>
      <c r="R37" s="407">
        <f t="shared" si="4"/>
        <v>10628880</v>
      </c>
    </row>
    <row r="38" spans="1:23" ht="15.75" customHeight="1">
      <c r="A38" s="412" t="s">
        <v>284</v>
      </c>
      <c r="B38" s="409">
        <v>3182459</v>
      </c>
      <c r="C38" s="404">
        <v>0</v>
      </c>
      <c r="D38" s="404">
        <v>0</v>
      </c>
      <c r="E38" s="404">
        <v>0</v>
      </c>
      <c r="F38" s="404">
        <v>0</v>
      </c>
      <c r="G38" s="404">
        <v>0</v>
      </c>
      <c r="H38" s="404">
        <v>0</v>
      </c>
      <c r="I38" s="404">
        <v>0</v>
      </c>
      <c r="J38" s="404">
        <v>0</v>
      </c>
      <c r="K38" s="404">
        <v>16045</v>
      </c>
      <c r="L38" s="404">
        <v>0</v>
      </c>
      <c r="M38" s="404">
        <v>0</v>
      </c>
      <c r="N38" s="405">
        <f t="shared" si="3"/>
        <v>3198504</v>
      </c>
      <c r="O38" s="406" t="s">
        <v>279</v>
      </c>
      <c r="P38" s="404">
        <v>882525</v>
      </c>
      <c r="Q38" s="404"/>
      <c r="R38" s="407">
        <f>N38-P38+Q38</f>
        <v>2315979</v>
      </c>
    </row>
    <row r="39" spans="1:23" ht="15.75" customHeight="1">
      <c r="A39" s="412" t="s">
        <v>86</v>
      </c>
      <c r="B39" s="409">
        <v>5140510</v>
      </c>
      <c r="C39" s="404">
        <v>0</v>
      </c>
      <c r="D39" s="404">
        <v>0</v>
      </c>
      <c r="E39" s="404">
        <v>0</v>
      </c>
      <c r="F39" s="404">
        <v>0</v>
      </c>
      <c r="G39" s="404">
        <v>0</v>
      </c>
      <c r="H39" s="404">
        <v>0</v>
      </c>
      <c r="I39" s="404">
        <v>0</v>
      </c>
      <c r="J39" s="404">
        <v>0</v>
      </c>
      <c r="K39" s="409">
        <v>0</v>
      </c>
      <c r="L39" s="409">
        <v>45037</v>
      </c>
      <c r="M39" s="404">
        <v>0</v>
      </c>
      <c r="N39" s="405">
        <f t="shared" si="3"/>
        <v>5185547</v>
      </c>
      <c r="O39" s="406"/>
      <c r="P39" s="404"/>
      <c r="Q39" s="404"/>
      <c r="R39" s="407">
        <f t="shared" si="4"/>
        <v>5185547</v>
      </c>
    </row>
    <row r="40" spans="1:23" ht="15.75" customHeight="1">
      <c r="A40" s="412" t="s">
        <v>85</v>
      </c>
      <c r="B40" s="409">
        <v>20813206</v>
      </c>
      <c r="C40" s="404">
        <v>0</v>
      </c>
      <c r="D40" s="404">
        <v>0</v>
      </c>
      <c r="E40" s="404">
        <v>0</v>
      </c>
      <c r="F40" s="404">
        <v>0</v>
      </c>
      <c r="G40" s="404">
        <v>0</v>
      </c>
      <c r="H40" s="404">
        <v>0</v>
      </c>
      <c r="I40" s="404">
        <v>0</v>
      </c>
      <c r="J40" s="404">
        <v>0</v>
      </c>
      <c r="K40" s="409">
        <v>0</v>
      </c>
      <c r="L40" s="404">
        <v>0</v>
      </c>
      <c r="M40" s="404">
        <v>0</v>
      </c>
      <c r="N40" s="405">
        <f>SUM(B40:M40)</f>
        <v>20813206</v>
      </c>
      <c r="O40" s="406"/>
      <c r="P40" s="404"/>
      <c r="Q40" s="404"/>
      <c r="R40" s="407">
        <f t="shared" si="4"/>
        <v>20813206</v>
      </c>
    </row>
    <row r="41" spans="1:23" ht="15.75" customHeight="1" thickBot="1">
      <c r="A41" s="412" t="s">
        <v>87</v>
      </c>
      <c r="B41" s="410">
        <v>3572443</v>
      </c>
      <c r="C41" s="410">
        <v>0</v>
      </c>
      <c r="D41" s="410">
        <v>0</v>
      </c>
      <c r="E41" s="410">
        <v>0</v>
      </c>
      <c r="F41" s="410">
        <v>0</v>
      </c>
      <c r="G41" s="410">
        <v>0</v>
      </c>
      <c r="H41" s="410">
        <v>0</v>
      </c>
      <c r="I41" s="410">
        <v>0</v>
      </c>
      <c r="J41" s="410">
        <v>0</v>
      </c>
      <c r="K41" s="410">
        <v>0</v>
      </c>
      <c r="L41" s="410">
        <v>0</v>
      </c>
      <c r="M41" s="410">
        <v>0</v>
      </c>
      <c r="N41" s="411">
        <f>SUM(B41:M41)</f>
        <v>3572443</v>
      </c>
      <c r="O41" s="406"/>
      <c r="P41" s="404"/>
      <c r="Q41" s="404"/>
      <c r="R41" s="465">
        <f>N41-P41+Q41</f>
        <v>3572443</v>
      </c>
    </row>
    <row r="42" spans="1:23">
      <c r="A42" s="477" t="s">
        <v>40</v>
      </c>
      <c r="B42" s="478">
        <f>SUM(B24:B41)</f>
        <v>126573375</v>
      </c>
      <c r="C42" s="478">
        <f t="shared" ref="C42:M42" si="5">SUM(C25:C41)</f>
        <v>8586796</v>
      </c>
      <c r="D42" s="478">
        <f t="shared" si="5"/>
        <v>2683308</v>
      </c>
      <c r="E42" s="478">
        <f t="shared" si="5"/>
        <v>180603</v>
      </c>
      <c r="F42" s="478">
        <f t="shared" si="5"/>
        <v>1296079</v>
      </c>
      <c r="G42" s="478">
        <f t="shared" si="5"/>
        <v>0</v>
      </c>
      <c r="H42" s="478">
        <f t="shared" si="5"/>
        <v>0</v>
      </c>
      <c r="I42" s="478">
        <f t="shared" si="5"/>
        <v>0</v>
      </c>
      <c r="J42" s="478">
        <f t="shared" si="5"/>
        <v>0</v>
      </c>
      <c r="K42" s="478">
        <f t="shared" si="5"/>
        <v>3525403</v>
      </c>
      <c r="L42" s="478">
        <f t="shared" si="5"/>
        <v>751998</v>
      </c>
      <c r="M42" s="478">
        <f t="shared" si="5"/>
        <v>979147</v>
      </c>
      <c r="N42" s="478">
        <f>SUM(N24:N41)</f>
        <v>144576709</v>
      </c>
      <c r="O42" s="479"/>
      <c r="P42" s="478"/>
      <c r="Q42" s="478"/>
      <c r="R42" s="478">
        <f>SUM(R24:R41)</f>
        <v>127247534</v>
      </c>
    </row>
    <row r="43" spans="1:23" ht="15.75" customHeight="1">
      <c r="A43" s="412" t="s">
        <v>8</v>
      </c>
      <c r="B43" s="404">
        <v>30006697</v>
      </c>
      <c r="C43" s="414">
        <v>5000</v>
      </c>
      <c r="D43" s="414">
        <v>1105000</v>
      </c>
      <c r="E43" s="414">
        <v>10000</v>
      </c>
      <c r="F43" s="404">
        <v>1000</v>
      </c>
      <c r="G43" s="404">
        <v>1000</v>
      </c>
      <c r="H43" s="404">
        <v>5000</v>
      </c>
      <c r="I43" s="404">
        <v>10000</v>
      </c>
      <c r="J43" s="404">
        <v>800</v>
      </c>
      <c r="K43" s="404">
        <v>800</v>
      </c>
      <c r="L43" s="404">
        <v>3661400</v>
      </c>
      <c r="M43" s="404">
        <v>10000</v>
      </c>
      <c r="N43" s="405">
        <f>SUM(B43:M43)</f>
        <v>34816697</v>
      </c>
      <c r="O43" s="406" t="s">
        <v>280</v>
      </c>
      <c r="P43" s="404">
        <f>-(-1104950-800-6800-500-750-4640-740-3751-6000-3624786-10000)</f>
        <v>4763717</v>
      </c>
      <c r="Q43" s="404"/>
      <c r="R43" s="407">
        <f>N43-P43+Q43</f>
        <v>30052980</v>
      </c>
      <c r="S43" s="400"/>
    </row>
    <row r="44" spans="1:23" ht="15.75" customHeight="1">
      <c r="A44" s="412" t="s">
        <v>88</v>
      </c>
      <c r="B44" s="404">
        <v>920</v>
      </c>
      <c r="C44" s="414">
        <v>42340052</v>
      </c>
      <c r="D44" s="414">
        <v>877313</v>
      </c>
      <c r="E44" s="404">
        <v>0</v>
      </c>
      <c r="F44" s="404">
        <v>49015</v>
      </c>
      <c r="G44" s="404">
        <v>330450</v>
      </c>
      <c r="H44" s="404">
        <v>0</v>
      </c>
      <c r="I44" s="404">
        <v>0</v>
      </c>
      <c r="J44" s="404">
        <v>0</v>
      </c>
      <c r="K44" s="404">
        <v>1833417</v>
      </c>
      <c r="L44" s="404">
        <v>406800</v>
      </c>
      <c r="M44" s="404">
        <v>0</v>
      </c>
      <c r="N44" s="405">
        <f t="shared" ref="N44:N50" si="6">SUM(B44:M44)</f>
        <v>45837967</v>
      </c>
      <c r="O44" s="406" t="s">
        <v>280</v>
      </c>
      <c r="P44" s="404">
        <f>-(-877313-49015-330450-1833417-31546825-292500)</f>
        <v>34929520</v>
      </c>
      <c r="Q44" s="404"/>
      <c r="R44" s="407">
        <f t="shared" ref="R44:R50" si="7">N44-P44+Q44</f>
        <v>10908447</v>
      </c>
      <c r="S44" s="400"/>
      <c r="V44" s="415"/>
    </row>
    <row r="45" spans="1:23" ht="15.75" customHeight="1">
      <c r="A45" s="412" t="s">
        <v>17</v>
      </c>
      <c r="B45" s="404">
        <v>4662954</v>
      </c>
      <c r="C45" s="404">
        <v>0</v>
      </c>
      <c r="D45" s="404">
        <v>0</v>
      </c>
      <c r="E45" s="414">
        <v>0</v>
      </c>
      <c r="F45" s="404">
        <v>500</v>
      </c>
      <c r="G45" s="404">
        <v>0</v>
      </c>
      <c r="H45" s="404">
        <v>0</v>
      </c>
      <c r="I45" s="404">
        <v>0</v>
      </c>
      <c r="J45" s="404">
        <v>340</v>
      </c>
      <c r="K45" s="404">
        <v>0</v>
      </c>
      <c r="L45" s="404">
        <v>0</v>
      </c>
      <c r="M45" s="404">
        <v>0</v>
      </c>
      <c r="N45" s="405">
        <f t="shared" si="6"/>
        <v>4663794</v>
      </c>
      <c r="O45" s="406" t="s">
        <v>278</v>
      </c>
      <c r="P45" s="404">
        <f>-(-500-340)</f>
        <v>840</v>
      </c>
      <c r="Q45" s="404"/>
      <c r="R45" s="407">
        <f t="shared" si="7"/>
        <v>4662954</v>
      </c>
      <c r="S45" s="400"/>
    </row>
    <row r="46" spans="1:23" ht="15.75" customHeight="1">
      <c r="A46" s="412" t="s">
        <v>19</v>
      </c>
      <c r="B46" s="404">
        <v>34797</v>
      </c>
      <c r="C46" s="404">
        <v>0</v>
      </c>
      <c r="D46" s="404">
        <v>0</v>
      </c>
      <c r="E46" s="404">
        <v>0</v>
      </c>
      <c r="F46" s="404">
        <v>0</v>
      </c>
      <c r="G46" s="404">
        <v>0</v>
      </c>
      <c r="H46" s="404">
        <v>0</v>
      </c>
      <c r="I46" s="404">
        <v>0</v>
      </c>
      <c r="J46" s="404">
        <v>0</v>
      </c>
      <c r="K46" s="404">
        <v>0</v>
      </c>
      <c r="L46" s="404">
        <v>0</v>
      </c>
      <c r="M46" s="404">
        <v>0</v>
      </c>
      <c r="N46" s="405">
        <f t="shared" si="6"/>
        <v>34797</v>
      </c>
      <c r="O46" s="406"/>
      <c r="P46" s="404"/>
      <c r="Q46" s="404"/>
      <c r="R46" s="407">
        <f t="shared" si="7"/>
        <v>34797</v>
      </c>
      <c r="S46" s="400"/>
    </row>
    <row r="47" spans="1:23" ht="15.75" customHeight="1">
      <c r="A47" s="412" t="s">
        <v>18</v>
      </c>
      <c r="B47" s="404">
        <v>227072</v>
      </c>
      <c r="C47" s="404">
        <v>0</v>
      </c>
      <c r="D47" s="404">
        <v>0</v>
      </c>
      <c r="E47" s="414">
        <v>74426</v>
      </c>
      <c r="F47" s="404">
        <v>0</v>
      </c>
      <c r="G47" s="404">
        <v>109633</v>
      </c>
      <c r="H47" s="404">
        <v>1226</v>
      </c>
      <c r="I47" s="404">
        <v>0</v>
      </c>
      <c r="J47" s="404">
        <v>0</v>
      </c>
      <c r="K47" s="404">
        <v>0</v>
      </c>
      <c r="L47" s="404">
        <v>274690</v>
      </c>
      <c r="M47" s="404">
        <v>0</v>
      </c>
      <c r="N47" s="405">
        <f t="shared" si="6"/>
        <v>687047</v>
      </c>
      <c r="O47" s="406" t="s">
        <v>278</v>
      </c>
      <c r="P47" s="404">
        <f>-(-74426-109633-1226-274690)</f>
        <v>459975</v>
      </c>
      <c r="Q47" s="404"/>
      <c r="R47" s="407">
        <f t="shared" si="7"/>
        <v>227072</v>
      </c>
      <c r="S47" s="400"/>
      <c r="V47" s="400"/>
    </row>
    <row r="48" spans="1:23" ht="15.75" customHeight="1">
      <c r="A48" s="412" t="s">
        <v>20</v>
      </c>
      <c r="B48" s="404">
        <v>-3202431</v>
      </c>
      <c r="C48" s="404">
        <v>0</v>
      </c>
      <c r="D48" s="404">
        <v>0</v>
      </c>
      <c r="E48" s="404">
        <v>0</v>
      </c>
      <c r="F48" s="404">
        <v>0</v>
      </c>
      <c r="G48" s="404">
        <v>0</v>
      </c>
      <c r="H48" s="404">
        <v>0</v>
      </c>
      <c r="I48" s="404">
        <v>0</v>
      </c>
      <c r="J48" s="404">
        <v>0</v>
      </c>
      <c r="K48" s="404">
        <v>0</v>
      </c>
      <c r="L48" s="404">
        <v>-56932</v>
      </c>
      <c r="M48" s="404">
        <v>0</v>
      </c>
      <c r="N48" s="405">
        <f t="shared" si="6"/>
        <v>-3259363</v>
      </c>
      <c r="O48" s="406" t="s">
        <v>280</v>
      </c>
      <c r="P48" s="404"/>
      <c r="Q48" s="404">
        <v>56932</v>
      </c>
      <c r="R48" s="407">
        <f t="shared" si="7"/>
        <v>-3202431</v>
      </c>
      <c r="S48" s="400"/>
      <c r="W48" s="402"/>
    </row>
    <row r="49" spans="1:23" ht="15.75" customHeight="1">
      <c r="A49" s="412" t="s">
        <v>392</v>
      </c>
      <c r="B49" s="404">
        <f>1849659-495802</f>
        <v>1353857</v>
      </c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>
        <f t="shared" si="6"/>
        <v>1353857</v>
      </c>
      <c r="O49" s="406"/>
      <c r="P49" s="404"/>
      <c r="Q49" s="404"/>
      <c r="R49" s="407">
        <f t="shared" si="7"/>
        <v>1353857</v>
      </c>
      <c r="S49" s="400"/>
      <c r="W49" s="402"/>
    </row>
    <row r="50" spans="1:23" ht="15.75" customHeight="1">
      <c r="A50" s="412" t="s">
        <v>21</v>
      </c>
      <c r="B50" s="404">
        <f>31666289+495802-200+5595545</f>
        <v>37757436</v>
      </c>
      <c r="C50" s="414">
        <f>2254833-1077724</f>
        <v>1177109</v>
      </c>
      <c r="D50" s="414">
        <f>-16937+19337</f>
        <v>2400</v>
      </c>
      <c r="E50" s="414">
        <f>911628-15891</f>
        <v>895737</v>
      </c>
      <c r="F50" s="404">
        <f>-488265-493384</f>
        <v>-981649</v>
      </c>
      <c r="G50" s="404">
        <f>-53896-13474</f>
        <v>-67370</v>
      </c>
      <c r="H50" s="404">
        <v>1763</v>
      </c>
      <c r="I50" s="404">
        <v>0</v>
      </c>
      <c r="J50" s="404">
        <v>0</v>
      </c>
      <c r="K50" s="404">
        <f>-15422-344143</f>
        <v>-359565</v>
      </c>
      <c r="L50" s="404">
        <f>-3886526-502401</f>
        <v>-4388927</v>
      </c>
      <c r="M50" s="404">
        <f>-142959-401491</f>
        <v>-544450</v>
      </c>
      <c r="N50" s="405">
        <f t="shared" si="6"/>
        <v>33492484</v>
      </c>
      <c r="O50" s="406" t="s">
        <v>281</v>
      </c>
      <c r="P50" s="404">
        <f>-(-862233-97825-21667-1763-822437-266632-224942)</f>
        <v>2297499</v>
      </c>
      <c r="Q50" s="404">
        <f>3491044+394445+42502+1160144+4556</f>
        <v>5092691</v>
      </c>
      <c r="R50" s="404">
        <f t="shared" si="7"/>
        <v>36287676</v>
      </c>
      <c r="S50" s="400"/>
      <c r="T50" s="400"/>
      <c r="V50" s="400"/>
      <c r="W50" s="402"/>
    </row>
    <row r="51" spans="1:23">
      <c r="A51" s="477" t="s">
        <v>41</v>
      </c>
      <c r="B51" s="478">
        <f t="shared" ref="B51:N51" si="8">SUM(B43:B50)</f>
        <v>70841302</v>
      </c>
      <c r="C51" s="478">
        <f t="shared" si="8"/>
        <v>43522161</v>
      </c>
      <c r="D51" s="478">
        <f t="shared" si="8"/>
        <v>1984713</v>
      </c>
      <c r="E51" s="478">
        <f t="shared" si="8"/>
        <v>980163</v>
      </c>
      <c r="F51" s="478">
        <f t="shared" si="8"/>
        <v>-931134</v>
      </c>
      <c r="G51" s="478">
        <f t="shared" si="8"/>
        <v>373713</v>
      </c>
      <c r="H51" s="478">
        <f t="shared" si="8"/>
        <v>7989</v>
      </c>
      <c r="I51" s="478">
        <f t="shared" si="8"/>
        <v>10000</v>
      </c>
      <c r="J51" s="478">
        <f t="shared" si="8"/>
        <v>1140</v>
      </c>
      <c r="K51" s="478">
        <f t="shared" si="8"/>
        <v>1474652</v>
      </c>
      <c r="L51" s="478">
        <f t="shared" si="8"/>
        <v>-102969</v>
      </c>
      <c r="M51" s="478">
        <f t="shared" si="8"/>
        <v>-534450</v>
      </c>
      <c r="N51" s="478">
        <f t="shared" si="8"/>
        <v>117627280</v>
      </c>
      <c r="O51" s="479"/>
      <c r="P51" s="478">
        <f>+SUM(P24:P50)</f>
        <v>59893525</v>
      </c>
      <c r="Q51" s="478">
        <f>+SUM(Q24:Q50)</f>
        <v>5262422</v>
      </c>
      <c r="R51" s="478">
        <f>SUM(R43:R50)</f>
        <v>80325352</v>
      </c>
    </row>
    <row r="52" spans="1:23" s="472" customFormat="1" ht="15.75" customHeight="1">
      <c r="A52" s="421"/>
      <c r="B52" s="470">
        <f>B23-B42-B51</f>
        <v>0</v>
      </c>
      <c r="C52" s="470">
        <f t="shared" ref="C52:N52" si="9">C23-C42-C51</f>
        <v>0</v>
      </c>
      <c r="D52" s="470">
        <f t="shared" si="9"/>
        <v>0</v>
      </c>
      <c r="E52" s="470">
        <f t="shared" si="9"/>
        <v>0</v>
      </c>
      <c r="F52" s="470">
        <f t="shared" si="9"/>
        <v>0</v>
      </c>
      <c r="G52" s="470">
        <f t="shared" si="9"/>
        <v>0</v>
      </c>
      <c r="H52" s="470">
        <f t="shared" si="9"/>
        <v>0</v>
      </c>
      <c r="I52" s="470">
        <f t="shared" si="9"/>
        <v>0</v>
      </c>
      <c r="J52" s="470">
        <f t="shared" si="9"/>
        <v>0</v>
      </c>
      <c r="K52" s="470">
        <f t="shared" si="9"/>
        <v>0</v>
      </c>
      <c r="L52" s="470">
        <f t="shared" si="9"/>
        <v>0</v>
      </c>
      <c r="M52" s="470">
        <f t="shared" si="9"/>
        <v>0</v>
      </c>
      <c r="N52" s="470">
        <f t="shared" si="9"/>
        <v>0</v>
      </c>
      <c r="O52" s="471"/>
      <c r="P52" s="470">
        <f t="shared" ref="P52" si="10">P23-P42-P51</f>
        <v>-57335363.999999993</v>
      </c>
      <c r="Q52" s="470">
        <f t="shared" ref="Q52" si="11">Q23-Q42-Q51</f>
        <v>51926842</v>
      </c>
      <c r="R52" s="470">
        <f t="shared" ref="R52" si="12">R23-R42-R51</f>
        <v>0</v>
      </c>
      <c r="S52" s="473">
        <f>+R51+R42</f>
        <v>207572886</v>
      </c>
      <c r="T52" s="473">
        <f>+S52-R23</f>
        <v>0</v>
      </c>
    </row>
    <row r="53" spans="1:23" s="472" customFormat="1" ht="15.75" customHeight="1">
      <c r="A53" s="421"/>
      <c r="B53" s="470"/>
      <c r="C53" s="470"/>
      <c r="D53" s="47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1"/>
      <c r="P53" s="470">
        <f>+Q23-P23</f>
        <v>54631102.999999993</v>
      </c>
      <c r="Q53" s="476">
        <f>+P51-Q51</f>
        <v>54631103</v>
      </c>
      <c r="R53" s="470"/>
      <c r="S53" s="473"/>
      <c r="T53" s="473"/>
    </row>
    <row r="54" spans="1:23" ht="78" customHeight="1">
      <c r="A54" s="431" t="s">
        <v>4</v>
      </c>
      <c r="B54" s="432" t="s">
        <v>515</v>
      </c>
      <c r="C54" s="432" t="s">
        <v>525</v>
      </c>
      <c r="D54" s="432" t="s">
        <v>516</v>
      </c>
      <c r="E54" s="432" t="s">
        <v>517</v>
      </c>
      <c r="F54" s="432" t="s">
        <v>518</v>
      </c>
      <c r="G54" s="432" t="s">
        <v>519</v>
      </c>
      <c r="H54" s="432" t="s">
        <v>520</v>
      </c>
      <c r="I54" s="432" t="s">
        <v>526</v>
      </c>
      <c r="J54" s="432" t="s">
        <v>524</v>
      </c>
      <c r="K54" s="432" t="s">
        <v>521</v>
      </c>
      <c r="L54" s="432" t="s">
        <v>522</v>
      </c>
      <c r="M54" s="432" t="s">
        <v>523</v>
      </c>
      <c r="N54" s="432" t="s">
        <v>15</v>
      </c>
      <c r="O54" s="432" t="s">
        <v>10</v>
      </c>
      <c r="P54" s="432" t="s">
        <v>12</v>
      </c>
      <c r="Q54" s="432" t="s">
        <v>13</v>
      </c>
      <c r="R54" s="432" t="s">
        <v>423</v>
      </c>
    </row>
    <row r="55" spans="1:23" ht="15.75" customHeight="1">
      <c r="A55" s="533" t="s">
        <v>89</v>
      </c>
      <c r="B55" s="466">
        <v>152924768</v>
      </c>
      <c r="C55" s="466">
        <v>1907995</v>
      </c>
      <c r="D55" s="466">
        <v>636407</v>
      </c>
      <c r="E55" s="466">
        <v>0</v>
      </c>
      <c r="F55" s="466">
        <v>0</v>
      </c>
      <c r="G55" s="466">
        <v>0</v>
      </c>
      <c r="H55" s="466">
        <v>0</v>
      </c>
      <c r="I55" s="466">
        <v>0</v>
      </c>
      <c r="J55" s="466">
        <v>0</v>
      </c>
      <c r="K55" s="466">
        <v>120923</v>
      </c>
      <c r="L55" s="466">
        <v>280002</v>
      </c>
      <c r="M55" s="466">
        <v>162445</v>
      </c>
      <c r="N55" s="467">
        <f>SUM(B55:M55)</f>
        <v>156032540</v>
      </c>
      <c r="O55" s="468" t="s">
        <v>178</v>
      </c>
      <c r="P55" s="466">
        <f>'Ventas-Compras (d)'!D26</f>
        <v>376468.58</v>
      </c>
      <c r="Q55" s="466"/>
      <c r="R55" s="469">
        <f t="shared" ref="R55" si="13">N55-P55+Q55</f>
        <v>155656071.41999999</v>
      </c>
    </row>
    <row r="56" spans="1:23" ht="15.75" customHeight="1" thickBot="1">
      <c r="A56" s="412" t="s">
        <v>90</v>
      </c>
      <c r="B56" s="419">
        <v>-100189814</v>
      </c>
      <c r="C56" s="419">
        <v>-2677882</v>
      </c>
      <c r="D56" s="419">
        <v>-187557</v>
      </c>
      <c r="E56" s="419">
        <v>0</v>
      </c>
      <c r="F56" s="419">
        <v>0</v>
      </c>
      <c r="G56" s="419">
        <v>0</v>
      </c>
      <c r="H56" s="419">
        <v>0</v>
      </c>
      <c r="I56" s="419">
        <v>0</v>
      </c>
      <c r="J56" s="419">
        <v>0</v>
      </c>
      <c r="K56" s="419">
        <v>-299751</v>
      </c>
      <c r="L56" s="419">
        <v>-199020</v>
      </c>
      <c r="M56" s="419">
        <v>-118573</v>
      </c>
      <c r="N56" s="411">
        <f>SUM(B56:M56)</f>
        <v>-103672597</v>
      </c>
      <c r="O56" s="418" t="s">
        <v>178</v>
      </c>
      <c r="P56" s="419"/>
      <c r="Q56" s="419">
        <f>'Ventas-Compras (d)'!E27</f>
        <v>357344</v>
      </c>
      <c r="R56" s="410">
        <f>N56-P56+Q56</f>
        <v>-103315253</v>
      </c>
    </row>
    <row r="57" spans="1:23" ht="15.75" customHeight="1">
      <c r="A57" s="412" t="s">
        <v>94</v>
      </c>
      <c r="B57" s="420">
        <f t="shared" ref="B57:M57" si="14">SUM(B55:B56)</f>
        <v>52734954</v>
      </c>
      <c r="C57" s="420">
        <f t="shared" si="14"/>
        <v>-769887</v>
      </c>
      <c r="D57" s="420">
        <f t="shared" si="14"/>
        <v>448850</v>
      </c>
      <c r="E57" s="420">
        <f t="shared" si="14"/>
        <v>0</v>
      </c>
      <c r="F57" s="420">
        <f t="shared" si="14"/>
        <v>0</v>
      </c>
      <c r="G57" s="420">
        <f t="shared" si="14"/>
        <v>0</v>
      </c>
      <c r="H57" s="420">
        <f t="shared" si="14"/>
        <v>0</v>
      </c>
      <c r="I57" s="420">
        <f t="shared" si="14"/>
        <v>0</v>
      </c>
      <c r="J57" s="420">
        <f t="shared" si="14"/>
        <v>0</v>
      </c>
      <c r="K57" s="420">
        <f t="shared" si="14"/>
        <v>-178828</v>
      </c>
      <c r="L57" s="420">
        <f t="shared" si="14"/>
        <v>80982</v>
      </c>
      <c r="M57" s="420">
        <f t="shared" si="14"/>
        <v>43872</v>
      </c>
      <c r="N57" s="420">
        <f>SUM(N55:N56)</f>
        <v>52359943</v>
      </c>
      <c r="O57" s="418"/>
      <c r="P57" s="420">
        <f t="shared" ref="P57:Q57" si="15">SUM(P55:P56)</f>
        <v>376468.58</v>
      </c>
      <c r="Q57" s="420">
        <f t="shared" si="15"/>
        <v>357344</v>
      </c>
      <c r="R57" s="420">
        <f>SUM(R55:R56)</f>
        <v>52340818.419999987</v>
      </c>
    </row>
    <row r="58" spans="1:23" ht="15.75" customHeight="1">
      <c r="A58" s="534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05"/>
      <c r="O58" s="418"/>
      <c r="P58" s="417"/>
      <c r="Q58" s="417"/>
      <c r="R58" s="404"/>
    </row>
    <row r="59" spans="1:23" ht="15.75" customHeight="1">
      <c r="A59" s="412" t="s">
        <v>91</v>
      </c>
      <c r="B59" s="417">
        <v>-33320786</v>
      </c>
      <c r="C59" s="417">
        <v>-306890</v>
      </c>
      <c r="D59" s="417">
        <f>-429513+54059</f>
        <v>-375454</v>
      </c>
      <c r="E59" s="417">
        <v>-15891</v>
      </c>
      <c r="F59" s="417">
        <v>-493384</v>
      </c>
      <c r="G59" s="417">
        <v>-13474</v>
      </c>
      <c r="H59" s="417">
        <v>0</v>
      </c>
      <c r="I59" s="417">
        <v>0</v>
      </c>
      <c r="J59" s="417">
        <v>0</v>
      </c>
      <c r="K59" s="417">
        <f>-165338+23</f>
        <v>-165315</v>
      </c>
      <c r="L59" s="417">
        <v>-586188</v>
      </c>
      <c r="M59" s="417">
        <v>-444288</v>
      </c>
      <c r="N59" s="405">
        <f>SUM(B59:M59)</f>
        <v>-35721670</v>
      </c>
      <c r="O59" s="418"/>
      <c r="P59" s="417"/>
      <c r="Q59" s="417">
        <f>'Ventas-Compras (d)'!E28</f>
        <v>7818.58</v>
      </c>
      <c r="R59" s="404">
        <f t="shared" ref="R59" si="16">N59-P59+Q59</f>
        <v>-35713851.420000002</v>
      </c>
    </row>
    <row r="60" spans="1:23" ht="15.75" customHeight="1" thickBot="1">
      <c r="A60" s="535" t="s">
        <v>92</v>
      </c>
      <c r="B60" s="419">
        <v>-3618624</v>
      </c>
      <c r="C60" s="419">
        <v>-947</v>
      </c>
      <c r="D60" s="419">
        <v>0</v>
      </c>
      <c r="E60" s="419">
        <v>0</v>
      </c>
      <c r="F60" s="419">
        <v>0</v>
      </c>
      <c r="G60" s="419">
        <v>0</v>
      </c>
      <c r="H60" s="419">
        <v>0</v>
      </c>
      <c r="I60" s="419">
        <v>0</v>
      </c>
      <c r="J60" s="419">
        <v>0</v>
      </c>
      <c r="K60" s="419">
        <v>0</v>
      </c>
      <c r="L60" s="419">
        <v>17690</v>
      </c>
      <c r="M60" s="419">
        <v>4857</v>
      </c>
      <c r="N60" s="411">
        <f>SUM(B60:M60)</f>
        <v>-3597024</v>
      </c>
      <c r="O60" s="418" t="s">
        <v>42</v>
      </c>
      <c r="P60" s="419">
        <f>'Inversiones 2018'!W169</f>
        <v>0</v>
      </c>
      <c r="Q60" s="419">
        <f>'Inversiones 2018'!X169</f>
        <v>1276594.05</v>
      </c>
      <c r="R60" s="410">
        <f>N60-P60+Q60</f>
        <v>-2320429.9500000002</v>
      </c>
    </row>
    <row r="61" spans="1:23" ht="15.75" customHeight="1">
      <c r="A61" s="535" t="s">
        <v>93</v>
      </c>
      <c r="B61" s="420">
        <f>SUM(B57:B60)</f>
        <v>15795544</v>
      </c>
      <c r="C61" s="420">
        <f>SUM(C57:C60)</f>
        <v>-1077724</v>
      </c>
      <c r="D61" s="420">
        <f>SUM(D57:D60)</f>
        <v>73396</v>
      </c>
      <c r="E61" s="420">
        <f t="shared" ref="E61:M61" si="17">SUM(E57:E60)</f>
        <v>-15891</v>
      </c>
      <c r="F61" s="420">
        <f t="shared" si="17"/>
        <v>-493384</v>
      </c>
      <c r="G61" s="420">
        <f t="shared" si="17"/>
        <v>-13474</v>
      </c>
      <c r="H61" s="420">
        <f t="shared" si="17"/>
        <v>0</v>
      </c>
      <c r="I61" s="420">
        <f t="shared" si="17"/>
        <v>0</v>
      </c>
      <c r="J61" s="420">
        <f t="shared" si="17"/>
        <v>0</v>
      </c>
      <c r="K61" s="420">
        <f t="shared" si="17"/>
        <v>-344143</v>
      </c>
      <c r="L61" s="420">
        <f t="shared" si="17"/>
        <v>-487516</v>
      </c>
      <c r="M61" s="420">
        <f t="shared" si="17"/>
        <v>-395559</v>
      </c>
      <c r="N61" s="420">
        <f>SUM(N57:N60)</f>
        <v>13041249</v>
      </c>
      <c r="O61" s="418"/>
      <c r="P61" s="420">
        <f t="shared" ref="P61:Q61" si="18">SUM(P57:P60)</f>
        <v>376468.58</v>
      </c>
      <c r="Q61" s="420">
        <f t="shared" si="18"/>
        <v>1641756.6300000001</v>
      </c>
      <c r="R61" s="420">
        <f t="shared" ref="R61" si="19">SUM(R57:R60)</f>
        <v>14306537.049999986</v>
      </c>
    </row>
    <row r="62" spans="1:23" ht="15.75" customHeight="1">
      <c r="A62" s="535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05"/>
      <c r="O62" s="418"/>
      <c r="P62" s="417"/>
      <c r="Q62" s="417"/>
      <c r="R62" s="404"/>
      <c r="S62" s="400">
        <f>Q60+Q59+Q56</f>
        <v>1641756.6300000001</v>
      </c>
    </row>
    <row r="63" spans="1:23" ht="15.75" customHeight="1" thickBot="1">
      <c r="A63" s="535" t="s">
        <v>95</v>
      </c>
      <c r="B63" s="419">
        <f>-5186848</f>
        <v>-5186848</v>
      </c>
      <c r="C63" s="419">
        <v>0</v>
      </c>
      <c r="D63" s="419">
        <v>0</v>
      </c>
      <c r="E63" s="419">
        <v>0</v>
      </c>
      <c r="F63" s="419">
        <v>0</v>
      </c>
      <c r="G63" s="419">
        <v>0</v>
      </c>
      <c r="H63" s="419">
        <v>0</v>
      </c>
      <c r="I63" s="419">
        <v>0</v>
      </c>
      <c r="J63" s="419">
        <v>0</v>
      </c>
      <c r="K63" s="419">
        <v>0</v>
      </c>
      <c r="L63" s="419">
        <v>-14885</v>
      </c>
      <c r="M63" s="419">
        <v>0</v>
      </c>
      <c r="N63" s="411">
        <f>SUM(B63:M63)</f>
        <v>-5201733</v>
      </c>
      <c r="O63" s="418"/>
      <c r="P63" s="419"/>
      <c r="Q63" s="419"/>
      <c r="R63" s="410">
        <f>N63-P63+Q63</f>
        <v>-5201733</v>
      </c>
      <c r="S63" s="400">
        <f>P55</f>
        <v>376468.58</v>
      </c>
    </row>
    <row r="64" spans="1:23" ht="15.75" customHeight="1">
      <c r="A64" s="535" t="s">
        <v>96</v>
      </c>
      <c r="B64" s="420">
        <f>+B61+B63</f>
        <v>10608696</v>
      </c>
      <c r="C64" s="420">
        <f t="shared" ref="C64:M64" si="20">+C61+C63</f>
        <v>-1077724</v>
      </c>
      <c r="D64" s="420">
        <f t="shared" si="20"/>
        <v>73396</v>
      </c>
      <c r="E64" s="420">
        <f t="shared" si="20"/>
        <v>-15891</v>
      </c>
      <c r="F64" s="420">
        <f t="shared" si="20"/>
        <v>-493384</v>
      </c>
      <c r="G64" s="420">
        <f t="shared" si="20"/>
        <v>-13474</v>
      </c>
      <c r="H64" s="420">
        <f t="shared" si="20"/>
        <v>0</v>
      </c>
      <c r="I64" s="420">
        <f t="shared" si="20"/>
        <v>0</v>
      </c>
      <c r="J64" s="420">
        <f t="shared" si="20"/>
        <v>0</v>
      </c>
      <c r="K64" s="420">
        <f t="shared" si="20"/>
        <v>-344143</v>
      </c>
      <c r="L64" s="420">
        <f t="shared" si="20"/>
        <v>-502401</v>
      </c>
      <c r="M64" s="420">
        <f t="shared" si="20"/>
        <v>-395559</v>
      </c>
      <c r="N64" s="420">
        <f>+N61+N63</f>
        <v>7839516</v>
      </c>
      <c r="O64" s="418"/>
      <c r="P64" s="420">
        <f t="shared" ref="P64:Q64" si="21">+P61+P63</f>
        <v>376468.58</v>
      </c>
      <c r="Q64" s="420">
        <f t="shared" si="21"/>
        <v>1641756.6300000001</v>
      </c>
      <c r="R64" s="420">
        <f t="shared" ref="R64" si="22">+R61+R63</f>
        <v>9104804.0499999858</v>
      </c>
      <c r="S64" s="400">
        <f>S63-S62</f>
        <v>-1265288.05</v>
      </c>
    </row>
    <row r="65" spans="1:22" ht="15.75" customHeight="1">
      <c r="A65" s="535"/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18"/>
      <c r="P65" s="417"/>
      <c r="Q65" s="417"/>
      <c r="R65" s="420"/>
    </row>
    <row r="66" spans="1:22" ht="15.75" customHeight="1">
      <c r="A66" s="535" t="s">
        <v>112</v>
      </c>
      <c r="B66" s="417">
        <v>-1591304</v>
      </c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05">
        <f>SUM(B66:M66)</f>
        <v>-1591304</v>
      </c>
      <c r="O66" s="418"/>
      <c r="P66" s="417"/>
      <c r="Q66" s="417"/>
      <c r="R66" s="404">
        <f>N66-P66+Q66</f>
        <v>-1591304</v>
      </c>
    </row>
    <row r="67" spans="1:22" ht="15.75" customHeight="1" thickBot="1">
      <c r="A67" s="412" t="s">
        <v>23</v>
      </c>
      <c r="B67" s="404">
        <v>-3421847</v>
      </c>
      <c r="C67" s="404">
        <v>0</v>
      </c>
      <c r="D67" s="404">
        <v>-54059</v>
      </c>
      <c r="E67" s="404"/>
      <c r="F67" s="410">
        <v>0</v>
      </c>
      <c r="G67" s="410">
        <v>0</v>
      </c>
      <c r="H67" s="410">
        <v>0</v>
      </c>
      <c r="I67" s="410">
        <v>0</v>
      </c>
      <c r="J67" s="410">
        <v>0</v>
      </c>
      <c r="K67" s="410">
        <v>0</v>
      </c>
      <c r="L67" s="410">
        <v>0</v>
      </c>
      <c r="M67" s="410">
        <v>0</v>
      </c>
      <c r="N67" s="411">
        <f>SUM(B67:M67)</f>
        <v>-3475906</v>
      </c>
      <c r="O67" s="406"/>
      <c r="P67" s="410"/>
      <c r="Q67" s="419"/>
      <c r="R67" s="410">
        <f>N67-P67+Q67</f>
        <v>-3475906</v>
      </c>
    </row>
    <row r="68" spans="1:22">
      <c r="A68" s="412" t="s">
        <v>9</v>
      </c>
      <c r="B68" s="413">
        <f t="shared" ref="B68:G68" si="23">+B64+B66+B67</f>
        <v>5595545</v>
      </c>
      <c r="C68" s="413">
        <f t="shared" si="23"/>
        <v>-1077724</v>
      </c>
      <c r="D68" s="413">
        <f t="shared" si="23"/>
        <v>19337</v>
      </c>
      <c r="E68" s="413">
        <f t="shared" si="23"/>
        <v>-15891</v>
      </c>
      <c r="F68" s="594">
        <f t="shared" si="23"/>
        <v>-493384</v>
      </c>
      <c r="G68" s="594">
        <f t="shared" si="23"/>
        <v>-13474</v>
      </c>
      <c r="H68" s="594">
        <f t="shared" ref="H68:J68" si="24">+H64+H67</f>
        <v>0</v>
      </c>
      <c r="I68" s="594">
        <f t="shared" si="24"/>
        <v>0</v>
      </c>
      <c r="J68" s="594">
        <f t="shared" si="24"/>
        <v>0</v>
      </c>
      <c r="K68" s="594">
        <f>+K64+K66+K67</f>
        <v>-344143</v>
      </c>
      <c r="L68" s="594">
        <f>+L64+L66+L67</f>
        <v>-502401</v>
      </c>
      <c r="M68" s="594">
        <f>+M64+M66+M67</f>
        <v>-395559</v>
      </c>
      <c r="N68" s="594">
        <f>+N64+N66+N67</f>
        <v>2772306</v>
      </c>
      <c r="O68" s="406"/>
      <c r="P68" s="594">
        <f t="shared" ref="P68:Q68" si="25">+P64+P66+P67</f>
        <v>376468.58</v>
      </c>
      <c r="Q68" s="594">
        <f t="shared" si="25"/>
        <v>1641756.6300000001</v>
      </c>
      <c r="R68" s="594">
        <f>+R64+R66+R67</f>
        <v>4037594.0499999858</v>
      </c>
    </row>
    <row r="69" spans="1:22">
      <c r="A69" s="412"/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406"/>
      <c r="P69" s="413"/>
      <c r="Q69" s="413"/>
      <c r="R69" s="413"/>
    </row>
    <row r="70" spans="1:22">
      <c r="A70" s="412" t="s">
        <v>285</v>
      </c>
      <c r="B70" s="404">
        <f>'ECP 2018-2017'!L35</f>
        <v>1849659</v>
      </c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05">
        <f>SUM(B70:M70)</f>
        <v>1849659</v>
      </c>
      <c r="O70" s="406"/>
      <c r="P70" s="413"/>
      <c r="Q70" s="413"/>
      <c r="R70" s="404">
        <f>N70-P70+Q70</f>
        <v>1849659</v>
      </c>
    </row>
    <row r="71" spans="1:22">
      <c r="A71" s="477" t="s">
        <v>286</v>
      </c>
      <c r="B71" s="478">
        <f>B68+B70</f>
        <v>7445204</v>
      </c>
      <c r="C71" s="478">
        <f t="shared" ref="C71:M71" si="26">C68+C70</f>
        <v>-1077724</v>
      </c>
      <c r="D71" s="478">
        <f t="shared" si="26"/>
        <v>19337</v>
      </c>
      <c r="E71" s="478">
        <f t="shared" si="26"/>
        <v>-15891</v>
      </c>
      <c r="F71" s="478">
        <f t="shared" si="26"/>
        <v>-493384</v>
      </c>
      <c r="G71" s="478">
        <f t="shared" si="26"/>
        <v>-13474</v>
      </c>
      <c r="H71" s="478">
        <f t="shared" si="26"/>
        <v>0</v>
      </c>
      <c r="I71" s="478">
        <f t="shared" si="26"/>
        <v>0</v>
      </c>
      <c r="J71" s="478">
        <f t="shared" si="26"/>
        <v>0</v>
      </c>
      <c r="K71" s="478">
        <f t="shared" si="26"/>
        <v>-344143</v>
      </c>
      <c r="L71" s="478">
        <f t="shared" si="26"/>
        <v>-502401</v>
      </c>
      <c r="M71" s="478">
        <f t="shared" si="26"/>
        <v>-395559</v>
      </c>
      <c r="N71" s="478">
        <f>N68+N70</f>
        <v>4621965</v>
      </c>
      <c r="O71" s="479"/>
      <c r="P71" s="478">
        <f t="shared" ref="P71:Q71" si="27">P68+P70</f>
        <v>376468.58</v>
      </c>
      <c r="Q71" s="478">
        <f t="shared" si="27"/>
        <v>1641756.6300000001</v>
      </c>
      <c r="R71" s="478">
        <f>R68+R70</f>
        <v>5887253.0499999858</v>
      </c>
    </row>
    <row r="72" spans="1:22">
      <c r="A72" s="421"/>
      <c r="B72" s="422"/>
      <c r="C72" s="422"/>
      <c r="D72" s="422"/>
      <c r="E72" s="423"/>
      <c r="F72" s="422"/>
      <c r="G72" s="422"/>
      <c r="H72" s="422"/>
      <c r="I72" s="422"/>
      <c r="J72" s="422"/>
      <c r="K72" s="422"/>
      <c r="L72" s="422"/>
      <c r="M72" s="422"/>
      <c r="N72" s="422"/>
      <c r="O72" s="424"/>
      <c r="P72" s="422"/>
      <c r="Q72" s="422"/>
      <c r="R72" s="422"/>
    </row>
    <row r="73" spans="1:22" ht="21.75" customHeight="1">
      <c r="A73" s="425"/>
      <c r="B73" s="400"/>
    </row>
    <row r="74" spans="1:22" ht="21.75" customHeight="1">
      <c r="A74" s="426"/>
      <c r="B74" s="427">
        <f t="shared" ref="B74:N74" si="28">+B51+B42-B23</f>
        <v>0</v>
      </c>
      <c r="C74" s="427">
        <f t="shared" si="28"/>
        <v>0</v>
      </c>
      <c r="D74" s="427">
        <f t="shared" si="28"/>
        <v>0</v>
      </c>
      <c r="E74" s="427">
        <f t="shared" si="28"/>
        <v>0</v>
      </c>
      <c r="F74" s="427">
        <f t="shared" si="28"/>
        <v>0</v>
      </c>
      <c r="G74" s="427">
        <f t="shared" si="28"/>
        <v>0</v>
      </c>
      <c r="H74" s="427">
        <f t="shared" si="28"/>
        <v>0</v>
      </c>
      <c r="I74" s="427">
        <f t="shared" si="28"/>
        <v>0</v>
      </c>
      <c r="J74" s="427">
        <f t="shared" si="28"/>
        <v>0</v>
      </c>
      <c r="K74" s="427">
        <f t="shared" si="28"/>
        <v>0</v>
      </c>
      <c r="L74" s="427">
        <f t="shared" si="28"/>
        <v>0</v>
      </c>
      <c r="M74" s="427">
        <f t="shared" si="28"/>
        <v>0</v>
      </c>
      <c r="N74" s="427">
        <f t="shared" si="28"/>
        <v>0</v>
      </c>
      <c r="P74" s="400">
        <f>SUM(P5:P73)</f>
        <v>124457922.48000002</v>
      </c>
      <c r="Q74" s="400">
        <f>SUM(Q5:Q73)</f>
        <v>240027444.15000001</v>
      </c>
      <c r="R74" s="427">
        <f>+R51+R42-R23</f>
        <v>0</v>
      </c>
    </row>
    <row r="75" spans="1:22"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Q75" s="400"/>
      <c r="T75" s="400"/>
    </row>
    <row r="76" spans="1:22">
      <c r="A76" s="428" t="s">
        <v>273</v>
      </c>
      <c r="B76" s="402">
        <f>+B71*100%</f>
        <v>7445204</v>
      </c>
      <c r="C76" s="402">
        <f>+C71*'Variación Patrimonio 2017-2016'!L4</f>
        <v>-808508.54480000003</v>
      </c>
      <c r="D76" s="402">
        <f>+D71*'Variación Patrimonio 2017-2016'!L21</f>
        <v>19336.125022624434</v>
      </c>
      <c r="E76" s="400">
        <f>+E71*'Variación Patrimonio 2017-2016'!L40</f>
        <v>-10805.880000000001</v>
      </c>
      <c r="F76" s="400">
        <f>+F71*'Variación Patrimonio 2017-2016'!L56</f>
        <v>-246692</v>
      </c>
      <c r="G76" s="400">
        <f>+G71*'Variación Patrimonio 2017-2016'!L74</f>
        <v>-10105.5</v>
      </c>
      <c r="H76" s="402">
        <v>0</v>
      </c>
      <c r="I76" s="402">
        <v>0</v>
      </c>
      <c r="J76" s="402">
        <v>0</v>
      </c>
      <c r="K76" s="402">
        <f>+K71*'Variación Patrimonio 2017-2016'!L143</f>
        <v>-318332.27500000002</v>
      </c>
      <c r="L76" s="402">
        <f>+L71*'Variación Patrimonio 2017-2016'!L160</f>
        <v>-492352.98</v>
      </c>
      <c r="M76" s="402">
        <f>+M71*'Variación Patrimonio 2017-2016'!L185</f>
        <v>-395559</v>
      </c>
      <c r="N76" s="429">
        <f>SUM(B76:M76)</f>
        <v>5182183.9452226236</v>
      </c>
      <c r="P76" s="400">
        <f>+P60+P55</f>
        <v>376468.58</v>
      </c>
      <c r="Q76" s="429">
        <f>Q56+Q60+Q59</f>
        <v>1641756.6300000001</v>
      </c>
      <c r="R76" s="429">
        <f>+N76-P76+Q76</f>
        <v>6447471.9952226235</v>
      </c>
      <c r="S76" s="416"/>
    </row>
    <row r="77" spans="1:22">
      <c r="A77" s="428" t="s">
        <v>274</v>
      </c>
      <c r="B77" s="402">
        <f>+B71-B76</f>
        <v>0</v>
      </c>
      <c r="C77" s="430">
        <f t="shared" ref="C77:M77" si="29">+C71-C76</f>
        <v>-269215.45519999997</v>
      </c>
      <c r="D77" s="430">
        <f t="shared" si="29"/>
        <v>0.87497737556623179</v>
      </c>
      <c r="E77" s="402">
        <f t="shared" si="29"/>
        <v>-5085.119999999999</v>
      </c>
      <c r="F77" s="402">
        <f t="shared" si="29"/>
        <v>-246692</v>
      </c>
      <c r="G77" s="402">
        <f t="shared" si="29"/>
        <v>-3368.5</v>
      </c>
      <c r="H77" s="402">
        <f t="shared" si="29"/>
        <v>0</v>
      </c>
      <c r="I77" s="402">
        <f t="shared" si="29"/>
        <v>0</v>
      </c>
      <c r="J77" s="402">
        <f t="shared" si="29"/>
        <v>0</v>
      </c>
      <c r="K77" s="430">
        <f t="shared" si="29"/>
        <v>-25810.724999999977</v>
      </c>
      <c r="L77" s="430">
        <f t="shared" si="29"/>
        <v>-10048.020000000019</v>
      </c>
      <c r="M77" s="402">
        <f t="shared" si="29"/>
        <v>0</v>
      </c>
      <c r="N77" s="429">
        <f>SUM(B77:M77)</f>
        <v>-560218.94522262446</v>
      </c>
      <c r="Q77" s="429"/>
      <c r="R77" s="429">
        <f>+N77-P77+Q77</f>
        <v>-560218.94522262446</v>
      </c>
      <c r="U77" s="402"/>
      <c r="V77" s="429"/>
    </row>
    <row r="78" spans="1:22">
      <c r="C78" s="416">
        <f>+C76+C77</f>
        <v>-1077724</v>
      </c>
      <c r="D78" s="416">
        <f>+D76+D77</f>
        <v>19337</v>
      </c>
      <c r="E78" s="416">
        <f>+E76+E77</f>
        <v>-15891</v>
      </c>
      <c r="F78" s="416">
        <f>+F76+F77</f>
        <v>-493384</v>
      </c>
      <c r="G78" s="416">
        <f>+G76+G77</f>
        <v>-13474</v>
      </c>
      <c r="K78" s="416">
        <f>+K76+K77</f>
        <v>-344143</v>
      </c>
      <c r="L78" s="416">
        <f>+L76+L77</f>
        <v>-502401</v>
      </c>
      <c r="M78" s="416">
        <f>+M76+M77</f>
        <v>-395559</v>
      </c>
    </row>
    <row r="80" spans="1:22">
      <c r="Q80" s="415">
        <f>'Diario 2015 (a)'!F15</f>
        <v>70321542.807764024</v>
      </c>
    </row>
  </sheetData>
  <mergeCells count="1">
    <mergeCell ref="P3:Q3"/>
  </mergeCell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499984740745262"/>
    <pageSetUpPr fitToPage="1"/>
  </sheetPr>
  <dimension ref="A1:AI44"/>
  <sheetViews>
    <sheetView showGridLines="0" zoomScale="90" zoomScaleNormal="9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G13" sqref="AG13"/>
    </sheetView>
  </sheetViews>
  <sheetFormatPr defaultColWidth="11.42578125" defaultRowHeight="9.75"/>
  <cols>
    <col min="1" max="1" width="28" style="486" bestFit="1" customWidth="1"/>
    <col min="2" max="2" width="1.7109375" style="486" customWidth="1"/>
    <col min="3" max="3" width="11" style="486" bestFit="1" customWidth="1"/>
    <col min="4" max="4" width="1.7109375" style="486" customWidth="1"/>
    <col min="5" max="5" width="11" style="486" customWidth="1"/>
    <col min="6" max="6" width="1.7109375" style="486" customWidth="1"/>
    <col min="7" max="7" width="13.28515625" style="486" customWidth="1"/>
    <col min="8" max="8" width="1.7109375" style="486" customWidth="1"/>
    <col min="9" max="9" width="9.28515625" style="486" bestFit="1" customWidth="1"/>
    <col min="10" max="10" width="1.7109375" style="486" customWidth="1"/>
    <col min="11" max="11" width="9.140625" style="486" bestFit="1" customWidth="1"/>
    <col min="12" max="12" width="1.7109375" style="486" customWidth="1"/>
    <col min="13" max="13" width="8.5703125" style="486" bestFit="1" customWidth="1"/>
    <col min="14" max="14" width="1.7109375" style="486" customWidth="1"/>
    <col min="15" max="15" width="11.42578125" style="486" bestFit="1" customWidth="1"/>
    <col min="16" max="16" width="1.7109375" style="486" customWidth="1"/>
    <col min="17" max="17" width="12.42578125" style="486" customWidth="1"/>
    <col min="18" max="18" width="1.7109375" style="486" customWidth="1"/>
    <col min="19" max="19" width="12.42578125" style="486" customWidth="1"/>
    <col min="20" max="20" width="1.7109375" style="486" customWidth="1"/>
    <col min="21" max="21" width="10" style="486" bestFit="1" customWidth="1"/>
    <col min="22" max="22" width="1.7109375" style="486" customWidth="1"/>
    <col min="23" max="23" width="10.5703125" style="486" bestFit="1" customWidth="1"/>
    <col min="24" max="24" width="1.7109375" style="486" customWidth="1"/>
    <col min="25" max="25" width="8.85546875" style="486" customWidth="1"/>
    <col min="26" max="26" width="1.7109375" style="486" customWidth="1"/>
    <col min="27" max="27" width="12" style="486" bestFit="1" customWidth="1"/>
    <col min="28" max="28" width="1.7109375" style="486" customWidth="1"/>
    <col min="29" max="29" width="11.5703125" style="486" bestFit="1" customWidth="1"/>
    <col min="30" max="30" width="1.7109375" style="486" customWidth="1"/>
    <col min="31" max="31" width="11.5703125" style="486" bestFit="1" customWidth="1"/>
    <col min="32" max="32" width="1.7109375" style="486" customWidth="1"/>
    <col min="33" max="33" width="12" style="493" bestFit="1" customWidth="1"/>
    <col min="34" max="16384" width="11.42578125" style="486"/>
  </cols>
  <sheetData>
    <row r="1" spans="1:35" s="480" customFormat="1" ht="19.5">
      <c r="C1" s="480" t="s">
        <v>151</v>
      </c>
      <c r="E1" s="480" t="s">
        <v>434</v>
      </c>
      <c r="G1" s="480" t="s">
        <v>436</v>
      </c>
      <c r="I1" s="480" t="s">
        <v>152</v>
      </c>
      <c r="K1" s="480" t="s">
        <v>156</v>
      </c>
      <c r="M1" s="480" t="s">
        <v>203</v>
      </c>
      <c r="O1" s="480" t="s">
        <v>159</v>
      </c>
      <c r="Q1" s="480" t="s">
        <v>437</v>
      </c>
      <c r="S1" s="480" t="s">
        <v>435</v>
      </c>
      <c r="U1" s="480" t="s">
        <v>204</v>
      </c>
      <c r="W1" s="480" t="s">
        <v>260</v>
      </c>
      <c r="Y1" s="480" t="s">
        <v>288</v>
      </c>
      <c r="AA1" s="480" t="s">
        <v>15</v>
      </c>
      <c r="AC1" s="480" t="s">
        <v>26</v>
      </c>
      <c r="AE1" s="480" t="s">
        <v>27</v>
      </c>
      <c r="AG1" s="480" t="s">
        <v>15</v>
      </c>
    </row>
    <row r="3" spans="1:35">
      <c r="A3" s="481" t="s">
        <v>193</v>
      </c>
      <c r="B3" s="481"/>
      <c r="C3" s="482">
        <v>30006697</v>
      </c>
      <c r="D3" s="483"/>
      <c r="E3" s="482">
        <v>5000</v>
      </c>
      <c r="F3" s="483"/>
      <c r="G3" s="482">
        <v>1105000</v>
      </c>
      <c r="H3" s="483"/>
      <c r="I3" s="482">
        <v>10000</v>
      </c>
      <c r="J3" s="483"/>
      <c r="K3" s="482">
        <v>1000</v>
      </c>
      <c r="L3" s="483"/>
      <c r="M3" s="482">
        <v>1000</v>
      </c>
      <c r="N3" s="483"/>
      <c r="O3" s="482">
        <v>5000</v>
      </c>
      <c r="P3" s="483"/>
      <c r="Q3" s="482">
        <v>10000</v>
      </c>
      <c r="R3" s="483"/>
      <c r="S3" s="482">
        <v>800</v>
      </c>
      <c r="T3" s="483"/>
      <c r="U3" s="482">
        <v>800</v>
      </c>
      <c r="V3" s="484"/>
      <c r="W3" s="482">
        <v>3661400</v>
      </c>
      <c r="X3" s="484"/>
      <c r="Y3" s="482">
        <v>10000</v>
      </c>
      <c r="Z3" s="483"/>
      <c r="AA3" s="483">
        <f t="shared" ref="AA3:AA11" si="0">+SUM(C3:Y3)</f>
        <v>34816697</v>
      </c>
      <c r="AB3" s="483"/>
      <c r="AC3" s="483">
        <f>-1104950-800-6800-500-750-4640-740-3751-6000-3624786-10000</f>
        <v>-4763717</v>
      </c>
      <c r="AD3" s="483"/>
      <c r="AE3" s="483"/>
      <c r="AF3" s="483"/>
      <c r="AG3" s="485">
        <f t="shared" ref="AG3:AG11" si="1">+AA3+AC3+AE3</f>
        <v>30052980</v>
      </c>
      <c r="AI3" s="487"/>
    </row>
    <row r="4" spans="1:35">
      <c r="A4" s="481" t="s">
        <v>424</v>
      </c>
      <c r="B4" s="481"/>
      <c r="C4" s="483">
        <v>920</v>
      </c>
      <c r="D4" s="483"/>
      <c r="E4" s="483">
        <v>42340052</v>
      </c>
      <c r="F4" s="483"/>
      <c r="G4" s="483">
        <v>877313</v>
      </c>
      <c r="H4" s="483"/>
      <c r="I4" s="483">
        <v>0</v>
      </c>
      <c r="J4" s="483"/>
      <c r="K4" s="483">
        <v>49015</v>
      </c>
      <c r="L4" s="483"/>
      <c r="M4" s="483">
        <v>330450</v>
      </c>
      <c r="N4" s="483"/>
      <c r="O4" s="483">
        <v>0</v>
      </c>
      <c r="P4" s="483"/>
      <c r="Q4" s="483">
        <v>0</v>
      </c>
      <c r="R4" s="483"/>
      <c r="S4" s="483">
        <v>0</v>
      </c>
      <c r="T4" s="483"/>
      <c r="U4" s="483">
        <v>1833417</v>
      </c>
      <c r="V4" s="484"/>
      <c r="W4" s="483">
        <v>406800</v>
      </c>
      <c r="X4" s="484"/>
      <c r="Y4" s="483">
        <v>0</v>
      </c>
      <c r="Z4" s="483"/>
      <c r="AA4" s="483">
        <f t="shared" si="0"/>
        <v>45837967</v>
      </c>
      <c r="AB4" s="483"/>
      <c r="AC4" s="483">
        <f>-877313-49015-330450-1833417-31546825-292500</f>
        <v>-34929520</v>
      </c>
      <c r="AD4" s="483"/>
      <c r="AE4" s="483"/>
      <c r="AF4" s="483"/>
      <c r="AG4" s="485">
        <f t="shared" si="1"/>
        <v>10908447</v>
      </c>
    </row>
    <row r="5" spans="1:35">
      <c r="A5" s="481" t="s">
        <v>17</v>
      </c>
      <c r="B5" s="488"/>
      <c r="C5" s="483">
        <v>4662954</v>
      </c>
      <c r="D5" s="483"/>
      <c r="E5" s="483">
        <v>0</v>
      </c>
      <c r="F5" s="483"/>
      <c r="G5" s="483">
        <v>0</v>
      </c>
      <c r="H5" s="483"/>
      <c r="I5" s="483">
        <v>0</v>
      </c>
      <c r="J5" s="483"/>
      <c r="K5" s="483">
        <v>500</v>
      </c>
      <c r="L5" s="483"/>
      <c r="M5" s="483">
        <v>0</v>
      </c>
      <c r="N5" s="483"/>
      <c r="O5" s="483">
        <v>0</v>
      </c>
      <c r="P5" s="483"/>
      <c r="Q5" s="483">
        <v>0</v>
      </c>
      <c r="R5" s="483"/>
      <c r="S5" s="483">
        <v>340</v>
      </c>
      <c r="T5" s="483"/>
      <c r="U5" s="483">
        <v>0</v>
      </c>
      <c r="V5" s="484"/>
      <c r="W5" s="483">
        <v>0</v>
      </c>
      <c r="X5" s="484"/>
      <c r="Y5" s="483">
        <v>0</v>
      </c>
      <c r="Z5" s="483"/>
      <c r="AA5" s="483">
        <f t="shared" si="0"/>
        <v>4663794</v>
      </c>
      <c r="AB5" s="483"/>
      <c r="AC5" s="483">
        <f>-500-340</f>
        <v>-840</v>
      </c>
      <c r="AD5" s="483"/>
      <c r="AE5" s="483"/>
      <c r="AF5" s="483"/>
      <c r="AG5" s="485">
        <f t="shared" si="1"/>
        <v>4662954</v>
      </c>
    </row>
    <row r="6" spans="1:35">
      <c r="A6" s="481" t="s">
        <v>19</v>
      </c>
      <c r="B6" s="488"/>
      <c r="C6" s="483">
        <v>34797</v>
      </c>
      <c r="D6" s="483"/>
      <c r="E6" s="483">
        <v>0</v>
      </c>
      <c r="F6" s="483"/>
      <c r="G6" s="483">
        <v>0</v>
      </c>
      <c r="H6" s="483"/>
      <c r="I6" s="483">
        <v>0</v>
      </c>
      <c r="J6" s="483"/>
      <c r="K6" s="483">
        <v>0</v>
      </c>
      <c r="L6" s="483"/>
      <c r="M6" s="483">
        <v>0</v>
      </c>
      <c r="N6" s="483"/>
      <c r="O6" s="483">
        <v>0</v>
      </c>
      <c r="P6" s="483"/>
      <c r="Q6" s="483">
        <v>0</v>
      </c>
      <c r="R6" s="483"/>
      <c r="S6" s="483">
        <v>0</v>
      </c>
      <c r="T6" s="483"/>
      <c r="U6" s="483">
        <v>0</v>
      </c>
      <c r="V6" s="484"/>
      <c r="W6" s="483">
        <v>0</v>
      </c>
      <c r="X6" s="484"/>
      <c r="Y6" s="483">
        <v>0</v>
      </c>
      <c r="Z6" s="483"/>
      <c r="AA6" s="483">
        <f t="shared" si="0"/>
        <v>34797</v>
      </c>
      <c r="AB6" s="483"/>
      <c r="AC6" s="483">
        <v>0</v>
      </c>
      <c r="AD6" s="483"/>
      <c r="AE6" s="483"/>
      <c r="AF6" s="483"/>
      <c r="AG6" s="485">
        <f t="shared" si="1"/>
        <v>34797</v>
      </c>
    </row>
    <row r="7" spans="1:35">
      <c r="A7" s="481" t="s">
        <v>426</v>
      </c>
      <c r="B7" s="488"/>
      <c r="C7" s="483">
        <v>1353857</v>
      </c>
      <c r="D7" s="483"/>
      <c r="E7" s="483">
        <v>0</v>
      </c>
      <c r="F7" s="483"/>
      <c r="G7" s="483">
        <v>0</v>
      </c>
      <c r="H7" s="483"/>
      <c r="I7" s="483">
        <v>0</v>
      </c>
      <c r="J7" s="483"/>
      <c r="K7" s="483">
        <v>0</v>
      </c>
      <c r="L7" s="483"/>
      <c r="M7" s="483">
        <v>0</v>
      </c>
      <c r="N7" s="483"/>
      <c r="O7" s="483">
        <v>0</v>
      </c>
      <c r="P7" s="483"/>
      <c r="Q7" s="483">
        <v>0</v>
      </c>
      <c r="R7" s="483"/>
      <c r="S7" s="483">
        <v>0</v>
      </c>
      <c r="T7" s="483"/>
      <c r="U7" s="483">
        <v>0</v>
      </c>
      <c r="V7" s="484"/>
      <c r="W7" s="483">
        <v>0</v>
      </c>
      <c r="X7" s="484"/>
      <c r="Y7" s="483">
        <v>0</v>
      </c>
      <c r="Z7" s="483"/>
      <c r="AA7" s="483">
        <f t="shared" si="0"/>
        <v>1353857</v>
      </c>
      <c r="AB7" s="483"/>
      <c r="AC7" s="483">
        <v>0</v>
      </c>
      <c r="AD7" s="483"/>
      <c r="AE7" s="483"/>
      <c r="AF7" s="483"/>
      <c r="AG7" s="485">
        <f t="shared" si="1"/>
        <v>1353857</v>
      </c>
    </row>
    <row r="8" spans="1:35">
      <c r="A8" s="481" t="s">
        <v>421</v>
      </c>
      <c r="B8" s="488"/>
      <c r="C8" s="483">
        <v>227072</v>
      </c>
      <c r="D8" s="483"/>
      <c r="E8" s="483">
        <v>0</v>
      </c>
      <c r="F8" s="483"/>
      <c r="G8" s="483">
        <v>0</v>
      </c>
      <c r="H8" s="483"/>
      <c r="I8" s="483">
        <v>74426</v>
      </c>
      <c r="J8" s="483"/>
      <c r="K8" s="483">
        <v>0</v>
      </c>
      <c r="L8" s="483"/>
      <c r="M8" s="483">
        <v>109633</v>
      </c>
      <c r="N8" s="483"/>
      <c r="O8" s="483">
        <v>1226</v>
      </c>
      <c r="P8" s="483"/>
      <c r="Q8" s="483">
        <v>0</v>
      </c>
      <c r="R8" s="483"/>
      <c r="S8" s="483">
        <v>0</v>
      </c>
      <c r="T8" s="483"/>
      <c r="U8" s="483">
        <v>0</v>
      </c>
      <c r="V8" s="484"/>
      <c r="W8" s="483">
        <v>0</v>
      </c>
      <c r="X8" s="484"/>
      <c r="Y8" s="483">
        <v>0</v>
      </c>
      <c r="Z8" s="483"/>
      <c r="AA8" s="483">
        <f t="shared" si="0"/>
        <v>412357</v>
      </c>
      <c r="AB8" s="483"/>
      <c r="AC8" s="483">
        <f>-74426-109633-1226</f>
        <v>-185285</v>
      </c>
      <c r="AD8" s="483"/>
      <c r="AE8" s="483"/>
      <c r="AF8" s="483"/>
      <c r="AG8" s="485">
        <f t="shared" si="1"/>
        <v>227072</v>
      </c>
    </row>
    <row r="9" spans="1:35">
      <c r="A9" s="481" t="s">
        <v>427</v>
      </c>
      <c r="B9" s="488"/>
      <c r="C9" s="483">
        <v>-3202431</v>
      </c>
      <c r="D9" s="483"/>
      <c r="E9" s="483">
        <v>0</v>
      </c>
      <c r="F9" s="483"/>
      <c r="G9" s="483">
        <v>0</v>
      </c>
      <c r="H9" s="483"/>
      <c r="I9" s="483">
        <v>0</v>
      </c>
      <c r="J9" s="483"/>
      <c r="K9" s="483">
        <v>0</v>
      </c>
      <c r="L9" s="483"/>
      <c r="M9" s="483">
        <v>0</v>
      </c>
      <c r="N9" s="483"/>
      <c r="O9" s="483">
        <v>0</v>
      </c>
      <c r="P9" s="483"/>
      <c r="Q9" s="483">
        <v>0</v>
      </c>
      <c r="R9" s="483"/>
      <c r="S9" s="483">
        <v>0</v>
      </c>
      <c r="T9" s="483"/>
      <c r="U9" s="483">
        <v>0</v>
      </c>
      <c r="V9" s="484"/>
      <c r="W9" s="483">
        <v>-56932</v>
      </c>
      <c r="X9" s="484"/>
      <c r="Y9" s="483">
        <v>0</v>
      </c>
      <c r="Z9" s="483"/>
      <c r="AA9" s="483">
        <f t="shared" si="0"/>
        <v>-3259363</v>
      </c>
      <c r="AB9" s="483"/>
      <c r="AC9" s="483">
        <v>0</v>
      </c>
      <c r="AD9" s="483"/>
      <c r="AE9" s="483">
        <v>56932</v>
      </c>
      <c r="AF9" s="483"/>
      <c r="AG9" s="485">
        <f t="shared" si="1"/>
        <v>-3202431</v>
      </c>
    </row>
    <row r="10" spans="1:35">
      <c r="A10" s="481" t="s">
        <v>438</v>
      </c>
      <c r="B10" s="488"/>
      <c r="C10" s="483">
        <v>0</v>
      </c>
      <c r="D10" s="483"/>
      <c r="E10" s="483">
        <v>0</v>
      </c>
      <c r="F10" s="483"/>
      <c r="G10" s="483">
        <v>0</v>
      </c>
      <c r="H10" s="483"/>
      <c r="I10" s="483">
        <v>0</v>
      </c>
      <c r="J10" s="483"/>
      <c r="K10" s="483">
        <v>0</v>
      </c>
      <c r="L10" s="483"/>
      <c r="M10" s="483">
        <v>0</v>
      </c>
      <c r="N10" s="483"/>
      <c r="O10" s="483">
        <v>0</v>
      </c>
      <c r="P10" s="483"/>
      <c r="Q10" s="483">
        <v>0</v>
      </c>
      <c r="R10" s="483"/>
      <c r="S10" s="483">
        <v>0</v>
      </c>
      <c r="T10" s="483"/>
      <c r="U10" s="483">
        <v>0</v>
      </c>
      <c r="V10" s="484"/>
      <c r="W10" s="483">
        <v>274690</v>
      </c>
      <c r="X10" s="484"/>
      <c r="Y10" s="483">
        <v>0</v>
      </c>
      <c r="Z10" s="483"/>
      <c r="AA10" s="483">
        <f t="shared" si="0"/>
        <v>274690</v>
      </c>
      <c r="AB10" s="483"/>
      <c r="AC10" s="483">
        <v>-274690</v>
      </c>
      <c r="AD10" s="483"/>
      <c r="AE10" s="483"/>
      <c r="AF10" s="483"/>
      <c r="AG10" s="485">
        <f t="shared" si="1"/>
        <v>0</v>
      </c>
    </row>
    <row r="11" spans="1:35">
      <c r="A11" s="481" t="s">
        <v>157</v>
      </c>
      <c r="B11" s="488"/>
      <c r="C11" s="483">
        <v>37757436</v>
      </c>
      <c r="D11" s="483"/>
      <c r="E11" s="483">
        <f>2254833-1077724</f>
        <v>1177109</v>
      </c>
      <c r="F11" s="483"/>
      <c r="G11" s="483">
        <f>-16938+19337+1</f>
        <v>2400</v>
      </c>
      <c r="H11" s="483"/>
      <c r="I11" s="483">
        <f>911628-15891</f>
        <v>895737</v>
      </c>
      <c r="J11" s="483"/>
      <c r="K11" s="483">
        <f>-488265-493384</f>
        <v>-981649</v>
      </c>
      <c r="L11" s="483"/>
      <c r="M11" s="483">
        <f>-53896-13474</f>
        <v>-67370</v>
      </c>
      <c r="N11" s="483"/>
      <c r="O11" s="483">
        <v>1763</v>
      </c>
      <c r="P11" s="483"/>
      <c r="Q11" s="483">
        <v>0</v>
      </c>
      <c r="R11" s="483"/>
      <c r="S11" s="483">
        <v>0</v>
      </c>
      <c r="T11" s="483"/>
      <c r="U11" s="483">
        <v>-359565</v>
      </c>
      <c r="V11" s="484"/>
      <c r="W11" s="483">
        <v>-4388927</v>
      </c>
      <c r="X11" s="484"/>
      <c r="Y11" s="483">
        <f>-(142959+401491)</f>
        <v>-544450</v>
      </c>
      <c r="Z11" s="483"/>
      <c r="AA11" s="483">
        <f t="shared" si="0"/>
        <v>33492484</v>
      </c>
      <c r="AB11" s="483"/>
      <c r="AC11" s="483">
        <f>-862233-97825-21667-1763-822437-266632-224942</f>
        <v>-2297499</v>
      </c>
      <c r="AD11" s="483"/>
      <c r="AE11" s="483">
        <f>3491044+394445+42502+1160144+4556</f>
        <v>5092691</v>
      </c>
      <c r="AF11" s="483"/>
      <c r="AG11" s="485">
        <f t="shared" si="1"/>
        <v>36287676</v>
      </c>
    </row>
    <row r="12" spans="1:35" ht="5.0999999999999996" customHeight="1">
      <c r="C12" s="483"/>
      <c r="D12" s="483"/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3"/>
      <c r="R12" s="483"/>
      <c r="S12" s="483"/>
      <c r="T12" s="483"/>
      <c r="U12" s="483"/>
      <c r="V12" s="484"/>
      <c r="W12" s="483"/>
      <c r="X12" s="484"/>
      <c r="Y12" s="483"/>
      <c r="Z12" s="483"/>
      <c r="AA12" s="483"/>
      <c r="AB12" s="483"/>
      <c r="AC12" s="483"/>
      <c r="AD12" s="483"/>
      <c r="AE12" s="483"/>
      <c r="AF12" s="483"/>
      <c r="AG12" s="485"/>
    </row>
    <row r="13" spans="1:35" ht="10.5" thickBot="1">
      <c r="A13" s="486" t="s">
        <v>428</v>
      </c>
      <c r="C13" s="489">
        <f>+SUM(C3:C11)</f>
        <v>70841302</v>
      </c>
      <c r="D13" s="483"/>
      <c r="E13" s="489">
        <f>+SUM(E3:E11)</f>
        <v>43522161</v>
      </c>
      <c r="F13" s="483"/>
      <c r="G13" s="489">
        <f>+SUM(G3:G11)</f>
        <v>1984713</v>
      </c>
      <c r="H13" s="483"/>
      <c r="I13" s="489">
        <f>+SUM(I3:I11)</f>
        <v>980163</v>
      </c>
      <c r="J13" s="483"/>
      <c r="K13" s="489">
        <f>+SUM(K3:K11)</f>
        <v>-931134</v>
      </c>
      <c r="L13" s="483"/>
      <c r="M13" s="489">
        <f>+SUM(M3:M11)</f>
        <v>373713</v>
      </c>
      <c r="N13" s="483"/>
      <c r="O13" s="489">
        <f>+SUM(O3:O11)</f>
        <v>7989</v>
      </c>
      <c r="P13" s="483"/>
      <c r="Q13" s="489">
        <f>+SUM(Q3:Q11)</f>
        <v>10000</v>
      </c>
      <c r="R13" s="483"/>
      <c r="S13" s="489">
        <f>+SUM(S3:S11)</f>
        <v>1140</v>
      </c>
      <c r="T13" s="483"/>
      <c r="U13" s="489">
        <f>+SUM(U3:U11)</f>
        <v>1474652</v>
      </c>
      <c r="V13" s="484"/>
      <c r="W13" s="489">
        <f>+SUM(W3:W11)</f>
        <v>-102969</v>
      </c>
      <c r="X13" s="484"/>
      <c r="Y13" s="489">
        <f>+SUM(Y3:Y11)</f>
        <v>-534450</v>
      </c>
      <c r="Z13" s="483"/>
      <c r="AA13" s="489">
        <f>+SUM(AA3:AA11)</f>
        <v>117627280</v>
      </c>
      <c r="AB13" s="483"/>
      <c r="AC13" s="489">
        <f>+SUM(AC3:AC11)</f>
        <v>-42451551</v>
      </c>
      <c r="AD13" s="483"/>
      <c r="AE13" s="489">
        <f>+SUM(AE3:AE11)</f>
        <v>5149623</v>
      </c>
      <c r="AF13" s="483"/>
      <c r="AG13" s="490">
        <f>+SUM(AG3:AG11)</f>
        <v>80325352</v>
      </c>
    </row>
    <row r="14" spans="1:35" ht="5.0999999999999996" customHeight="1" thickTop="1">
      <c r="C14" s="483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4"/>
      <c r="W14" s="483"/>
      <c r="X14" s="484"/>
      <c r="Y14" s="483"/>
      <c r="Z14" s="483"/>
      <c r="AA14" s="483"/>
      <c r="AB14" s="483"/>
      <c r="AC14" s="483"/>
      <c r="AD14" s="483"/>
      <c r="AE14" s="483"/>
      <c r="AF14" s="483"/>
      <c r="AG14" s="485"/>
    </row>
    <row r="15" spans="1:35" ht="5.0999999999999996" customHeight="1">
      <c r="V15" s="491"/>
      <c r="X15" s="491"/>
      <c r="AC15" s="492"/>
      <c r="AE15" s="492"/>
    </row>
    <row r="16" spans="1:35" s="494" customFormat="1">
      <c r="A16" s="494" t="s">
        <v>429</v>
      </c>
      <c r="C16" s="494">
        <v>1</v>
      </c>
      <c r="E16" s="494">
        <v>0.75019999999999998</v>
      </c>
      <c r="G16" s="494">
        <f>+(1104950/1105000)</f>
        <v>0.99995475113122168</v>
      </c>
      <c r="I16" s="494">
        <f>+(0.68)*100%</f>
        <v>0.68</v>
      </c>
      <c r="K16" s="494">
        <v>0.5</v>
      </c>
      <c r="M16" s="494">
        <v>0.75</v>
      </c>
      <c r="O16" s="494">
        <f>+(0.928)*100%</f>
        <v>0.92800000000000005</v>
      </c>
      <c r="Q16" s="494">
        <v>0.6</v>
      </c>
      <c r="S16" s="494">
        <f>+(799.96/800)*100%</f>
        <v>0.99995000000000001</v>
      </c>
      <c r="U16" s="494">
        <v>0.92500000000000004</v>
      </c>
      <c r="V16" s="495"/>
      <c r="W16" s="494">
        <v>0.99</v>
      </c>
      <c r="X16" s="495"/>
      <c r="Y16" s="494">
        <v>1</v>
      </c>
      <c r="AE16" s="496"/>
      <c r="AG16" s="497"/>
    </row>
    <row r="17" spans="1:33" ht="5.0999999999999996" customHeight="1">
      <c r="C17" s="492"/>
      <c r="E17" s="492"/>
      <c r="I17" s="492"/>
      <c r="K17" s="492"/>
      <c r="M17" s="492"/>
      <c r="O17" s="492"/>
      <c r="Q17" s="492"/>
      <c r="S17" s="492"/>
      <c r="U17" s="492"/>
      <c r="V17" s="491"/>
      <c r="W17" s="492"/>
      <c r="X17" s="491"/>
      <c r="Y17" s="492"/>
      <c r="AC17" s="492"/>
      <c r="AG17" s="498"/>
    </row>
    <row r="18" spans="1:33">
      <c r="A18" s="499" t="s">
        <v>430</v>
      </c>
      <c r="C18" s="492"/>
      <c r="E18" s="492"/>
      <c r="I18" s="492"/>
      <c r="K18" s="492"/>
      <c r="M18" s="492"/>
      <c r="O18" s="492"/>
      <c r="Q18" s="492"/>
      <c r="S18" s="492"/>
      <c r="U18" s="492"/>
      <c r="V18" s="491"/>
      <c r="W18" s="492"/>
      <c r="X18" s="491"/>
      <c r="Y18" s="492"/>
      <c r="AC18" s="492"/>
      <c r="AE18" s="492"/>
      <c r="AG18" s="498"/>
    </row>
    <row r="19" spans="1:33">
      <c r="A19" s="481" t="s">
        <v>193</v>
      </c>
      <c r="C19" s="483">
        <f t="shared" ref="C19:C25" si="2">+C3*C$16</f>
        <v>30006697</v>
      </c>
      <c r="D19" s="483"/>
      <c r="E19" s="483">
        <f>+E3*E$16</f>
        <v>3751</v>
      </c>
      <c r="F19" s="483"/>
      <c r="G19" s="483">
        <f>+G3*G$16</f>
        <v>1104950</v>
      </c>
      <c r="H19" s="483"/>
      <c r="I19" s="483">
        <f>+I3*I$16</f>
        <v>6800.0000000000009</v>
      </c>
      <c r="J19" s="483"/>
      <c r="K19" s="483">
        <f>+K3*K$16</f>
        <v>500</v>
      </c>
      <c r="L19" s="483"/>
      <c r="M19" s="483">
        <f>+M3*M$16</f>
        <v>750</v>
      </c>
      <c r="N19" s="483"/>
      <c r="O19" s="483">
        <f>+O3*O$16</f>
        <v>4640</v>
      </c>
      <c r="P19" s="483"/>
      <c r="Q19" s="483">
        <f t="shared" ref="Q19:Q25" si="3">+Q3*Q$16</f>
        <v>6000</v>
      </c>
      <c r="R19" s="483"/>
      <c r="S19" s="483">
        <f t="shared" ref="S19:S25" si="4">+S3*S$16</f>
        <v>799.96</v>
      </c>
      <c r="T19" s="483"/>
      <c r="U19" s="483">
        <f>+U3*U$16</f>
        <v>740</v>
      </c>
      <c r="V19" s="484"/>
      <c r="W19" s="483">
        <f>+W3*W$16</f>
        <v>3624786</v>
      </c>
      <c r="X19" s="484"/>
      <c r="Y19" s="483">
        <f t="shared" ref="Y19:Y25" si="5">+Y3*Y$16</f>
        <v>10000</v>
      </c>
      <c r="Z19" s="483"/>
      <c r="AA19" s="483">
        <f t="shared" ref="AA19:AA27" si="6">+SUM(C19:Z19)</f>
        <v>34770413.960000001</v>
      </c>
      <c r="AC19" s="492">
        <f t="shared" ref="AC19:AC25" si="7">+AC3</f>
        <v>-4763717</v>
      </c>
      <c r="AE19" s="500">
        <f t="shared" ref="AE19:AE25" si="8">+AE3</f>
        <v>0</v>
      </c>
      <c r="AG19" s="485">
        <f t="shared" ref="AG19:AG27" si="9">+AA19+AC19+AE19</f>
        <v>30006696.960000001</v>
      </c>
    </row>
    <row r="20" spans="1:33">
      <c r="A20" s="481" t="s">
        <v>424</v>
      </c>
      <c r="C20" s="483">
        <f t="shared" si="2"/>
        <v>920</v>
      </c>
      <c r="D20" s="483"/>
      <c r="E20" s="483">
        <v>31546825</v>
      </c>
      <c r="F20" s="483"/>
      <c r="G20" s="483">
        <v>877313</v>
      </c>
      <c r="H20" s="483"/>
      <c r="I20" s="483">
        <f>+I4*I$16</f>
        <v>0</v>
      </c>
      <c r="J20" s="483"/>
      <c r="K20" s="483">
        <v>49015</v>
      </c>
      <c r="L20" s="483"/>
      <c r="M20" s="483">
        <v>330450</v>
      </c>
      <c r="N20" s="483"/>
      <c r="O20" s="483">
        <f>+O4*O$16</f>
        <v>0</v>
      </c>
      <c r="P20" s="483"/>
      <c r="Q20" s="483">
        <f t="shared" si="3"/>
        <v>0</v>
      </c>
      <c r="R20" s="483"/>
      <c r="S20" s="483">
        <f t="shared" si="4"/>
        <v>0</v>
      </c>
      <c r="T20" s="483"/>
      <c r="U20" s="483">
        <v>1833417</v>
      </c>
      <c r="V20" s="484"/>
      <c r="W20" s="483">
        <v>292500</v>
      </c>
      <c r="X20" s="484"/>
      <c r="Y20" s="483">
        <f t="shared" si="5"/>
        <v>0</v>
      </c>
      <c r="Z20" s="483"/>
      <c r="AA20" s="483">
        <f t="shared" si="6"/>
        <v>34930440</v>
      </c>
      <c r="AC20" s="492">
        <f t="shared" si="7"/>
        <v>-34929520</v>
      </c>
      <c r="AE20" s="500">
        <f t="shared" si="8"/>
        <v>0</v>
      </c>
      <c r="AG20" s="485">
        <f t="shared" si="9"/>
        <v>920</v>
      </c>
    </row>
    <row r="21" spans="1:33">
      <c r="A21" s="481" t="s">
        <v>17</v>
      </c>
      <c r="C21" s="483">
        <f t="shared" si="2"/>
        <v>4662954</v>
      </c>
      <c r="D21" s="483"/>
      <c r="E21" s="483">
        <f>+E5*E$16</f>
        <v>0</v>
      </c>
      <c r="F21" s="483"/>
      <c r="G21" s="483">
        <f>+G5*G$16</f>
        <v>0</v>
      </c>
      <c r="H21" s="483"/>
      <c r="I21" s="483">
        <f>+I5*I$16</f>
        <v>0</v>
      </c>
      <c r="J21" s="483"/>
      <c r="K21" s="483">
        <v>500</v>
      </c>
      <c r="L21" s="483"/>
      <c r="M21" s="483">
        <f>+M5*M$16</f>
        <v>0</v>
      </c>
      <c r="N21" s="483"/>
      <c r="O21" s="483">
        <f>+O5*O$16</f>
        <v>0</v>
      </c>
      <c r="P21" s="483"/>
      <c r="Q21" s="483">
        <f t="shared" si="3"/>
        <v>0</v>
      </c>
      <c r="R21" s="483"/>
      <c r="S21" s="483">
        <f t="shared" si="4"/>
        <v>339.983</v>
      </c>
      <c r="T21" s="483"/>
      <c r="U21" s="483">
        <f>+U5*U$16</f>
        <v>0</v>
      </c>
      <c r="V21" s="484"/>
      <c r="W21" s="483">
        <f>+W5*W$16</f>
        <v>0</v>
      </c>
      <c r="X21" s="484"/>
      <c r="Y21" s="483">
        <f t="shared" si="5"/>
        <v>0</v>
      </c>
      <c r="Z21" s="483"/>
      <c r="AA21" s="483">
        <f t="shared" si="6"/>
        <v>4663793.983</v>
      </c>
      <c r="AC21" s="492">
        <f t="shared" si="7"/>
        <v>-840</v>
      </c>
      <c r="AE21" s="500">
        <f t="shared" si="8"/>
        <v>0</v>
      </c>
      <c r="AG21" s="485">
        <f t="shared" si="9"/>
        <v>4662953.983</v>
      </c>
    </row>
    <row r="22" spans="1:33">
      <c r="A22" s="481" t="s">
        <v>425</v>
      </c>
      <c r="C22" s="483">
        <f t="shared" si="2"/>
        <v>34797</v>
      </c>
      <c r="D22" s="483"/>
      <c r="E22" s="483">
        <f>+E6*E$16</f>
        <v>0</v>
      </c>
      <c r="F22" s="483"/>
      <c r="G22" s="483">
        <f>+G6*G$16</f>
        <v>0</v>
      </c>
      <c r="H22" s="483"/>
      <c r="I22" s="483">
        <f>+I6*I$16</f>
        <v>0</v>
      </c>
      <c r="J22" s="483"/>
      <c r="K22" s="483">
        <f>+K6*K$16</f>
        <v>0</v>
      </c>
      <c r="L22" s="483"/>
      <c r="M22" s="483">
        <f>+M6*M$16</f>
        <v>0</v>
      </c>
      <c r="N22" s="483"/>
      <c r="O22" s="483">
        <f>+O6*O$16</f>
        <v>0</v>
      </c>
      <c r="P22" s="483"/>
      <c r="Q22" s="483">
        <f t="shared" si="3"/>
        <v>0</v>
      </c>
      <c r="R22" s="483"/>
      <c r="S22" s="483">
        <f t="shared" si="4"/>
        <v>0</v>
      </c>
      <c r="T22" s="483"/>
      <c r="U22" s="483">
        <f>+U6*U$16</f>
        <v>0</v>
      </c>
      <c r="V22" s="484"/>
      <c r="W22" s="483">
        <f>+W6*W$16</f>
        <v>0</v>
      </c>
      <c r="X22" s="484"/>
      <c r="Y22" s="483">
        <f t="shared" si="5"/>
        <v>0</v>
      </c>
      <c r="Z22" s="483"/>
      <c r="AA22" s="483">
        <f t="shared" si="6"/>
        <v>34797</v>
      </c>
      <c r="AC22" s="492">
        <f t="shared" si="7"/>
        <v>0</v>
      </c>
      <c r="AE22" s="500">
        <f t="shared" si="8"/>
        <v>0</v>
      </c>
      <c r="AG22" s="485">
        <f t="shared" si="9"/>
        <v>34797</v>
      </c>
    </row>
    <row r="23" spans="1:33">
      <c r="A23" s="481" t="s">
        <v>426</v>
      </c>
      <c r="C23" s="483">
        <f t="shared" si="2"/>
        <v>1353857</v>
      </c>
      <c r="D23" s="483"/>
      <c r="E23" s="483">
        <f>+E7*E$16</f>
        <v>0</v>
      </c>
      <c r="F23" s="483"/>
      <c r="G23" s="483">
        <f>+G7*G$16</f>
        <v>0</v>
      </c>
      <c r="H23" s="483"/>
      <c r="I23" s="483">
        <f>+I7*I$16</f>
        <v>0</v>
      </c>
      <c r="J23" s="483"/>
      <c r="K23" s="483">
        <f>+K7*K$16</f>
        <v>0</v>
      </c>
      <c r="L23" s="483"/>
      <c r="M23" s="483">
        <f>+M7*M$16</f>
        <v>0</v>
      </c>
      <c r="N23" s="483"/>
      <c r="O23" s="483">
        <f>+O7*O$16</f>
        <v>0</v>
      </c>
      <c r="P23" s="483"/>
      <c r="Q23" s="483">
        <f t="shared" si="3"/>
        <v>0</v>
      </c>
      <c r="R23" s="483"/>
      <c r="S23" s="483">
        <f t="shared" si="4"/>
        <v>0</v>
      </c>
      <c r="T23" s="483"/>
      <c r="U23" s="483">
        <f>+U7*U$16</f>
        <v>0</v>
      </c>
      <c r="V23" s="484"/>
      <c r="W23" s="483">
        <f>+W7*W$16</f>
        <v>0</v>
      </c>
      <c r="X23" s="484"/>
      <c r="Y23" s="483">
        <f t="shared" si="5"/>
        <v>0</v>
      </c>
      <c r="Z23" s="483"/>
      <c r="AA23" s="483">
        <f t="shared" si="6"/>
        <v>1353857</v>
      </c>
      <c r="AC23" s="492">
        <f t="shared" si="7"/>
        <v>0</v>
      </c>
      <c r="AE23" s="500">
        <f t="shared" si="8"/>
        <v>0</v>
      </c>
      <c r="AG23" s="485">
        <f t="shared" si="9"/>
        <v>1353857</v>
      </c>
    </row>
    <row r="24" spans="1:33">
      <c r="A24" s="481" t="s">
        <v>421</v>
      </c>
      <c r="C24" s="483">
        <f t="shared" si="2"/>
        <v>227072</v>
      </c>
      <c r="D24" s="483"/>
      <c r="E24" s="483">
        <f>+E8*E$16</f>
        <v>0</v>
      </c>
      <c r="F24" s="483"/>
      <c r="G24" s="483">
        <f>+G8*G$16</f>
        <v>0</v>
      </c>
      <c r="H24" s="483"/>
      <c r="I24" s="483">
        <v>74426</v>
      </c>
      <c r="J24" s="483"/>
      <c r="K24" s="483">
        <f>+K8*K$16</f>
        <v>0</v>
      </c>
      <c r="L24" s="483"/>
      <c r="M24" s="483">
        <v>109633</v>
      </c>
      <c r="N24" s="483"/>
      <c r="O24" s="483">
        <v>1226</v>
      </c>
      <c r="P24" s="483"/>
      <c r="Q24" s="483">
        <f t="shared" si="3"/>
        <v>0</v>
      </c>
      <c r="R24" s="483"/>
      <c r="S24" s="483">
        <f t="shared" si="4"/>
        <v>0</v>
      </c>
      <c r="T24" s="483"/>
      <c r="U24" s="483">
        <f>+U8*U$16</f>
        <v>0</v>
      </c>
      <c r="V24" s="484"/>
      <c r="W24" s="483">
        <f>+W8*W$16</f>
        <v>0</v>
      </c>
      <c r="X24" s="484"/>
      <c r="Y24" s="483">
        <f t="shared" si="5"/>
        <v>0</v>
      </c>
      <c r="Z24" s="483"/>
      <c r="AA24" s="483">
        <f t="shared" si="6"/>
        <v>412357</v>
      </c>
      <c r="AC24" s="492">
        <f t="shared" si="7"/>
        <v>-185285</v>
      </c>
      <c r="AE24" s="500">
        <f t="shared" si="8"/>
        <v>0</v>
      </c>
      <c r="AG24" s="485">
        <f t="shared" si="9"/>
        <v>227072</v>
      </c>
    </row>
    <row r="25" spans="1:33">
      <c r="A25" s="481" t="s">
        <v>431</v>
      </c>
      <c r="C25" s="483">
        <f t="shared" si="2"/>
        <v>-3202431</v>
      </c>
      <c r="D25" s="483"/>
      <c r="E25" s="483">
        <f>+E9*E$16</f>
        <v>0</v>
      </c>
      <c r="F25" s="483"/>
      <c r="G25" s="483">
        <f>+G9*G$16</f>
        <v>0</v>
      </c>
      <c r="H25" s="483"/>
      <c r="I25" s="483">
        <f>+I9*I$16</f>
        <v>0</v>
      </c>
      <c r="J25" s="483"/>
      <c r="K25" s="483">
        <f>+K9*K$16</f>
        <v>0</v>
      </c>
      <c r="L25" s="483"/>
      <c r="M25" s="483">
        <f>+M9*M$16</f>
        <v>0</v>
      </c>
      <c r="N25" s="483"/>
      <c r="O25" s="483">
        <f>+O9*O$16</f>
        <v>0</v>
      </c>
      <c r="P25" s="483"/>
      <c r="Q25" s="483">
        <f t="shared" si="3"/>
        <v>0</v>
      </c>
      <c r="R25" s="483"/>
      <c r="S25" s="483">
        <f t="shared" si="4"/>
        <v>0</v>
      </c>
      <c r="T25" s="483"/>
      <c r="U25" s="483">
        <f>+U9*U$16</f>
        <v>0</v>
      </c>
      <c r="V25" s="484"/>
      <c r="W25" s="483">
        <v>-56932</v>
      </c>
      <c r="X25" s="484"/>
      <c r="Y25" s="483">
        <f t="shared" si="5"/>
        <v>0</v>
      </c>
      <c r="Z25" s="483"/>
      <c r="AA25" s="483">
        <f t="shared" si="6"/>
        <v>-3259363</v>
      </c>
      <c r="AC25" s="492">
        <f t="shared" si="7"/>
        <v>0</v>
      </c>
      <c r="AE25" s="483">
        <f t="shared" si="8"/>
        <v>56932</v>
      </c>
      <c r="AG25" s="485">
        <f t="shared" si="9"/>
        <v>-3202431</v>
      </c>
    </row>
    <row r="26" spans="1:33">
      <c r="A26" s="481" t="s">
        <v>438</v>
      </c>
      <c r="B26" s="488"/>
      <c r="C26" s="483">
        <v>0</v>
      </c>
      <c r="D26" s="483"/>
      <c r="E26" s="483">
        <v>0</v>
      </c>
      <c r="F26" s="483"/>
      <c r="G26" s="483">
        <v>0</v>
      </c>
      <c r="H26" s="483"/>
      <c r="I26" s="483">
        <v>0</v>
      </c>
      <c r="J26" s="483"/>
      <c r="K26" s="483">
        <v>0</v>
      </c>
      <c r="L26" s="483"/>
      <c r="M26" s="483">
        <v>0</v>
      </c>
      <c r="N26" s="483"/>
      <c r="O26" s="483">
        <v>0</v>
      </c>
      <c r="P26" s="483"/>
      <c r="Q26" s="483">
        <v>0</v>
      </c>
      <c r="R26" s="483"/>
      <c r="S26" s="483">
        <v>0</v>
      </c>
      <c r="T26" s="483"/>
      <c r="U26" s="483">
        <v>0</v>
      </c>
      <c r="V26" s="484"/>
      <c r="W26" s="483">
        <v>274690</v>
      </c>
      <c r="X26" s="484"/>
      <c r="Y26" s="483">
        <v>0</v>
      </c>
      <c r="Z26" s="483"/>
      <c r="AA26" s="483">
        <f t="shared" ref="AA26" si="10">+SUM(C26:Y26)</f>
        <v>274690</v>
      </c>
      <c r="AB26" s="483"/>
      <c r="AC26" s="483">
        <v>-274690</v>
      </c>
      <c r="AD26" s="483"/>
      <c r="AE26" s="483">
        <v>0</v>
      </c>
      <c r="AF26" s="483"/>
      <c r="AG26" s="485">
        <f t="shared" si="9"/>
        <v>0</v>
      </c>
    </row>
    <row r="27" spans="1:33">
      <c r="A27" s="481" t="s">
        <v>157</v>
      </c>
      <c r="C27" s="501">
        <f>+C11*C$16</f>
        <v>37757436</v>
      </c>
      <c r="D27" s="483"/>
      <c r="E27" s="501">
        <f>+E11*E$16</f>
        <v>883067.17180000001</v>
      </c>
      <c r="F27" s="483"/>
      <c r="G27" s="501">
        <f>+G11*G$16</f>
        <v>2399.8914027149322</v>
      </c>
      <c r="H27" s="483"/>
      <c r="I27" s="501">
        <f>+I11*I$16</f>
        <v>609101.16</v>
      </c>
      <c r="J27" s="483"/>
      <c r="K27" s="501">
        <f>+K11*K$16</f>
        <v>-490824.5</v>
      </c>
      <c r="L27" s="483"/>
      <c r="M27" s="501">
        <f>+M11*M$16</f>
        <v>-50527.5</v>
      </c>
      <c r="N27" s="483"/>
      <c r="O27" s="501">
        <f>+O11*O$16</f>
        <v>1636.0640000000001</v>
      </c>
      <c r="P27" s="483"/>
      <c r="Q27" s="501">
        <f>+Q11*Q$16</f>
        <v>0</v>
      </c>
      <c r="R27" s="483"/>
      <c r="S27" s="501">
        <f>+S11*S$16</f>
        <v>0</v>
      </c>
      <c r="T27" s="483"/>
      <c r="U27" s="501">
        <f>+U11*U$16</f>
        <v>-332597.625</v>
      </c>
      <c r="V27" s="484"/>
      <c r="W27" s="501">
        <f>+W11*W$16</f>
        <v>-4345037.7299999995</v>
      </c>
      <c r="X27" s="484"/>
      <c r="Y27" s="501">
        <f>+Y11*Y$16</f>
        <v>-544450</v>
      </c>
      <c r="Z27" s="483"/>
      <c r="AA27" s="501">
        <f t="shared" si="6"/>
        <v>33490202.932202719</v>
      </c>
      <c r="AC27" s="492">
        <f>+AC11+560219</f>
        <v>-1737280</v>
      </c>
      <c r="AE27" s="483">
        <f>+AE11-205175</f>
        <v>4887516</v>
      </c>
      <c r="AG27" s="502">
        <f t="shared" si="9"/>
        <v>36640438.932202719</v>
      </c>
    </row>
    <row r="28" spans="1:33">
      <c r="A28" s="481"/>
      <c r="C28" s="492">
        <f>+SUM(C19:C27)</f>
        <v>70841302</v>
      </c>
      <c r="E28" s="492">
        <f>+SUM(E19:E27)</f>
        <v>32433643.171799999</v>
      </c>
      <c r="G28" s="492">
        <f>+SUM(G19:G27)</f>
        <v>1984662.8914027149</v>
      </c>
      <c r="I28" s="492">
        <f>+SUM(I19:I27)</f>
        <v>690327.16</v>
      </c>
      <c r="K28" s="492">
        <f>+SUM(K19:K27)</f>
        <v>-440809.5</v>
      </c>
      <c r="M28" s="492">
        <f>+SUM(M19:M27)</f>
        <v>390305.5</v>
      </c>
      <c r="O28" s="492">
        <f>+SUM(O19:O27)</f>
        <v>7502.0640000000003</v>
      </c>
      <c r="Q28" s="492">
        <f>+SUM(Q19:Q27)</f>
        <v>6000</v>
      </c>
      <c r="S28" s="492">
        <f>+SUM(S19:S27)</f>
        <v>1139.943</v>
      </c>
      <c r="U28" s="492">
        <f>+SUM(U19:U27)</f>
        <v>1501559.375</v>
      </c>
      <c r="V28" s="491"/>
      <c r="W28" s="492">
        <f>+SUM(W19:W27)</f>
        <v>-209993.72999999952</v>
      </c>
      <c r="X28" s="491"/>
      <c r="Y28" s="492">
        <f>+SUM(Y19:Y27)</f>
        <v>-534450</v>
      </c>
      <c r="AA28" s="492">
        <f>+SUM(AA19:AA27)</f>
        <v>106671188.87520272</v>
      </c>
      <c r="AC28" s="492"/>
      <c r="AG28" s="485">
        <f>+SUM(AG19:AG27)</f>
        <v>69724304.875202715</v>
      </c>
    </row>
    <row r="29" spans="1:33" ht="5.0999999999999996" customHeight="1">
      <c r="C29" s="492"/>
      <c r="E29" s="492"/>
      <c r="I29" s="492"/>
      <c r="K29" s="492"/>
      <c r="M29" s="492"/>
      <c r="O29" s="492"/>
      <c r="Q29" s="492"/>
      <c r="S29" s="492"/>
      <c r="U29" s="492"/>
      <c r="V29" s="491"/>
      <c r="W29" s="492"/>
      <c r="X29" s="491"/>
      <c r="Y29" s="492"/>
      <c r="AC29" s="492"/>
      <c r="AG29" s="498"/>
    </row>
    <row r="30" spans="1:33">
      <c r="A30" s="499" t="s">
        <v>432</v>
      </c>
      <c r="C30" s="492"/>
      <c r="E30" s="492"/>
      <c r="I30" s="492"/>
      <c r="K30" s="492"/>
      <c r="M30" s="492"/>
      <c r="O30" s="492"/>
      <c r="Q30" s="492"/>
      <c r="S30" s="492"/>
      <c r="U30" s="492"/>
      <c r="V30" s="491"/>
      <c r="W30" s="492"/>
      <c r="X30" s="491"/>
      <c r="Y30" s="492"/>
      <c r="AC30" s="492"/>
      <c r="AG30" s="498"/>
    </row>
    <row r="31" spans="1:33">
      <c r="A31" s="481" t="s">
        <v>193</v>
      </c>
      <c r="C31" s="492">
        <f t="shared" ref="C31:C37" si="11">+C3-C19</f>
        <v>0</v>
      </c>
      <c r="E31" s="492">
        <f t="shared" ref="E31:E37" si="12">+E3-E19</f>
        <v>1249</v>
      </c>
      <c r="G31" s="492">
        <f t="shared" ref="G31:G37" si="13">+G3-G19</f>
        <v>50</v>
      </c>
      <c r="I31" s="492">
        <f t="shared" ref="I31:I37" si="14">+I3-I19</f>
        <v>3199.9999999999991</v>
      </c>
      <c r="K31" s="492">
        <f t="shared" ref="K31:K37" si="15">+K3-K19</f>
        <v>500</v>
      </c>
      <c r="M31" s="492">
        <f t="shared" ref="M31:M37" si="16">+M3-M19</f>
        <v>250</v>
      </c>
      <c r="O31" s="492">
        <f t="shared" ref="O31:O37" si="17">+O3-O19</f>
        <v>360</v>
      </c>
      <c r="Q31" s="492">
        <f t="shared" ref="Q31:Q37" si="18">+Q3-Q19</f>
        <v>4000</v>
      </c>
      <c r="S31" s="492">
        <f t="shared" ref="S31:S37" si="19">+S3-S19</f>
        <v>3.999999999996362E-2</v>
      </c>
      <c r="U31" s="492">
        <f t="shared" ref="U31:U37" si="20">+U3-U19</f>
        <v>60</v>
      </c>
      <c r="V31" s="491"/>
      <c r="W31" s="492">
        <f t="shared" ref="W31:W37" si="21">+W3-W19</f>
        <v>36614</v>
      </c>
      <c r="X31" s="491"/>
      <c r="Y31" s="492">
        <f t="shared" ref="Y31:Y37" si="22">+Y3-Y19</f>
        <v>0</v>
      </c>
      <c r="AA31" s="483">
        <f t="shared" ref="AA31:AA39" si="23">+SUM(C31:Z31)</f>
        <v>46283.040000000001</v>
      </c>
      <c r="AC31" s="492">
        <v>0</v>
      </c>
      <c r="AE31" s="492">
        <v>0</v>
      </c>
      <c r="AG31" s="485">
        <f t="shared" ref="AG31:AG39" si="24">+AA31+AC31+AE31</f>
        <v>46283.040000000001</v>
      </c>
    </row>
    <row r="32" spans="1:33">
      <c r="A32" s="481" t="s">
        <v>424</v>
      </c>
      <c r="C32" s="492">
        <f t="shared" si="11"/>
        <v>0</v>
      </c>
      <c r="E32" s="492">
        <f>+E4-E20</f>
        <v>10793227</v>
      </c>
      <c r="G32" s="492">
        <f t="shared" si="13"/>
        <v>0</v>
      </c>
      <c r="I32" s="492">
        <f t="shared" si="14"/>
        <v>0</v>
      </c>
      <c r="K32" s="492">
        <f t="shared" si="15"/>
        <v>0</v>
      </c>
      <c r="M32" s="492">
        <f t="shared" si="16"/>
        <v>0</v>
      </c>
      <c r="O32" s="492">
        <f t="shared" si="17"/>
        <v>0</v>
      </c>
      <c r="Q32" s="492">
        <f t="shared" si="18"/>
        <v>0</v>
      </c>
      <c r="S32" s="492">
        <f t="shared" si="19"/>
        <v>0</v>
      </c>
      <c r="U32" s="492">
        <f t="shared" si="20"/>
        <v>0</v>
      </c>
      <c r="V32" s="491"/>
      <c r="W32" s="492">
        <f t="shared" si="21"/>
        <v>114300</v>
      </c>
      <c r="X32" s="491"/>
      <c r="Y32" s="492">
        <f t="shared" si="22"/>
        <v>0</v>
      </c>
      <c r="AA32" s="483">
        <f t="shared" si="23"/>
        <v>10907527</v>
      </c>
      <c r="AC32" s="492">
        <v>0</v>
      </c>
      <c r="AE32" s="492">
        <v>0</v>
      </c>
      <c r="AG32" s="485">
        <f t="shared" si="24"/>
        <v>10907527</v>
      </c>
    </row>
    <row r="33" spans="1:34">
      <c r="A33" s="481" t="s">
        <v>17</v>
      </c>
      <c r="C33" s="492">
        <f t="shared" si="11"/>
        <v>0</v>
      </c>
      <c r="E33" s="492">
        <f t="shared" si="12"/>
        <v>0</v>
      </c>
      <c r="G33" s="492">
        <f t="shared" si="13"/>
        <v>0</v>
      </c>
      <c r="I33" s="492">
        <f t="shared" si="14"/>
        <v>0</v>
      </c>
      <c r="K33" s="492">
        <f t="shared" si="15"/>
        <v>0</v>
      </c>
      <c r="M33" s="492">
        <f t="shared" si="16"/>
        <v>0</v>
      </c>
      <c r="O33" s="492">
        <f t="shared" si="17"/>
        <v>0</v>
      </c>
      <c r="Q33" s="492">
        <f t="shared" si="18"/>
        <v>0</v>
      </c>
      <c r="S33" s="492">
        <f t="shared" si="19"/>
        <v>1.6999999999995907E-2</v>
      </c>
      <c r="U33" s="492">
        <f t="shared" si="20"/>
        <v>0</v>
      </c>
      <c r="V33" s="491"/>
      <c r="W33" s="492">
        <f t="shared" si="21"/>
        <v>0</v>
      </c>
      <c r="X33" s="491"/>
      <c r="Y33" s="492">
        <f t="shared" si="22"/>
        <v>0</v>
      </c>
      <c r="AA33" s="483">
        <f t="shared" si="23"/>
        <v>1.6999999999995907E-2</v>
      </c>
      <c r="AC33" s="492">
        <v>0</v>
      </c>
      <c r="AE33" s="492">
        <v>0</v>
      </c>
      <c r="AG33" s="485">
        <f t="shared" si="24"/>
        <v>1.6999999999995907E-2</v>
      </c>
    </row>
    <row r="34" spans="1:34">
      <c r="A34" s="481" t="s">
        <v>425</v>
      </c>
      <c r="C34" s="492">
        <f t="shared" si="11"/>
        <v>0</v>
      </c>
      <c r="E34" s="492">
        <f t="shared" si="12"/>
        <v>0</v>
      </c>
      <c r="G34" s="492">
        <f t="shared" si="13"/>
        <v>0</v>
      </c>
      <c r="I34" s="492">
        <f t="shared" si="14"/>
        <v>0</v>
      </c>
      <c r="K34" s="492">
        <f t="shared" si="15"/>
        <v>0</v>
      </c>
      <c r="M34" s="492">
        <f t="shared" si="16"/>
        <v>0</v>
      </c>
      <c r="O34" s="492">
        <f t="shared" si="17"/>
        <v>0</v>
      </c>
      <c r="Q34" s="492">
        <f t="shared" si="18"/>
        <v>0</v>
      </c>
      <c r="S34" s="492">
        <f t="shared" si="19"/>
        <v>0</v>
      </c>
      <c r="U34" s="492">
        <f t="shared" si="20"/>
        <v>0</v>
      </c>
      <c r="V34" s="491"/>
      <c r="W34" s="492">
        <f t="shared" si="21"/>
        <v>0</v>
      </c>
      <c r="X34" s="491"/>
      <c r="Y34" s="492">
        <f t="shared" si="22"/>
        <v>0</v>
      </c>
      <c r="AA34" s="483">
        <f t="shared" si="23"/>
        <v>0</v>
      </c>
      <c r="AC34" s="492">
        <v>0</v>
      </c>
      <c r="AE34" s="492">
        <v>0</v>
      </c>
      <c r="AG34" s="485">
        <f t="shared" si="24"/>
        <v>0</v>
      </c>
    </row>
    <row r="35" spans="1:34">
      <c r="A35" s="481" t="s">
        <v>426</v>
      </c>
      <c r="C35" s="492">
        <f t="shared" si="11"/>
        <v>0</v>
      </c>
      <c r="E35" s="492">
        <f t="shared" si="12"/>
        <v>0</v>
      </c>
      <c r="G35" s="492">
        <f t="shared" si="13"/>
        <v>0</v>
      </c>
      <c r="I35" s="492">
        <f t="shared" si="14"/>
        <v>0</v>
      </c>
      <c r="K35" s="492">
        <f t="shared" si="15"/>
        <v>0</v>
      </c>
      <c r="M35" s="492">
        <f t="shared" si="16"/>
        <v>0</v>
      </c>
      <c r="O35" s="492">
        <f t="shared" si="17"/>
        <v>0</v>
      </c>
      <c r="Q35" s="492">
        <f t="shared" si="18"/>
        <v>0</v>
      </c>
      <c r="S35" s="492">
        <f t="shared" si="19"/>
        <v>0</v>
      </c>
      <c r="U35" s="492">
        <f t="shared" si="20"/>
        <v>0</v>
      </c>
      <c r="V35" s="491"/>
      <c r="W35" s="492">
        <f t="shared" si="21"/>
        <v>0</v>
      </c>
      <c r="X35" s="491"/>
      <c r="Y35" s="492">
        <f t="shared" si="22"/>
        <v>0</v>
      </c>
      <c r="AA35" s="483">
        <f t="shared" si="23"/>
        <v>0</v>
      </c>
      <c r="AC35" s="492">
        <v>0</v>
      </c>
      <c r="AE35" s="492">
        <v>0</v>
      </c>
      <c r="AG35" s="485">
        <f t="shared" si="24"/>
        <v>0</v>
      </c>
    </row>
    <row r="36" spans="1:34">
      <c r="A36" s="481" t="s">
        <v>421</v>
      </c>
      <c r="C36" s="492">
        <f t="shared" si="11"/>
        <v>0</v>
      </c>
      <c r="E36" s="492">
        <f t="shared" si="12"/>
        <v>0</v>
      </c>
      <c r="G36" s="492">
        <f t="shared" si="13"/>
        <v>0</v>
      </c>
      <c r="I36" s="492">
        <f t="shared" si="14"/>
        <v>0</v>
      </c>
      <c r="K36" s="492">
        <f t="shared" si="15"/>
        <v>0</v>
      </c>
      <c r="M36" s="492">
        <f t="shared" si="16"/>
        <v>0</v>
      </c>
      <c r="O36" s="492">
        <f t="shared" si="17"/>
        <v>0</v>
      </c>
      <c r="Q36" s="492">
        <f t="shared" si="18"/>
        <v>0</v>
      </c>
      <c r="S36" s="492">
        <f t="shared" si="19"/>
        <v>0</v>
      </c>
      <c r="U36" s="492">
        <f t="shared" si="20"/>
        <v>0</v>
      </c>
      <c r="V36" s="491"/>
      <c r="W36" s="492">
        <f t="shared" si="21"/>
        <v>0</v>
      </c>
      <c r="X36" s="491"/>
      <c r="Y36" s="492">
        <f t="shared" si="22"/>
        <v>0</v>
      </c>
      <c r="AA36" s="483">
        <f t="shared" si="23"/>
        <v>0</v>
      </c>
      <c r="AC36" s="492">
        <v>0</v>
      </c>
      <c r="AE36" s="492">
        <v>0</v>
      </c>
      <c r="AG36" s="485">
        <f t="shared" si="24"/>
        <v>0</v>
      </c>
    </row>
    <row r="37" spans="1:34">
      <c r="A37" s="481" t="s">
        <v>431</v>
      </c>
      <c r="C37" s="492">
        <f t="shared" si="11"/>
        <v>0</v>
      </c>
      <c r="E37" s="492">
        <f t="shared" si="12"/>
        <v>0</v>
      </c>
      <c r="G37" s="492">
        <f t="shared" si="13"/>
        <v>0</v>
      </c>
      <c r="I37" s="492">
        <f t="shared" si="14"/>
        <v>0</v>
      </c>
      <c r="K37" s="492">
        <f t="shared" si="15"/>
        <v>0</v>
      </c>
      <c r="M37" s="492">
        <f t="shared" si="16"/>
        <v>0</v>
      </c>
      <c r="O37" s="492">
        <f t="shared" si="17"/>
        <v>0</v>
      </c>
      <c r="Q37" s="492">
        <f t="shared" si="18"/>
        <v>0</v>
      </c>
      <c r="S37" s="492">
        <f t="shared" si="19"/>
        <v>0</v>
      </c>
      <c r="U37" s="492">
        <f t="shared" si="20"/>
        <v>0</v>
      </c>
      <c r="V37" s="491"/>
      <c r="W37" s="492">
        <f t="shared" si="21"/>
        <v>0</v>
      </c>
      <c r="X37" s="491"/>
      <c r="Y37" s="492">
        <f t="shared" si="22"/>
        <v>0</v>
      </c>
      <c r="AA37" s="483">
        <f t="shared" si="23"/>
        <v>0</v>
      </c>
      <c r="AC37" s="492">
        <v>0</v>
      </c>
      <c r="AE37" s="492">
        <v>0</v>
      </c>
      <c r="AG37" s="485">
        <f t="shared" si="24"/>
        <v>0</v>
      </c>
    </row>
    <row r="38" spans="1:34">
      <c r="A38" s="481" t="s">
        <v>438</v>
      </c>
      <c r="B38" s="488"/>
      <c r="C38" s="483">
        <v>0</v>
      </c>
      <c r="D38" s="483"/>
      <c r="E38" s="483">
        <v>0</v>
      </c>
      <c r="F38" s="483"/>
      <c r="G38" s="483">
        <v>0</v>
      </c>
      <c r="H38" s="483"/>
      <c r="I38" s="483">
        <v>0</v>
      </c>
      <c r="J38" s="483"/>
      <c r="K38" s="483">
        <v>0</v>
      </c>
      <c r="L38" s="483"/>
      <c r="M38" s="483">
        <v>0</v>
      </c>
      <c r="N38" s="483"/>
      <c r="O38" s="483">
        <v>0</v>
      </c>
      <c r="P38" s="483"/>
      <c r="Q38" s="483">
        <v>0</v>
      </c>
      <c r="R38" s="483"/>
      <c r="S38" s="483">
        <v>0</v>
      </c>
      <c r="T38" s="483"/>
      <c r="U38" s="483">
        <v>0</v>
      </c>
      <c r="V38" s="484"/>
      <c r="W38" s="483">
        <v>0</v>
      </c>
      <c r="X38" s="484"/>
      <c r="Y38" s="483">
        <v>0</v>
      </c>
      <c r="Z38" s="483"/>
      <c r="AA38" s="483">
        <f t="shared" ref="AA38" si="25">+SUM(C38:Y38)</f>
        <v>0</v>
      </c>
      <c r="AB38" s="483"/>
      <c r="AC38" s="483">
        <v>0</v>
      </c>
      <c r="AD38" s="483"/>
      <c r="AE38" s="483">
        <v>0</v>
      </c>
      <c r="AF38" s="483"/>
      <c r="AG38" s="485">
        <f t="shared" si="24"/>
        <v>0</v>
      </c>
    </row>
    <row r="39" spans="1:34">
      <c r="A39" s="481" t="s">
        <v>157</v>
      </c>
      <c r="C39" s="503">
        <f>+C11-C27</f>
        <v>0</v>
      </c>
      <c r="E39" s="503">
        <f>+E11-E27</f>
        <v>294041.82819999999</v>
      </c>
      <c r="G39" s="503">
        <f>+G11-G27</f>
        <v>0.1085972850678445</v>
      </c>
      <c r="I39" s="503">
        <f>+I11-I27</f>
        <v>286635.83999999997</v>
      </c>
      <c r="K39" s="503">
        <f>+K11-K27</f>
        <v>-490824.5</v>
      </c>
      <c r="M39" s="503">
        <f>+M11-M27</f>
        <v>-16842.5</v>
      </c>
      <c r="O39" s="503">
        <f>+O11-O27</f>
        <v>126.93599999999992</v>
      </c>
      <c r="Q39" s="503">
        <f>+Q11-Q27</f>
        <v>0</v>
      </c>
      <c r="S39" s="503">
        <f>+S11-S27</f>
        <v>0</v>
      </c>
      <c r="U39" s="503">
        <f>+U11-U27</f>
        <v>-26967.375</v>
      </c>
      <c r="V39" s="491"/>
      <c r="W39" s="503">
        <f>+W11-W27</f>
        <v>-43889.270000000484</v>
      </c>
      <c r="X39" s="491"/>
      <c r="Y39" s="503">
        <f>+Y11-Y27</f>
        <v>0</v>
      </c>
      <c r="AA39" s="501">
        <f t="shared" si="23"/>
        <v>2281.0677972845879</v>
      </c>
      <c r="AC39" s="492">
        <v>-560219</v>
      </c>
      <c r="AE39" s="492">
        <v>205175</v>
      </c>
      <c r="AG39" s="502">
        <f t="shared" si="24"/>
        <v>-352762.93220271543</v>
      </c>
    </row>
    <row r="40" spans="1:34">
      <c r="C40" s="492">
        <f>+SUM(C31:C39)</f>
        <v>0</v>
      </c>
      <c r="E40" s="492">
        <f>+SUM(E31:E39)</f>
        <v>11088517.828199999</v>
      </c>
      <c r="G40" s="492">
        <f>+SUM(G31:G39)</f>
        <v>50.108597285067844</v>
      </c>
      <c r="I40" s="492">
        <f>+SUM(I31:I39)</f>
        <v>289835.83999999997</v>
      </c>
      <c r="K40" s="492">
        <f>+SUM(K31:K39)</f>
        <v>-490324.5</v>
      </c>
      <c r="M40" s="492">
        <f>+SUM(M31:M39)</f>
        <v>-16592.5</v>
      </c>
      <c r="O40" s="492">
        <f>+SUM(O31:O39)</f>
        <v>486.93599999999992</v>
      </c>
      <c r="Q40" s="492">
        <f>+SUM(Q31:Q39)</f>
        <v>4000</v>
      </c>
      <c r="S40" s="492">
        <f>+SUM(S31:S39)</f>
        <v>5.6999999999959527E-2</v>
      </c>
      <c r="U40" s="492">
        <f>+SUM(U31:U39)</f>
        <v>-26907.375</v>
      </c>
      <c r="V40" s="491"/>
      <c r="W40" s="492">
        <f>+SUM(W31:W39)</f>
        <v>107024.72999999952</v>
      </c>
      <c r="X40" s="491"/>
      <c r="Y40" s="492">
        <f>+SUM(Y31:Y39)</f>
        <v>0</v>
      </c>
      <c r="AA40" s="492">
        <f>+SUM(AA31:AA39)</f>
        <v>10956091.124797285</v>
      </c>
      <c r="AG40" s="498">
        <f>+SUM(AG31:AG39)</f>
        <v>10601047.124797285</v>
      </c>
      <c r="AH40" s="492"/>
    </row>
    <row r="41" spans="1:34" ht="5.0999999999999996" customHeight="1">
      <c r="V41" s="491"/>
      <c r="X41" s="491"/>
    </row>
    <row r="42" spans="1:34">
      <c r="A42" s="486" t="s">
        <v>15</v>
      </c>
      <c r="C42" s="492">
        <f>+C40+C28</f>
        <v>70841302</v>
      </c>
      <c r="E42" s="492">
        <f>+E40+E28</f>
        <v>43522161</v>
      </c>
      <c r="G42" s="492">
        <f>+G40+G28</f>
        <v>1984713</v>
      </c>
      <c r="I42" s="492">
        <f>+I40+I28</f>
        <v>980163</v>
      </c>
      <c r="K42" s="492">
        <f>+K40+K28</f>
        <v>-931134</v>
      </c>
      <c r="M42" s="492">
        <f>+M40+M28</f>
        <v>373713</v>
      </c>
      <c r="O42" s="492">
        <f>+O40+O28</f>
        <v>7989</v>
      </c>
      <c r="Q42" s="492">
        <f>+Q40+Q28</f>
        <v>10000</v>
      </c>
      <c r="S42" s="492">
        <f>+S40+S28</f>
        <v>1140</v>
      </c>
      <c r="U42" s="492">
        <f>+U40+U28</f>
        <v>1474652</v>
      </c>
      <c r="V42" s="491"/>
      <c r="W42" s="492">
        <f>+W40+W28</f>
        <v>-102969</v>
      </c>
      <c r="X42" s="491"/>
      <c r="Y42" s="492">
        <f>+Y40+Y28</f>
        <v>-534450</v>
      </c>
    </row>
    <row r="43" spans="1:34" ht="5.0999999999999996" customHeight="1">
      <c r="V43" s="491"/>
      <c r="X43" s="491"/>
    </row>
    <row r="44" spans="1:34" s="504" customFormat="1">
      <c r="A44" s="504" t="s">
        <v>433</v>
      </c>
      <c r="C44" s="505">
        <f>+SUM(C3:C11)-C42</f>
        <v>0</v>
      </c>
      <c r="E44" s="505">
        <f>+SUM(E3:E11)-E42</f>
        <v>0</v>
      </c>
      <c r="G44" s="505">
        <f>+SUM(G3:G11)-G42</f>
        <v>0</v>
      </c>
      <c r="I44" s="505">
        <f>+SUM(I3:I11)-I42</f>
        <v>0</v>
      </c>
      <c r="K44" s="505">
        <f>+SUM(K3:K11)-K42</f>
        <v>0</v>
      </c>
      <c r="M44" s="505">
        <f>+SUM(M3:M11)-M42</f>
        <v>0</v>
      </c>
      <c r="O44" s="505">
        <f>+SUM(O3:O11)-O42</f>
        <v>0</v>
      </c>
      <c r="Q44" s="505">
        <f>+SUM(Q3:Q11)-Q42</f>
        <v>0</v>
      </c>
      <c r="S44" s="505">
        <f>+SUM(S3:S11)-S42</f>
        <v>0</v>
      </c>
      <c r="U44" s="505">
        <f>+SUM(U3:U11)-U42</f>
        <v>0</v>
      </c>
      <c r="V44" s="506"/>
      <c r="W44" s="505">
        <f>+SUM(W3:W11)-W42</f>
        <v>0</v>
      </c>
      <c r="X44" s="506"/>
      <c r="Y44" s="505">
        <f>+SUM(Y3:Y11)-Y42</f>
        <v>0</v>
      </c>
      <c r="AG44" s="507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E5" sqref="A5:XFD5"/>
    </sheetView>
  </sheetViews>
  <sheetFormatPr defaultColWidth="9.140625" defaultRowHeight="15"/>
  <cols>
    <col min="1" max="1" width="54.140625" style="229" customWidth="1"/>
    <col min="2" max="2" width="4.85546875" style="229" bestFit="1" customWidth="1"/>
    <col min="3" max="3" width="7" style="229" customWidth="1"/>
    <col min="4" max="4" width="15" style="229" customWidth="1"/>
    <col min="5" max="5" width="4.140625" style="229" customWidth="1"/>
    <col min="6" max="6" width="15" style="229" customWidth="1"/>
    <col min="7" max="7" width="2.7109375" style="229" customWidth="1"/>
    <col min="8" max="8" width="12.42578125" style="134" bestFit="1" customWidth="1"/>
    <col min="9" max="9" width="2.7109375" style="229" customWidth="1"/>
    <col min="10" max="10" width="16.7109375" style="229" bestFit="1" customWidth="1"/>
    <col min="11" max="16384" width="9.140625" style="229"/>
  </cols>
  <sheetData>
    <row r="1" spans="1:10" ht="11.25">
      <c r="B1" s="235"/>
      <c r="C1" s="235"/>
      <c r="D1" s="235"/>
      <c r="E1" s="235"/>
      <c r="F1" s="236" t="s">
        <v>361</v>
      </c>
      <c r="H1" s="229"/>
    </row>
    <row r="2" spans="1:10" ht="11.25">
      <c r="A2" s="237"/>
      <c r="B2" s="238" t="s">
        <v>333</v>
      </c>
      <c r="C2" s="239"/>
      <c r="D2" s="240">
        <v>2016</v>
      </c>
      <c r="E2" s="239"/>
      <c r="F2" s="240">
        <v>2015</v>
      </c>
      <c r="G2" s="241"/>
      <c r="H2" s="229"/>
      <c r="I2" s="241"/>
      <c r="J2" s="241"/>
    </row>
    <row r="3" spans="1:10" ht="3" customHeight="1">
      <c r="A3" s="242"/>
      <c r="B3" s="242"/>
      <c r="C3" s="242"/>
      <c r="D3" s="241"/>
      <c r="E3" s="242"/>
      <c r="F3" s="241"/>
      <c r="G3" s="241"/>
      <c r="H3" s="229"/>
      <c r="I3" s="241"/>
      <c r="J3" s="241"/>
    </row>
    <row r="4" spans="1:10" ht="15" customHeight="1">
      <c r="A4" s="243" t="s">
        <v>89</v>
      </c>
      <c r="B4" s="244">
        <v>32</v>
      </c>
      <c r="C4" s="243"/>
      <c r="D4" s="245">
        <v>146570644</v>
      </c>
      <c r="E4" s="246"/>
      <c r="F4" s="245">
        <v>124212687</v>
      </c>
      <c r="G4" s="247"/>
      <c r="H4" s="229"/>
      <c r="I4" s="247"/>
      <c r="J4" s="248"/>
    </row>
    <row r="5" spans="1:10" s="211" customFormat="1" ht="11.25">
      <c r="A5" s="300" t="s">
        <v>362</v>
      </c>
      <c r="B5" s="301">
        <v>29</v>
      </c>
      <c r="C5" s="302"/>
      <c r="D5" s="307">
        <v>-96891637</v>
      </c>
      <c r="E5" s="304"/>
      <c r="F5" s="307">
        <v>-89061601</v>
      </c>
      <c r="G5" s="305"/>
      <c r="I5" s="305"/>
      <c r="J5" s="308"/>
    </row>
    <row r="6" spans="1:10" ht="7.5" customHeight="1">
      <c r="A6" s="249"/>
      <c r="B6" s="249"/>
      <c r="C6" s="249"/>
      <c r="D6" s="247"/>
      <c r="E6" s="252"/>
      <c r="F6" s="247"/>
      <c r="G6" s="247"/>
      <c r="H6" s="229"/>
      <c r="I6" s="247"/>
      <c r="J6" s="241"/>
    </row>
    <row r="7" spans="1:10" ht="11.25">
      <c r="A7" s="243" t="s">
        <v>363</v>
      </c>
      <c r="B7" s="249"/>
      <c r="C7" s="249"/>
      <c r="D7" s="253">
        <f>+D4+D5</f>
        <v>49679007</v>
      </c>
      <c r="E7" s="252"/>
      <c r="F7" s="253">
        <f>+F4+F5</f>
        <v>35151086</v>
      </c>
      <c r="G7" s="247"/>
      <c r="H7" s="229"/>
      <c r="I7" s="247"/>
      <c r="J7" s="241"/>
    </row>
    <row r="8" spans="1:10" ht="6" customHeight="1">
      <c r="A8" s="249"/>
      <c r="B8" s="249"/>
      <c r="C8" s="249"/>
      <c r="D8" s="247"/>
      <c r="E8" s="252"/>
      <c r="F8" s="247"/>
      <c r="G8" s="247"/>
      <c r="H8" s="229"/>
      <c r="I8" s="247"/>
      <c r="J8" s="241"/>
    </row>
    <row r="9" spans="1:10" s="211" customFormat="1" ht="13.5" customHeight="1">
      <c r="A9" s="300" t="s">
        <v>364</v>
      </c>
      <c r="B9" s="301">
        <v>29</v>
      </c>
      <c r="C9" s="302"/>
      <c r="D9" s="303">
        <v>-33364185</v>
      </c>
      <c r="E9" s="304"/>
      <c r="F9" s="303">
        <v>-32040164</v>
      </c>
      <c r="G9" s="305"/>
      <c r="I9" s="305"/>
      <c r="J9" s="306"/>
    </row>
    <row r="10" spans="1:10" ht="13.5" customHeight="1">
      <c r="A10" s="243" t="s">
        <v>365</v>
      </c>
      <c r="B10" s="244">
        <v>30</v>
      </c>
      <c r="C10" s="249"/>
      <c r="D10" s="250">
        <v>-102671</v>
      </c>
      <c r="E10" s="251"/>
      <c r="F10" s="250">
        <v>14615520</v>
      </c>
      <c r="G10" s="247"/>
      <c r="H10" s="229"/>
      <c r="I10" s="247"/>
      <c r="J10" s="241"/>
    </row>
    <row r="11" spans="1:10" ht="7.5" customHeight="1">
      <c r="A11" s="249"/>
      <c r="B11" s="249"/>
      <c r="C11" s="249"/>
      <c r="D11" s="247"/>
      <c r="E11" s="252"/>
      <c r="F11" s="247"/>
      <c r="G11" s="247"/>
      <c r="H11" s="229"/>
      <c r="I11" s="247"/>
      <c r="J11" s="241"/>
    </row>
    <row r="12" spans="1:10" ht="11.25">
      <c r="A12" s="243" t="s">
        <v>366</v>
      </c>
      <c r="B12" s="249"/>
      <c r="C12" s="249"/>
      <c r="D12" s="254">
        <f>SUM(D7:D10)</f>
        <v>16212151</v>
      </c>
      <c r="E12" s="252"/>
      <c r="F12" s="254">
        <f>SUM(F7:F10)</f>
        <v>17726442</v>
      </c>
      <c r="G12" s="247"/>
      <c r="H12" s="229"/>
      <c r="I12" s="247"/>
      <c r="J12" s="241"/>
    </row>
    <row r="13" spans="1:10" ht="5.25" customHeight="1">
      <c r="A13" s="249"/>
      <c r="B13" s="249"/>
      <c r="C13" s="249"/>
      <c r="D13" s="247"/>
      <c r="E13" s="255"/>
      <c r="F13" s="247"/>
      <c r="G13" s="247"/>
      <c r="H13" s="229"/>
      <c r="I13" s="247"/>
      <c r="J13" s="241"/>
    </row>
    <row r="14" spans="1:10" ht="11.25" customHeight="1">
      <c r="A14" s="243" t="s">
        <v>95</v>
      </c>
      <c r="B14" s="244">
        <v>31</v>
      </c>
      <c r="C14" s="249"/>
      <c r="D14" s="250">
        <v>-4584126</v>
      </c>
      <c r="E14" s="251"/>
      <c r="F14" s="250">
        <v>-3999363</v>
      </c>
      <c r="G14" s="247"/>
      <c r="H14" s="229"/>
      <c r="I14" s="247"/>
      <c r="J14" s="241"/>
    </row>
    <row r="15" spans="1:10" ht="11.25">
      <c r="A15" s="243"/>
      <c r="B15" s="243"/>
      <c r="C15" s="249"/>
      <c r="D15" s="256"/>
      <c r="E15" s="246"/>
      <c r="F15" s="256"/>
      <c r="G15" s="247"/>
      <c r="H15" s="229"/>
      <c r="I15" s="247"/>
      <c r="J15" s="241"/>
    </row>
    <row r="16" spans="1:10" ht="11.25">
      <c r="A16" s="243" t="s">
        <v>367</v>
      </c>
      <c r="B16" s="243"/>
      <c r="C16" s="249"/>
      <c r="D16" s="254">
        <f>SUM(D12:D14)</f>
        <v>11628025</v>
      </c>
      <c r="E16" s="252"/>
      <c r="F16" s="254">
        <f>SUM(F12:F14)</f>
        <v>13727079</v>
      </c>
      <c r="G16" s="247"/>
      <c r="H16" s="229"/>
      <c r="I16" s="247"/>
      <c r="J16" s="257"/>
    </row>
    <row r="17" spans="1:10" ht="5.25" customHeight="1">
      <c r="A17" s="249"/>
      <c r="B17" s="243"/>
      <c r="C17" s="249"/>
      <c r="D17" s="247"/>
      <c r="E17" s="252"/>
      <c r="F17" s="247"/>
      <c r="G17" s="247"/>
      <c r="H17" s="229"/>
      <c r="I17" s="247"/>
      <c r="J17" s="258"/>
    </row>
    <row r="18" spans="1:10" ht="11.25">
      <c r="A18" s="243" t="s">
        <v>368</v>
      </c>
      <c r="B18" s="244">
        <v>22</v>
      </c>
      <c r="C18" s="249"/>
      <c r="D18" s="250">
        <v>-3198548</v>
      </c>
      <c r="E18" s="246"/>
      <c r="F18" s="250">
        <v>-1573103</v>
      </c>
      <c r="G18" s="247"/>
      <c r="H18" s="229"/>
      <c r="I18" s="247"/>
      <c r="J18" s="258"/>
    </row>
    <row r="19" spans="1:10" ht="11.25">
      <c r="A19" s="249"/>
      <c r="B19" s="249"/>
      <c r="C19" s="249"/>
      <c r="D19" s="247"/>
      <c r="E19" s="259"/>
      <c r="F19" s="247"/>
      <c r="G19" s="247"/>
      <c r="H19" s="229"/>
      <c r="I19" s="247"/>
    </row>
    <row r="20" spans="1:10" ht="11.25">
      <c r="A20" s="243" t="s">
        <v>369</v>
      </c>
      <c r="B20" s="249"/>
      <c r="C20" s="260"/>
      <c r="D20" s="254">
        <f>SUM(D16:D18)</f>
        <v>8429477</v>
      </c>
      <c r="E20" s="255"/>
      <c r="F20" s="254">
        <f>SUM(F16:F18)</f>
        <v>12153976</v>
      </c>
      <c r="G20" s="247"/>
      <c r="H20" s="229"/>
      <c r="I20" s="247"/>
      <c r="J20" s="258"/>
    </row>
    <row r="21" spans="1:10" ht="5.25" customHeight="1">
      <c r="A21" s="243"/>
      <c r="B21" s="249"/>
      <c r="C21" s="260"/>
      <c r="D21" s="254"/>
      <c r="E21" s="255"/>
      <c r="F21" s="254"/>
      <c r="G21" s="247"/>
      <c r="H21" s="229"/>
      <c r="I21" s="247"/>
      <c r="J21" s="258"/>
    </row>
    <row r="22" spans="1:10" ht="11.25">
      <c r="A22" s="243" t="s">
        <v>329</v>
      </c>
      <c r="B22" s="249"/>
      <c r="C22" s="260"/>
      <c r="D22" s="254"/>
      <c r="E22" s="255"/>
      <c r="F22" s="254"/>
      <c r="G22" s="247"/>
      <c r="H22" s="229"/>
      <c r="I22" s="247"/>
      <c r="J22" s="258"/>
    </row>
    <row r="23" spans="1:10" ht="11.25">
      <c r="A23" s="243" t="s">
        <v>370</v>
      </c>
      <c r="B23" s="249"/>
      <c r="C23" s="260"/>
      <c r="D23" s="254"/>
      <c r="E23" s="255"/>
      <c r="F23" s="254"/>
      <c r="G23" s="247"/>
      <c r="H23" s="229"/>
      <c r="I23" s="247"/>
      <c r="J23" s="258"/>
    </row>
    <row r="24" spans="1:10" ht="11.25">
      <c r="A24" s="243" t="s">
        <v>371</v>
      </c>
      <c r="B24" s="249"/>
      <c r="C24" s="260"/>
      <c r="D24" s="254"/>
      <c r="E24" s="255"/>
      <c r="F24" s="254"/>
      <c r="G24" s="247"/>
      <c r="H24" s="229"/>
      <c r="I24" s="247"/>
      <c r="J24" s="258"/>
    </row>
    <row r="25" spans="1:10" ht="9" customHeight="1">
      <c r="A25" s="243"/>
      <c r="B25" s="249"/>
      <c r="C25" s="260"/>
      <c r="D25" s="254"/>
      <c r="E25" s="255"/>
      <c r="F25" s="254"/>
      <c r="G25" s="247"/>
      <c r="H25" s="229"/>
      <c r="I25" s="247"/>
      <c r="J25" s="258"/>
    </row>
    <row r="26" spans="1:10" ht="11.25">
      <c r="A26" s="243" t="s">
        <v>372</v>
      </c>
      <c r="B26" s="249">
        <v>25</v>
      </c>
      <c r="C26" s="260"/>
      <c r="D26" s="253">
        <v>-495802</v>
      </c>
      <c r="E26" s="255"/>
      <c r="F26" s="253">
        <v>14390</v>
      </c>
      <c r="G26" s="247"/>
      <c r="H26" s="229"/>
      <c r="I26" s="247"/>
      <c r="J26" s="258"/>
    </row>
    <row r="27" spans="1:10" ht="5.25" customHeight="1">
      <c r="A27" s="243"/>
      <c r="B27" s="249"/>
      <c r="C27" s="260"/>
      <c r="D27" s="254"/>
      <c r="E27" s="255"/>
      <c r="F27" s="254"/>
      <c r="G27" s="247"/>
      <c r="H27" s="229"/>
      <c r="I27" s="247"/>
      <c r="J27" s="258"/>
    </row>
    <row r="28" spans="1:10" ht="12" thickBot="1">
      <c r="A28" s="243" t="s">
        <v>286</v>
      </c>
      <c r="B28" s="249"/>
      <c r="C28" s="260"/>
      <c r="D28" s="261">
        <f>+D20+D26</f>
        <v>7933675</v>
      </c>
      <c r="E28" s="255"/>
      <c r="F28" s="261">
        <f>+F20+F26</f>
        <v>12168366</v>
      </c>
      <c r="G28" s="247"/>
      <c r="H28" s="229"/>
      <c r="I28" s="247"/>
      <c r="J28" s="258"/>
    </row>
    <row r="29" spans="1:10" ht="12" thickTop="1">
      <c r="A29" s="249"/>
      <c r="B29" s="249"/>
      <c r="C29" s="249"/>
      <c r="D29" s="247"/>
      <c r="E29" s="262"/>
      <c r="F29" s="247"/>
      <c r="G29" s="247"/>
      <c r="H29" s="229"/>
      <c r="I29" s="247"/>
      <c r="J29" s="258"/>
    </row>
    <row r="30" spans="1:10" ht="11.25">
      <c r="A30" s="229" t="s">
        <v>373</v>
      </c>
      <c r="B30" s="249"/>
      <c r="C30" s="249"/>
      <c r="D30" s="247"/>
      <c r="E30" s="262"/>
      <c r="F30" s="247"/>
      <c r="G30" s="247"/>
      <c r="H30" s="229"/>
      <c r="I30" s="247"/>
      <c r="J30" s="258"/>
    </row>
    <row r="31" spans="1:10" ht="11.25">
      <c r="B31" s="249"/>
      <c r="C31" s="249"/>
      <c r="D31" s="247"/>
      <c r="E31" s="262"/>
      <c r="F31" s="247"/>
      <c r="G31" s="247"/>
      <c r="H31" s="229"/>
      <c r="I31" s="247"/>
      <c r="J31" s="258"/>
    </row>
    <row r="32" spans="1:10" ht="11.25">
      <c r="A32" s="229" t="s">
        <v>374</v>
      </c>
      <c r="B32" s="249"/>
      <c r="C32" s="249"/>
      <c r="D32" s="226">
        <v>7615423</v>
      </c>
      <c r="E32" s="262"/>
      <c r="F32" s="226">
        <f>F28-F33</f>
        <v>12546363</v>
      </c>
      <c r="G32" s="247"/>
      <c r="H32" s="266">
        <f>F32-F26</f>
        <v>12531973</v>
      </c>
      <c r="I32" s="247"/>
      <c r="J32" s="258"/>
    </row>
    <row r="33" spans="1:10" ht="11.25">
      <c r="A33" s="229" t="s">
        <v>359</v>
      </c>
      <c r="B33" s="249"/>
      <c r="C33" s="249"/>
      <c r="D33" s="263">
        <v>318252</v>
      </c>
      <c r="E33" s="262"/>
      <c r="F33" s="263">
        <v>-377997</v>
      </c>
      <c r="G33" s="247"/>
      <c r="H33" s="229"/>
      <c r="I33" s="247"/>
      <c r="J33" s="258"/>
    </row>
    <row r="34" spans="1:10" ht="12" thickBot="1">
      <c r="A34" s="249"/>
      <c r="B34" s="249"/>
      <c r="C34" s="249"/>
      <c r="D34" s="264">
        <f>SUM(D32:D33)</f>
        <v>7933675</v>
      </c>
      <c r="E34" s="262"/>
      <c r="F34" s="264">
        <f>SUM(F32:F33)</f>
        <v>12168366</v>
      </c>
      <c r="G34" s="247"/>
      <c r="H34" s="229"/>
      <c r="I34" s="247"/>
      <c r="J34" s="258"/>
    </row>
    <row r="35" spans="1:10" ht="12" thickTop="1">
      <c r="A35" s="249"/>
      <c r="B35" s="249"/>
      <c r="C35" s="249"/>
      <c r="D35" s="247"/>
      <c r="E35" s="262"/>
      <c r="F35" s="247"/>
      <c r="G35" s="247"/>
      <c r="H35" s="229"/>
      <c r="I35" s="247"/>
      <c r="J35" s="258"/>
    </row>
    <row r="36" spans="1:10" ht="6" customHeight="1">
      <c r="H36" s="229"/>
    </row>
    <row r="37" spans="1:10" ht="11.25">
      <c r="H37" s="229"/>
    </row>
    <row r="38" spans="1:10" ht="11.25">
      <c r="H38" s="229"/>
    </row>
    <row r="39" spans="1:10" ht="11.25">
      <c r="H39" s="229"/>
    </row>
    <row r="40" spans="1:10" ht="11.25">
      <c r="H40" s="2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2"/>
  <sheetViews>
    <sheetView topLeftCell="A13" zoomScale="90" zoomScaleNormal="90" workbookViewId="0">
      <selection activeCell="D8" sqref="D8"/>
    </sheetView>
  </sheetViews>
  <sheetFormatPr defaultColWidth="11.42578125" defaultRowHeight="11.25"/>
  <cols>
    <col min="1" max="1" width="49.7109375" style="182" bestFit="1" customWidth="1"/>
    <col min="2" max="2" width="12.7109375" style="182" bestFit="1" customWidth="1"/>
    <col min="3" max="3" width="1.28515625" style="182" customWidth="1"/>
    <col min="4" max="4" width="15.140625" style="182" customWidth="1"/>
    <col min="5" max="5" width="1.140625" style="182" customWidth="1"/>
    <col min="6" max="6" width="11.5703125" style="182" bestFit="1" customWidth="1"/>
    <col min="7" max="7" width="1.140625" style="182" customWidth="1"/>
    <col min="8" max="8" width="10.7109375" style="182" bestFit="1" customWidth="1"/>
    <col min="9" max="9" width="1.140625" style="182" customWidth="1"/>
    <col min="10" max="10" width="9.85546875" style="182" bestFit="1" customWidth="1"/>
    <col min="11" max="11" width="1.28515625" style="182" customWidth="1"/>
    <col min="12" max="12" width="12.5703125" style="182" bestFit="1" customWidth="1"/>
    <col min="13" max="13" width="1.28515625" style="182" customWidth="1"/>
    <col min="14" max="14" width="15.5703125" style="182" bestFit="1" customWidth="1"/>
    <col min="15" max="15" width="1.28515625" style="182" customWidth="1"/>
    <col min="16" max="16" width="14.42578125" style="182" bestFit="1" customWidth="1"/>
    <col min="17" max="17" width="1.140625" style="182" customWidth="1"/>
    <col min="18" max="18" width="12.7109375" style="182" bestFit="1" customWidth="1"/>
    <col min="19" max="19" width="11.42578125" style="182"/>
    <col min="20" max="20" width="12.7109375" style="182" bestFit="1" customWidth="1"/>
    <col min="21" max="16384" width="11.42578125" style="182"/>
  </cols>
  <sheetData>
    <row r="2" spans="1:21">
      <c r="B2" s="183"/>
      <c r="D2" s="184"/>
      <c r="F2" s="978" t="s">
        <v>299</v>
      </c>
      <c r="G2" s="978"/>
      <c r="H2" s="978"/>
      <c r="J2" s="978" t="s">
        <v>157</v>
      </c>
      <c r="K2" s="978"/>
      <c r="L2" s="978"/>
      <c r="M2" s="978"/>
      <c r="N2" s="978"/>
      <c r="O2" s="185"/>
      <c r="P2" s="185"/>
      <c r="U2" s="186"/>
    </row>
    <row r="3" spans="1:21">
      <c r="B3" s="187"/>
      <c r="D3" s="188" t="s">
        <v>300</v>
      </c>
      <c r="F3" s="183"/>
      <c r="G3" s="183"/>
      <c r="H3" s="183"/>
      <c r="J3" s="183" t="s">
        <v>301</v>
      </c>
      <c r="K3" s="183"/>
      <c r="L3" s="183" t="s">
        <v>302</v>
      </c>
      <c r="N3" s="189" t="s">
        <v>303</v>
      </c>
      <c r="P3" s="189" t="s">
        <v>304</v>
      </c>
      <c r="U3" s="186"/>
    </row>
    <row r="4" spans="1:21">
      <c r="B4" s="265" t="s">
        <v>193</v>
      </c>
      <c r="D4" s="190" t="s">
        <v>305</v>
      </c>
      <c r="F4" s="265" t="s">
        <v>306</v>
      </c>
      <c r="H4" s="265" t="s">
        <v>307</v>
      </c>
      <c r="J4" s="265" t="s">
        <v>308</v>
      </c>
      <c r="L4" s="265" t="s">
        <v>309</v>
      </c>
      <c r="N4" s="265" t="s">
        <v>310</v>
      </c>
      <c r="P4" s="191" t="s">
        <v>311</v>
      </c>
      <c r="R4" s="191" t="s">
        <v>312</v>
      </c>
    </row>
    <row r="6" spans="1:21">
      <c r="A6" s="192" t="s">
        <v>313</v>
      </c>
      <c r="B6" s="193">
        <v>11061874</v>
      </c>
      <c r="C6" s="194"/>
      <c r="D6" s="193">
        <v>10877339</v>
      </c>
      <c r="E6" s="194"/>
      <c r="F6" s="193">
        <v>929450</v>
      </c>
      <c r="G6" s="194"/>
      <c r="H6" s="193">
        <v>34797</v>
      </c>
      <c r="I6" s="194"/>
      <c r="J6" s="193">
        <v>227072</v>
      </c>
      <c r="K6" s="194"/>
      <c r="L6" s="193">
        <v>-3202431</v>
      </c>
      <c r="M6" s="194"/>
      <c r="N6" s="193">
        <v>35430659</v>
      </c>
      <c r="O6" s="194"/>
      <c r="P6" s="193">
        <v>9731456</v>
      </c>
      <c r="Q6" s="194"/>
      <c r="R6" s="193">
        <f>SUM(B6:P6)</f>
        <v>65090216</v>
      </c>
    </row>
    <row r="7" spans="1:21">
      <c r="A7" s="195"/>
      <c r="B7" s="193"/>
      <c r="C7" s="194"/>
      <c r="D7" s="193"/>
      <c r="E7" s="194"/>
      <c r="F7" s="193"/>
      <c r="G7" s="194"/>
      <c r="H7" s="193"/>
      <c r="I7" s="194"/>
      <c r="J7" s="193"/>
      <c r="K7" s="194"/>
      <c r="L7" s="193"/>
      <c r="M7" s="194"/>
      <c r="N7" s="193"/>
      <c r="O7" s="194"/>
      <c r="P7" s="193"/>
      <c r="Q7" s="194"/>
      <c r="R7" s="193"/>
    </row>
    <row r="8" spans="1:21" ht="22.5">
      <c r="A8" s="196" t="s">
        <v>314</v>
      </c>
      <c r="B8" s="193">
        <v>0</v>
      </c>
      <c r="C8" s="194"/>
      <c r="D8" s="193">
        <v>-3094403</v>
      </c>
      <c r="E8" s="194"/>
      <c r="F8" s="193">
        <v>0</v>
      </c>
      <c r="G8" s="194"/>
      <c r="H8" s="193">
        <v>0</v>
      </c>
      <c r="I8" s="194"/>
      <c r="J8" s="193">
        <v>0</v>
      </c>
      <c r="K8" s="194"/>
      <c r="L8" s="197">
        <v>0</v>
      </c>
      <c r="M8" s="194"/>
      <c r="N8" s="198">
        <v>0</v>
      </c>
      <c r="O8" s="194"/>
      <c r="P8" s="198">
        <v>0</v>
      </c>
      <c r="Q8" s="194"/>
      <c r="R8" s="199">
        <f>+SUM(B8:P8)</f>
        <v>-3094403</v>
      </c>
    </row>
    <row r="9" spans="1:21">
      <c r="A9" s="200"/>
      <c r="B9" s="193"/>
      <c r="C9" s="194"/>
      <c r="D9" s="193"/>
      <c r="E9" s="194"/>
      <c r="F9" s="193"/>
      <c r="G9" s="194"/>
      <c r="H9" s="193"/>
      <c r="I9" s="194"/>
      <c r="J9" s="193"/>
      <c r="K9" s="194"/>
      <c r="L9" s="197"/>
      <c r="M9" s="194"/>
      <c r="N9" s="198"/>
      <c r="O9" s="194"/>
      <c r="P9" s="198"/>
      <c r="Q9" s="194"/>
      <c r="R9" s="199"/>
    </row>
    <row r="10" spans="1:21" ht="22.5">
      <c r="A10" s="201" t="s">
        <v>315</v>
      </c>
      <c r="B10" s="193">
        <v>7077000</v>
      </c>
      <c r="C10" s="194"/>
      <c r="D10" s="193">
        <v>-7077000</v>
      </c>
      <c r="E10" s="194"/>
      <c r="F10" s="193">
        <v>0</v>
      </c>
      <c r="G10" s="194"/>
      <c r="H10" s="193">
        <v>0</v>
      </c>
      <c r="I10" s="194"/>
      <c r="J10" s="193">
        <v>0</v>
      </c>
      <c r="K10" s="194"/>
      <c r="L10" s="197">
        <v>0</v>
      </c>
      <c r="M10" s="194"/>
      <c r="N10" s="198">
        <v>0</v>
      </c>
      <c r="O10" s="194"/>
      <c r="P10" s="198">
        <v>0</v>
      </c>
      <c r="Q10" s="194"/>
      <c r="R10" s="199">
        <f>+SUM(B10:P10)</f>
        <v>0</v>
      </c>
    </row>
    <row r="11" spans="1:21">
      <c r="A11" s="202"/>
      <c r="B11" s="193"/>
      <c r="C11" s="194"/>
      <c r="D11" s="193"/>
      <c r="E11" s="194"/>
      <c r="F11" s="193"/>
      <c r="G11" s="194"/>
      <c r="H11" s="193"/>
      <c r="I11" s="194"/>
      <c r="J11" s="193"/>
      <c r="K11" s="194"/>
      <c r="L11" s="197"/>
      <c r="M11" s="194"/>
      <c r="N11" s="198"/>
      <c r="O11" s="194"/>
      <c r="P11" s="198"/>
      <c r="Q11" s="194"/>
      <c r="R11" s="199"/>
    </row>
    <row r="12" spans="1:21" ht="22.5">
      <c r="A12" s="201" t="s">
        <v>316</v>
      </c>
      <c r="B12" s="193">
        <v>5470478</v>
      </c>
      <c r="C12" s="194"/>
      <c r="D12" s="193">
        <v>0</v>
      </c>
      <c r="E12" s="194"/>
      <c r="F12" s="193">
        <v>0</v>
      </c>
      <c r="G12" s="194"/>
      <c r="H12" s="193">
        <v>0</v>
      </c>
      <c r="I12" s="194"/>
      <c r="J12" s="193">
        <v>0</v>
      </c>
      <c r="K12" s="194"/>
      <c r="L12" s="197">
        <v>0</v>
      </c>
      <c r="M12" s="194"/>
      <c r="N12" s="198">
        <v>-5470478</v>
      </c>
      <c r="O12" s="194"/>
      <c r="P12" s="198">
        <v>0</v>
      </c>
      <c r="Q12" s="194"/>
      <c r="R12" s="199">
        <f>+SUM(B12:P12)</f>
        <v>0</v>
      </c>
    </row>
    <row r="13" spans="1:21">
      <c r="A13" s="200"/>
      <c r="B13" s="193"/>
      <c r="C13" s="194"/>
      <c r="D13" s="193"/>
      <c r="E13" s="194"/>
      <c r="F13" s="193"/>
      <c r="G13" s="194"/>
      <c r="H13" s="193"/>
      <c r="I13" s="194"/>
      <c r="J13" s="193"/>
      <c r="K13" s="194"/>
      <c r="L13" s="197"/>
      <c r="M13" s="194"/>
      <c r="N13" s="198"/>
      <c r="O13" s="194"/>
      <c r="P13" s="198"/>
      <c r="Q13" s="194"/>
      <c r="R13" s="199"/>
    </row>
    <row r="14" spans="1:21" ht="22.5">
      <c r="A14" s="201" t="s">
        <v>317</v>
      </c>
      <c r="B14" s="193">
        <v>270000</v>
      </c>
      <c r="C14" s="194"/>
      <c r="D14" s="193">
        <v>0</v>
      </c>
      <c r="E14" s="194"/>
      <c r="F14" s="193">
        <v>0</v>
      </c>
      <c r="G14" s="194"/>
      <c r="H14" s="193">
        <v>0</v>
      </c>
      <c r="I14" s="194"/>
      <c r="J14" s="193">
        <v>0</v>
      </c>
      <c r="K14" s="194"/>
      <c r="L14" s="197">
        <v>0</v>
      </c>
      <c r="M14" s="194"/>
      <c r="N14" s="198">
        <v>-270000</v>
      </c>
      <c r="O14" s="194"/>
      <c r="P14" s="198">
        <v>0</v>
      </c>
      <c r="Q14" s="194"/>
      <c r="R14" s="199">
        <f>+SUM(B14:P14)</f>
        <v>0</v>
      </c>
    </row>
    <row r="15" spans="1:21">
      <c r="B15" s="203"/>
      <c r="C15" s="194"/>
      <c r="D15" s="203"/>
      <c r="E15" s="194"/>
      <c r="F15" s="203"/>
      <c r="G15" s="194"/>
      <c r="H15" s="203"/>
      <c r="I15" s="194"/>
      <c r="J15" s="203"/>
      <c r="K15" s="194"/>
      <c r="L15" s="203"/>
      <c r="M15" s="194"/>
      <c r="N15" s="203"/>
      <c r="O15" s="194"/>
      <c r="P15" s="203"/>
      <c r="Q15" s="194"/>
      <c r="R15" s="203"/>
    </row>
    <row r="16" spans="1:21" ht="33.75">
      <c r="A16" s="201" t="s">
        <v>318</v>
      </c>
      <c r="B16" s="193">
        <v>0</v>
      </c>
      <c r="C16" s="194"/>
      <c r="D16" s="193">
        <v>0</v>
      </c>
      <c r="E16" s="194"/>
      <c r="F16" s="193">
        <v>1710803</v>
      </c>
      <c r="G16" s="194"/>
      <c r="H16" s="193">
        <v>0</v>
      </c>
      <c r="I16" s="194"/>
      <c r="J16" s="193">
        <v>0</v>
      </c>
      <c r="K16" s="194"/>
      <c r="L16" s="197">
        <v>0</v>
      </c>
      <c r="M16" s="194"/>
      <c r="N16" s="198">
        <v>-1710803</v>
      </c>
      <c r="O16" s="194"/>
      <c r="P16" s="198">
        <v>0</v>
      </c>
      <c r="Q16" s="194"/>
      <c r="R16" s="199">
        <f>+SUM(B16:P16)</f>
        <v>0</v>
      </c>
    </row>
    <row r="17" spans="1:20">
      <c r="A17" s="200"/>
      <c r="B17" s="193"/>
      <c r="C17" s="194"/>
      <c r="D17" s="193"/>
      <c r="E17" s="194"/>
      <c r="F17" s="193"/>
      <c r="G17" s="194"/>
      <c r="H17" s="193"/>
      <c r="I17" s="194"/>
      <c r="J17" s="193"/>
      <c r="K17" s="194"/>
      <c r="L17" s="197"/>
      <c r="M17" s="194"/>
      <c r="N17" s="198"/>
      <c r="O17" s="194"/>
      <c r="P17" s="198"/>
      <c r="Q17" s="194"/>
      <c r="R17" s="199"/>
    </row>
    <row r="18" spans="1:20">
      <c r="A18" s="184" t="s">
        <v>319</v>
      </c>
      <c r="B18" s="193">
        <v>0</v>
      </c>
      <c r="C18" s="194"/>
      <c r="D18" s="193">
        <v>0</v>
      </c>
      <c r="E18" s="194"/>
      <c r="F18" s="193">
        <v>0</v>
      </c>
      <c r="G18" s="194"/>
      <c r="H18" s="193">
        <v>0</v>
      </c>
      <c r="I18" s="194"/>
      <c r="J18" s="193">
        <v>0</v>
      </c>
      <c r="K18" s="194"/>
      <c r="L18" s="197">
        <v>0</v>
      </c>
      <c r="M18" s="194"/>
      <c r="N18" s="204">
        <v>12531973</v>
      </c>
      <c r="O18" s="194"/>
      <c r="P18" s="204">
        <v>-377997</v>
      </c>
      <c r="Q18" s="194"/>
      <c r="R18" s="199">
        <f>+SUM(B18:P18)</f>
        <v>12153976</v>
      </c>
    </row>
    <row r="19" spans="1:20">
      <c r="A19" s="184"/>
      <c r="B19" s="193"/>
      <c r="C19" s="194"/>
      <c r="D19" s="193"/>
      <c r="E19" s="194"/>
      <c r="F19" s="193"/>
      <c r="G19" s="194"/>
      <c r="H19" s="193"/>
      <c r="I19" s="194"/>
      <c r="J19" s="193"/>
      <c r="K19" s="194"/>
      <c r="L19" s="197"/>
      <c r="M19" s="194"/>
      <c r="N19" s="204"/>
      <c r="O19" s="194"/>
      <c r="P19" s="204"/>
      <c r="Q19" s="194"/>
      <c r="R19" s="199"/>
      <c r="T19" s="194"/>
    </row>
    <row r="20" spans="1:20">
      <c r="A20" s="184" t="s">
        <v>320</v>
      </c>
      <c r="B20" s="193">
        <v>0</v>
      </c>
      <c r="C20" s="194"/>
      <c r="D20" s="193">
        <v>0</v>
      </c>
      <c r="E20" s="194"/>
      <c r="F20" s="193">
        <v>0</v>
      </c>
      <c r="G20" s="194"/>
      <c r="H20" s="193">
        <v>0</v>
      </c>
      <c r="I20" s="194"/>
      <c r="J20" s="193">
        <v>0</v>
      </c>
      <c r="K20" s="194"/>
      <c r="L20" s="197">
        <v>0</v>
      </c>
      <c r="M20" s="194"/>
      <c r="N20" s="204">
        <v>0</v>
      </c>
      <c r="O20" s="194"/>
      <c r="P20" s="204">
        <f>+'[1]Flujo consolidado'!P55</f>
        <v>4060</v>
      </c>
      <c r="Q20" s="194"/>
      <c r="R20" s="199">
        <f>+SUM(B20:P20)</f>
        <v>4060</v>
      </c>
    </row>
    <row r="21" spans="1:20">
      <c r="A21" s="184"/>
      <c r="B21" s="193"/>
      <c r="C21" s="194"/>
      <c r="D21" s="193"/>
      <c r="E21" s="194"/>
      <c r="F21" s="193"/>
      <c r="G21" s="194"/>
      <c r="H21" s="193"/>
      <c r="I21" s="194"/>
      <c r="J21" s="193"/>
      <c r="K21" s="194"/>
      <c r="L21" s="197"/>
      <c r="M21" s="194"/>
      <c r="N21" s="204"/>
      <c r="O21" s="194"/>
      <c r="P21" s="204"/>
      <c r="Q21" s="194"/>
      <c r="R21" s="199"/>
    </row>
    <row r="22" spans="1:20">
      <c r="A22" s="205" t="s">
        <v>321</v>
      </c>
      <c r="B22" s="193"/>
      <c r="C22" s="194"/>
      <c r="D22" s="193"/>
      <c r="E22" s="194"/>
      <c r="F22" s="193"/>
      <c r="G22" s="194"/>
      <c r="H22" s="193"/>
      <c r="I22" s="194"/>
      <c r="J22" s="193"/>
      <c r="K22" s="194"/>
      <c r="L22" s="197"/>
      <c r="M22" s="194"/>
      <c r="N22" s="204">
        <v>14390</v>
      </c>
      <c r="O22" s="194"/>
      <c r="P22" s="204"/>
      <c r="Q22" s="194"/>
      <c r="R22" s="199">
        <f>+SUM(B22:P22)</f>
        <v>14390</v>
      </c>
    </row>
    <row r="23" spans="1:20">
      <c r="A23" s="205"/>
      <c r="B23" s="193"/>
      <c r="C23" s="194"/>
      <c r="D23" s="193"/>
      <c r="E23" s="194"/>
      <c r="F23" s="193"/>
      <c r="G23" s="194"/>
      <c r="H23" s="193"/>
      <c r="I23" s="194"/>
      <c r="J23" s="193"/>
      <c r="K23" s="194"/>
      <c r="L23" s="197"/>
      <c r="M23" s="194"/>
      <c r="N23" s="204"/>
      <c r="O23" s="194"/>
      <c r="P23" s="204"/>
      <c r="Q23" s="194"/>
      <c r="R23" s="199"/>
    </row>
    <row r="24" spans="1:20">
      <c r="A24" s="205" t="s">
        <v>322</v>
      </c>
      <c r="B24" s="193"/>
      <c r="C24" s="194"/>
      <c r="D24" s="193"/>
      <c r="E24" s="194"/>
      <c r="F24" s="193"/>
      <c r="G24" s="194"/>
      <c r="H24" s="193"/>
      <c r="I24" s="194"/>
      <c r="J24" s="193"/>
      <c r="K24" s="194"/>
      <c r="L24" s="197"/>
      <c r="M24" s="194"/>
      <c r="N24" s="204">
        <v>-5585599</v>
      </c>
      <c r="O24" s="194"/>
      <c r="P24" s="204"/>
      <c r="Q24" s="194"/>
      <c r="R24" s="199">
        <f>+SUM(B24:P24)</f>
        <v>-5585599</v>
      </c>
    </row>
    <row r="25" spans="1:20">
      <c r="A25" s="184"/>
      <c r="B25" s="206"/>
      <c r="C25" s="194"/>
      <c r="D25" s="206"/>
      <c r="E25" s="194"/>
      <c r="F25" s="207"/>
      <c r="G25" s="194"/>
      <c r="H25" s="207"/>
      <c r="I25" s="194"/>
      <c r="J25" s="207"/>
      <c r="K25" s="194"/>
      <c r="L25" s="207"/>
      <c r="M25" s="194"/>
      <c r="N25" s="206"/>
      <c r="O25" s="194"/>
      <c r="P25" s="206"/>
      <c r="Q25" s="194"/>
      <c r="R25" s="208"/>
    </row>
    <row r="26" spans="1:20" ht="12" thickBot="1">
      <c r="A26" s="200" t="s">
        <v>323</v>
      </c>
      <c r="B26" s="209">
        <f>+SUM(B6:B21)</f>
        <v>23879352</v>
      </c>
      <c r="C26" s="194"/>
      <c r="D26" s="209">
        <f>+SUM(D6:D21)</f>
        <v>705936</v>
      </c>
      <c r="E26" s="194"/>
      <c r="F26" s="209">
        <f>+SUM(F6:F21)</f>
        <v>2640253</v>
      </c>
      <c r="G26" s="194"/>
      <c r="H26" s="209">
        <f>+SUM(H6:H21)</f>
        <v>34797</v>
      </c>
      <c r="I26" s="194"/>
      <c r="J26" s="209">
        <f>+SUM(J6:J21)</f>
        <v>227072</v>
      </c>
      <c r="K26" s="194"/>
      <c r="L26" s="209">
        <f>+SUM(L6:L21)</f>
        <v>-3202431</v>
      </c>
      <c r="M26" s="194"/>
      <c r="N26" s="209">
        <f>+SUM(N6:N25)</f>
        <v>34940142</v>
      </c>
      <c r="O26" s="194"/>
      <c r="P26" s="209">
        <f>+SUM(P6:P24)</f>
        <v>9357519</v>
      </c>
      <c r="Q26" s="194"/>
      <c r="R26" s="209">
        <f>+SUM(R6:R24)</f>
        <v>68582640</v>
      </c>
      <c r="S26" s="194"/>
    </row>
    <row r="27" spans="1:20" ht="12" thickTop="1"/>
    <row r="28" spans="1:20">
      <c r="A28" s="200" t="s">
        <v>324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</row>
    <row r="29" spans="1:20">
      <c r="A29" s="200" t="s">
        <v>325</v>
      </c>
      <c r="B29" s="193"/>
      <c r="C29" s="193"/>
      <c r="D29" s="193"/>
      <c r="E29" s="193"/>
      <c r="F29" s="193">
        <v>1341885</v>
      </c>
      <c r="G29" s="193"/>
      <c r="H29" s="193"/>
      <c r="I29" s="193"/>
      <c r="J29" s="193"/>
      <c r="K29" s="193"/>
      <c r="L29" s="193"/>
      <c r="M29" s="193"/>
      <c r="N29" s="193">
        <v>-1341885</v>
      </c>
      <c r="O29" s="193"/>
      <c r="P29" s="193"/>
      <c r="Q29" s="193"/>
      <c r="R29" s="199">
        <f>+SUM(B29:P29)</f>
        <v>0</v>
      </c>
    </row>
    <row r="30" spans="1:20">
      <c r="A30" s="200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</row>
    <row r="31" spans="1:20">
      <c r="A31" s="200" t="s">
        <v>326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>
        <f>8429477-P31</f>
        <v>8111225</v>
      </c>
      <c r="O31" s="193"/>
      <c r="P31" s="193">
        <v>318252</v>
      </c>
      <c r="Q31" s="193"/>
      <c r="R31" s="199">
        <f>+SUM(B31:P31)</f>
        <v>8429477</v>
      </c>
    </row>
    <row r="32" spans="1:20">
      <c r="A32" s="200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</row>
    <row r="33" spans="1:18" s="211" customFormat="1">
      <c r="A33" s="267" t="s">
        <v>327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>
        <v>-528533.43435999996</v>
      </c>
      <c r="O33" s="268"/>
      <c r="P33" s="268">
        <f>1803740-P31</f>
        <v>1485488</v>
      </c>
      <c r="Q33" s="268"/>
      <c r="R33" s="269">
        <f>+SUM(B33:P33)</f>
        <v>956954.56564000004</v>
      </c>
    </row>
    <row r="34" spans="1:18" s="211" customFormat="1">
      <c r="A34" s="270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</row>
    <row r="35" spans="1:18" s="211" customFormat="1">
      <c r="A35" s="270" t="s">
        <v>328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>
        <f>-3647+17313</f>
        <v>13666</v>
      </c>
      <c r="O35" s="268"/>
      <c r="P35" s="268"/>
      <c r="Q35" s="268"/>
      <c r="R35" s="269">
        <f>+SUM(B35:P35)</f>
        <v>13666</v>
      </c>
    </row>
    <row r="36" spans="1:18">
      <c r="A36" s="200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</row>
    <row r="37" spans="1:18">
      <c r="A37" s="200" t="s">
        <v>329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>
        <v>-495802</v>
      </c>
      <c r="O37" s="193"/>
      <c r="P37" s="193"/>
      <c r="Q37" s="193"/>
      <c r="R37" s="199">
        <f>+SUM(B37:P37)</f>
        <v>-495802</v>
      </c>
    </row>
    <row r="38" spans="1:18">
      <c r="A38" s="20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</row>
    <row r="39" spans="1:18" ht="12" thickBot="1">
      <c r="A39" s="200" t="s">
        <v>330</v>
      </c>
      <c r="B39" s="209">
        <f>+SUM(B26:B38)</f>
        <v>23879352</v>
      </c>
      <c r="C39" s="194"/>
      <c r="D39" s="209">
        <f>+SUM(D26:D38)</f>
        <v>705936</v>
      </c>
      <c r="E39" s="194"/>
      <c r="F39" s="209">
        <f>+SUM(F26:F38)</f>
        <v>3982138</v>
      </c>
      <c r="G39" s="194"/>
      <c r="H39" s="209">
        <f>+SUM(H26:H38)</f>
        <v>34797</v>
      </c>
      <c r="I39" s="194"/>
      <c r="J39" s="209">
        <f>+SUM(J26:J38)</f>
        <v>227072</v>
      </c>
      <c r="K39" s="194"/>
      <c r="L39" s="209">
        <f>+SUM(L26:L38)</f>
        <v>-3202431</v>
      </c>
      <c r="M39" s="194"/>
      <c r="N39" s="209">
        <f>+SUM(N26:N38)</f>
        <v>40698812.565640002</v>
      </c>
      <c r="O39" s="194"/>
      <c r="P39" s="209">
        <f>+SUM(P26:P38)</f>
        <v>11161259</v>
      </c>
      <c r="Q39" s="194"/>
      <c r="R39" s="209">
        <f>+SUM(R26:R38)</f>
        <v>77486935.565640002</v>
      </c>
    </row>
    <row r="40" spans="1:18" ht="12" thickTop="1">
      <c r="A40" s="200"/>
    </row>
    <row r="41" spans="1:18">
      <c r="A41" s="200"/>
      <c r="N41" s="210"/>
      <c r="R41" s="194"/>
    </row>
    <row r="42" spans="1:18">
      <c r="N42" s="194"/>
    </row>
  </sheetData>
  <mergeCells count="2">
    <mergeCell ref="F2:H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/>
  </sheetViews>
  <sheetFormatPr defaultColWidth="11.42578125" defaultRowHeight="15"/>
  <cols>
    <col min="1" max="1" width="60" bestFit="1" customWidth="1"/>
    <col min="2" max="2" width="17.85546875" customWidth="1"/>
    <col min="3" max="3" width="14" customWidth="1"/>
    <col min="4" max="4" width="15.5703125" customWidth="1"/>
  </cols>
  <sheetData>
    <row r="1" spans="1:6">
      <c r="A1" s="20" t="s">
        <v>25</v>
      </c>
      <c r="B1" s="73" t="s">
        <v>45</v>
      </c>
      <c r="C1" s="74" t="s">
        <v>26</v>
      </c>
      <c r="D1" s="74" t="s">
        <v>27</v>
      </c>
    </row>
    <row r="2" spans="1:6">
      <c r="A2" s="29" t="s">
        <v>44</v>
      </c>
      <c r="B2" s="76" t="s">
        <v>172</v>
      </c>
      <c r="C2" s="337">
        <v>138600</v>
      </c>
      <c r="D2" s="77"/>
    </row>
    <row r="3" spans="1:6" s="96" customFormat="1">
      <c r="A3" s="30" t="s">
        <v>170</v>
      </c>
      <c r="B3" s="52" t="s">
        <v>172</v>
      </c>
      <c r="C3" s="141">
        <v>9477384</v>
      </c>
      <c r="D3" s="78"/>
    </row>
    <row r="4" spans="1:6">
      <c r="A4" s="30" t="s">
        <v>46</v>
      </c>
      <c r="B4" s="76" t="s">
        <v>172</v>
      </c>
      <c r="C4" s="141">
        <v>184560.05</v>
      </c>
      <c r="D4" s="78"/>
    </row>
    <row r="5" spans="1:6">
      <c r="A5" s="30" t="s">
        <v>47</v>
      </c>
      <c r="B5" s="76" t="s">
        <v>172</v>
      </c>
      <c r="C5" s="141">
        <v>1566.29</v>
      </c>
      <c r="D5" s="78"/>
    </row>
    <row r="6" spans="1:6">
      <c r="A6" s="30" t="s">
        <v>20</v>
      </c>
      <c r="B6" s="76" t="s">
        <v>172</v>
      </c>
      <c r="C6" s="141">
        <v>82150.45</v>
      </c>
      <c r="D6" s="78"/>
    </row>
    <row r="7" spans="1:6">
      <c r="A7" s="30" t="s">
        <v>48</v>
      </c>
      <c r="B7" s="76" t="s">
        <v>172</v>
      </c>
      <c r="C7" s="141">
        <v>957283.5199999999</v>
      </c>
      <c r="D7" s="78"/>
    </row>
    <row r="8" spans="1:6">
      <c r="A8" s="30" t="s">
        <v>166</v>
      </c>
      <c r="B8" s="76" t="s">
        <v>158</v>
      </c>
      <c r="C8" s="141">
        <v>394335.36694421433</v>
      </c>
      <c r="D8" s="78"/>
    </row>
    <row r="9" spans="1:6">
      <c r="A9" s="30" t="s">
        <v>209</v>
      </c>
      <c r="B9" s="76" t="s">
        <v>158</v>
      </c>
      <c r="C9" s="141">
        <v>828548.36364874605</v>
      </c>
      <c r="D9" s="78"/>
    </row>
    <row r="10" spans="1:6">
      <c r="A10" s="108" t="s">
        <v>210</v>
      </c>
      <c r="B10" s="52" t="s">
        <v>158</v>
      </c>
      <c r="C10" s="141">
        <v>881973.00000000559</v>
      </c>
      <c r="D10" s="78"/>
    </row>
    <row r="11" spans="1:6">
      <c r="A11" s="31" t="s">
        <v>209</v>
      </c>
      <c r="B11" s="76" t="s">
        <v>172</v>
      </c>
      <c r="C11" s="78"/>
      <c r="D11" s="141">
        <v>1044878.7099375</v>
      </c>
    </row>
    <row r="12" spans="1:6">
      <c r="A12" s="30" t="s">
        <v>173</v>
      </c>
      <c r="B12" s="76" t="s">
        <v>151</v>
      </c>
      <c r="C12" s="78"/>
      <c r="D12" s="141">
        <v>2544003.2599999998</v>
      </c>
    </row>
    <row r="13" spans="1:6">
      <c r="A13" s="34" t="s">
        <v>28</v>
      </c>
      <c r="B13" s="79" t="s">
        <v>158</v>
      </c>
      <c r="C13" s="80"/>
      <c r="D13" s="338">
        <v>9357519.0706554651</v>
      </c>
      <c r="F13" s="89"/>
    </row>
    <row r="14" spans="1:6">
      <c r="A14" s="27"/>
      <c r="B14" s="72"/>
      <c r="C14" s="51"/>
      <c r="D14" s="51"/>
      <c r="F14" s="89"/>
    </row>
    <row r="15" spans="1:6">
      <c r="A15" s="27"/>
      <c r="B15" s="72"/>
      <c r="C15" s="58">
        <v>12946401.040592965</v>
      </c>
      <c r="D15" s="58">
        <v>12946401.040592965</v>
      </c>
      <c r="F15" s="89">
        <f>C15+'Inversiones 2018'!W172+'Diarios Cxc Cxp relac (c)'!D38+'Ventas-Compras (d)'!D26</f>
        <v>70321542.807764024</v>
      </c>
    </row>
    <row r="17" spans="3:3">
      <c r="C17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workbookViewId="0">
      <selection activeCell="A39" sqref="A39"/>
    </sheetView>
  </sheetViews>
  <sheetFormatPr defaultColWidth="11.42578125" defaultRowHeight="15"/>
  <cols>
    <col min="2" max="2" width="34.42578125" bestFit="1" customWidth="1"/>
    <col min="3" max="3" width="22.85546875" customWidth="1"/>
    <col min="4" max="4" width="16.7109375" customWidth="1"/>
    <col min="5" max="5" width="17.7109375" customWidth="1"/>
  </cols>
  <sheetData>
    <row r="1" spans="1:6">
      <c r="A1" s="26" t="s">
        <v>177</v>
      </c>
      <c r="B1" s="27"/>
      <c r="C1" s="72"/>
      <c r="D1" s="51"/>
      <c r="E1" s="51"/>
    </row>
    <row r="2" spans="1:6">
      <c r="A2" s="27"/>
      <c r="B2" s="27"/>
      <c r="C2" s="72"/>
      <c r="D2" s="51"/>
      <c r="E2" s="51"/>
    </row>
    <row r="3" spans="1:6">
      <c r="A3" s="27"/>
      <c r="B3" s="37" t="s">
        <v>0</v>
      </c>
      <c r="C3" s="73" t="s">
        <v>45</v>
      </c>
      <c r="D3" s="83" t="s">
        <v>1</v>
      </c>
      <c r="E3" s="83" t="s">
        <v>2</v>
      </c>
    </row>
    <row r="4" spans="1:6" s="96" customFormat="1">
      <c r="A4" s="27"/>
      <c r="B4" s="39" t="s">
        <v>155</v>
      </c>
      <c r="C4" s="52" t="s">
        <v>182</v>
      </c>
      <c r="D4" s="54">
        <v>0</v>
      </c>
      <c r="E4" s="334">
        <v>4733</v>
      </c>
    </row>
    <row r="5" spans="1:6" s="96" customFormat="1">
      <c r="A5" s="27"/>
      <c r="B5" s="39" t="s">
        <v>404</v>
      </c>
      <c r="C5" s="52" t="s">
        <v>258</v>
      </c>
      <c r="D5" s="311"/>
      <c r="E5" s="310">
        <v>2603205</v>
      </c>
    </row>
    <row r="6" spans="1:6" s="96" customFormat="1">
      <c r="A6" s="27"/>
      <c r="B6" s="39" t="s">
        <v>5</v>
      </c>
      <c r="C6" s="52" t="s">
        <v>408</v>
      </c>
      <c r="D6" s="311"/>
      <c r="E6" s="310">
        <v>886844</v>
      </c>
    </row>
    <row r="7" spans="1:6" s="96" customFormat="1">
      <c r="A7" s="27"/>
      <c r="B7" s="39" t="s">
        <v>283</v>
      </c>
      <c r="C7" s="52" t="s">
        <v>148</v>
      </c>
      <c r="D7" s="311"/>
      <c r="E7" s="310">
        <v>40694</v>
      </c>
    </row>
    <row r="8" spans="1:6" s="96" customFormat="1">
      <c r="A8" s="27"/>
      <c r="B8" s="39" t="s">
        <v>5</v>
      </c>
      <c r="C8" s="52" t="s">
        <v>219</v>
      </c>
      <c r="D8" s="311"/>
      <c r="E8" s="310">
        <v>1077232</v>
      </c>
    </row>
    <row r="9" spans="1:6" s="96" customFormat="1">
      <c r="A9" s="27"/>
      <c r="B9" s="39" t="s">
        <v>404</v>
      </c>
      <c r="C9" s="52" t="s">
        <v>148</v>
      </c>
      <c r="D9" s="311"/>
      <c r="E9" s="310">
        <v>3437161</v>
      </c>
    </row>
    <row r="10" spans="1:6" s="96" customFormat="1">
      <c r="A10" s="27"/>
      <c r="B10" s="39" t="s">
        <v>5</v>
      </c>
      <c r="C10" s="52" t="s">
        <v>402</v>
      </c>
      <c r="D10" s="311"/>
      <c r="E10" s="310">
        <v>74539</v>
      </c>
    </row>
    <row r="11" spans="1:6" s="96" customFormat="1">
      <c r="A11" s="27"/>
      <c r="B11" s="39" t="s">
        <v>5</v>
      </c>
      <c r="C11" s="52" t="s">
        <v>218</v>
      </c>
      <c r="D11" s="311"/>
      <c r="E11" s="310">
        <v>633374</v>
      </c>
      <c r="F11" s="96" t="s">
        <v>340</v>
      </c>
    </row>
    <row r="12" spans="1:6" s="96" customFormat="1">
      <c r="A12" s="27"/>
      <c r="B12" s="39" t="s">
        <v>5</v>
      </c>
      <c r="C12" s="312" t="s">
        <v>408</v>
      </c>
      <c r="D12" s="311"/>
      <c r="E12" s="310">
        <v>269135</v>
      </c>
    </row>
    <row r="13" spans="1:6" s="96" customFormat="1">
      <c r="A13" s="27"/>
      <c r="B13" s="39" t="s">
        <v>153</v>
      </c>
      <c r="C13" s="312" t="s">
        <v>258</v>
      </c>
      <c r="D13" s="145">
        <v>4733</v>
      </c>
      <c r="E13" s="311"/>
    </row>
    <row r="14" spans="1:6" s="96" customFormat="1">
      <c r="A14" s="27"/>
      <c r="B14" s="39" t="s">
        <v>7</v>
      </c>
      <c r="C14" s="52" t="s">
        <v>408</v>
      </c>
      <c r="D14" s="142">
        <v>269135</v>
      </c>
      <c r="E14" s="52"/>
    </row>
    <row r="15" spans="1:6" s="96" customFormat="1">
      <c r="A15" s="27"/>
      <c r="B15" s="39" t="s">
        <v>153</v>
      </c>
      <c r="C15" s="52" t="s">
        <v>217</v>
      </c>
      <c r="D15" s="142">
        <v>36270</v>
      </c>
      <c r="E15" s="52"/>
    </row>
    <row r="16" spans="1:6" s="96" customFormat="1">
      <c r="A16" s="27"/>
      <c r="B16" s="39" t="s">
        <v>153</v>
      </c>
      <c r="C16" s="52" t="s">
        <v>217</v>
      </c>
      <c r="D16" s="142">
        <v>2566935</v>
      </c>
      <c r="E16" s="52"/>
    </row>
    <row r="17" spans="1:6" s="96" customFormat="1">
      <c r="A17" s="27"/>
      <c r="B17" s="39" t="s">
        <v>405</v>
      </c>
      <c r="C17" s="52" t="s">
        <v>217</v>
      </c>
      <c r="D17" s="142">
        <v>3477855</v>
      </c>
      <c r="E17" s="52"/>
    </row>
    <row r="18" spans="1:6" s="96" customFormat="1">
      <c r="A18" s="27"/>
      <c r="B18" s="39" t="s">
        <v>416</v>
      </c>
      <c r="C18" s="52" t="s">
        <v>144</v>
      </c>
      <c r="D18" s="142">
        <v>886844</v>
      </c>
      <c r="E18" s="52"/>
    </row>
    <row r="19" spans="1:6" s="96" customFormat="1">
      <c r="A19" s="27"/>
      <c r="B19" s="39" t="s">
        <v>153</v>
      </c>
      <c r="C19" s="52" t="s">
        <v>217</v>
      </c>
      <c r="D19" s="142">
        <v>74539</v>
      </c>
      <c r="E19" s="52"/>
    </row>
    <row r="20" spans="1:6" s="96" customFormat="1">
      <c r="A20" s="27"/>
      <c r="B20" s="39" t="s">
        <v>406</v>
      </c>
      <c r="C20" s="52" t="s">
        <v>217</v>
      </c>
      <c r="D20" s="142">
        <v>125748</v>
      </c>
      <c r="E20" s="52"/>
    </row>
    <row r="21" spans="1:6" s="96" customFormat="1">
      <c r="A21" s="27"/>
      <c r="B21" s="39" t="s">
        <v>405</v>
      </c>
      <c r="C21" s="52" t="s">
        <v>407</v>
      </c>
      <c r="D21" s="142">
        <v>507600</v>
      </c>
      <c r="E21" s="52"/>
    </row>
    <row r="22" spans="1:6" s="96" customFormat="1">
      <c r="A22" s="27"/>
      <c r="B22" s="39" t="s">
        <v>7</v>
      </c>
      <c r="C22" s="52" t="s">
        <v>219</v>
      </c>
      <c r="D22" s="142">
        <v>901340</v>
      </c>
      <c r="E22" s="52"/>
      <c r="F22" s="96" t="s">
        <v>340</v>
      </c>
    </row>
    <row r="23" spans="1:6" s="96" customFormat="1">
      <c r="A23" s="27"/>
      <c r="B23" s="42" t="s">
        <v>422</v>
      </c>
      <c r="C23" s="52" t="s">
        <v>219</v>
      </c>
      <c r="D23" s="335">
        <v>175918</v>
      </c>
      <c r="E23" s="57"/>
      <c r="F23" s="96" t="s">
        <v>417</v>
      </c>
    </row>
    <row r="24" spans="1:6">
      <c r="A24" s="27"/>
      <c r="B24" s="27"/>
      <c r="C24" s="72"/>
      <c r="D24" s="58">
        <f>SUM(D4:D23)</f>
        <v>9026917</v>
      </c>
      <c r="E24" s="58">
        <f>SUM(E4:E23)</f>
        <v>9026917</v>
      </c>
    </row>
    <row r="26" spans="1:6">
      <c r="E26" s="89">
        <f>E24-D24</f>
        <v>0</v>
      </c>
    </row>
    <row r="27" spans="1:6">
      <c r="B27" s="153" t="s">
        <v>259</v>
      </c>
      <c r="C27" s="134"/>
      <c r="D27" s="134"/>
      <c r="E27" s="134"/>
    </row>
    <row r="28" spans="1:6">
      <c r="B28" s="134"/>
      <c r="C28" s="134"/>
      <c r="D28" s="134"/>
      <c r="E28" s="134"/>
    </row>
    <row r="29" spans="1:6">
      <c r="B29" s="134" t="s">
        <v>7</v>
      </c>
      <c r="C29" s="134"/>
      <c r="D29" s="336">
        <f>D13+D14+D15+D16+D19+D20+D22+D18</f>
        <v>4865544</v>
      </c>
      <c r="E29" s="134"/>
    </row>
    <row r="30" spans="1:6">
      <c r="B30" s="134" t="s">
        <v>84</v>
      </c>
      <c r="C30" s="134"/>
      <c r="D30" s="336">
        <f>D21+D17</f>
        <v>3985455</v>
      </c>
      <c r="E30" s="134"/>
    </row>
    <row r="31" spans="1:6">
      <c r="B31" s="134" t="s">
        <v>80</v>
      </c>
      <c r="C31" s="134"/>
      <c r="D31" s="89">
        <v>0</v>
      </c>
      <c r="E31" s="134"/>
    </row>
    <row r="32" spans="1:6">
      <c r="B32" s="134" t="s">
        <v>275</v>
      </c>
      <c r="C32" s="134"/>
      <c r="D32" s="336">
        <f>D23</f>
        <v>175918</v>
      </c>
      <c r="E32" s="134"/>
    </row>
    <row r="33" spans="2:5">
      <c r="B33" s="134" t="s">
        <v>155</v>
      </c>
      <c r="C33" s="134"/>
      <c r="D33" s="134"/>
      <c r="E33" s="336">
        <f>E5+E8+E9+E10+E11+E4+E12+E6</f>
        <v>8986223</v>
      </c>
    </row>
    <row r="34" spans="2:5" s="134" customFormat="1">
      <c r="B34" s="134" t="s">
        <v>287</v>
      </c>
      <c r="E34" s="336">
        <f>E7</f>
        <v>40694</v>
      </c>
    </row>
    <row r="35" spans="2:5" s="134" customFormat="1">
      <c r="B35" s="134" t="s">
        <v>68</v>
      </c>
      <c r="E35" s="89">
        <f>E21</f>
        <v>0</v>
      </c>
    </row>
    <row r="36" spans="2:5">
      <c r="B36" s="134" t="s">
        <v>276</v>
      </c>
      <c r="C36" s="134"/>
      <c r="D36" s="134"/>
      <c r="E36" s="89">
        <f>E20+E22</f>
        <v>0</v>
      </c>
    </row>
    <row r="37" spans="2:5">
      <c r="B37" s="134" t="s">
        <v>157</v>
      </c>
      <c r="C37" s="134"/>
      <c r="D37" s="134"/>
      <c r="E37" s="89">
        <f>E23</f>
        <v>0</v>
      </c>
    </row>
    <row r="38" spans="2:5">
      <c r="B38" s="134"/>
      <c r="C38" s="134"/>
      <c r="D38" s="156">
        <f>SUM(D29:D37)</f>
        <v>9026917</v>
      </c>
      <c r="E38" s="156">
        <f>SUM(E29:E37)</f>
        <v>9026917</v>
      </c>
    </row>
    <row r="39" spans="2:5">
      <c r="B39" s="134"/>
      <c r="C39" s="134"/>
      <c r="D39" s="134"/>
      <c r="E39" s="134"/>
    </row>
    <row r="40" spans="2:5">
      <c r="B40" s="134"/>
      <c r="C40" s="134"/>
      <c r="D40" s="89">
        <f>D24-D38</f>
        <v>0</v>
      </c>
      <c r="E40" s="89">
        <f>E24-E38</f>
        <v>0</v>
      </c>
    </row>
  </sheetData>
  <conditionalFormatting sqref="E19:E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/>
  </sheetViews>
  <sheetFormatPr defaultColWidth="11.42578125" defaultRowHeight="15"/>
  <cols>
    <col min="2" max="2" width="39.42578125" bestFit="1" customWidth="1"/>
    <col min="3" max="3" width="18.85546875" bestFit="1" customWidth="1"/>
  </cols>
  <sheetData>
    <row r="1" spans="1:6">
      <c r="A1" s="26" t="s">
        <v>290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7761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7761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89615</v>
      </c>
      <c r="E7" s="52"/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89615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88898</v>
      </c>
      <c r="E10" s="52"/>
    </row>
    <row r="11" spans="1:6" s="96" customFormat="1">
      <c r="A11" s="27"/>
      <c r="B11" s="40" t="s">
        <v>73</v>
      </c>
      <c r="C11" s="52" t="s">
        <v>204</v>
      </c>
      <c r="D11" s="55"/>
      <c r="E11" s="52"/>
    </row>
    <row r="12" spans="1:6" s="96" customFormat="1">
      <c r="A12" s="27"/>
      <c r="B12" s="40" t="s">
        <v>6</v>
      </c>
      <c r="C12" s="52" t="s">
        <v>204</v>
      </c>
      <c r="D12" s="55"/>
      <c r="E12" s="52">
        <v>11306</v>
      </c>
    </row>
    <row r="13" spans="1:6">
      <c r="A13" s="27"/>
      <c r="B13" s="40" t="s">
        <v>90</v>
      </c>
      <c r="C13" s="76"/>
      <c r="D13" s="55"/>
      <c r="E13" s="52">
        <v>77592</v>
      </c>
    </row>
    <row r="14" spans="1:6" s="134" customFormat="1">
      <c r="A14" s="27"/>
      <c r="B14" s="40"/>
      <c r="C14" s="76"/>
      <c r="D14" s="55"/>
      <c r="E14" s="52"/>
    </row>
    <row r="15" spans="1:6" s="134" customFormat="1">
      <c r="A15" s="27"/>
      <c r="B15" s="316" t="s">
        <v>291</v>
      </c>
      <c r="C15" s="76" t="s">
        <v>151</v>
      </c>
      <c r="D15" s="52">
        <v>85390</v>
      </c>
      <c r="E15" s="52"/>
    </row>
    <row r="16" spans="1:6" s="134" customFormat="1">
      <c r="A16" s="27"/>
      <c r="B16" s="40" t="s">
        <v>292</v>
      </c>
      <c r="C16" s="76" t="s">
        <v>288</v>
      </c>
      <c r="D16" s="55"/>
      <c r="E16" s="52">
        <f>D15</f>
        <v>85390</v>
      </c>
    </row>
    <row r="17" spans="1:5" s="134" customFormat="1">
      <c r="A17" s="27"/>
      <c r="B17" s="40"/>
      <c r="C17" s="76"/>
      <c r="D17" s="55"/>
      <c r="E17" s="52"/>
    </row>
    <row r="18" spans="1:5">
      <c r="A18" s="27"/>
      <c r="B18" s="39" t="s">
        <v>293</v>
      </c>
      <c r="C18" s="76" t="s">
        <v>151</v>
      </c>
      <c r="D18" s="55">
        <v>96986</v>
      </c>
      <c r="E18" s="52"/>
    </row>
    <row r="19" spans="1:5">
      <c r="A19" s="27"/>
      <c r="B19" s="40" t="s">
        <v>90</v>
      </c>
      <c r="C19" s="76" t="s">
        <v>260</v>
      </c>
      <c r="D19" s="55"/>
      <c r="E19" s="52">
        <f>+D18</f>
        <v>96986</v>
      </c>
    </row>
    <row r="20" spans="1:5">
      <c r="A20" s="27"/>
      <c r="B20" s="40"/>
      <c r="C20" s="76"/>
      <c r="D20" s="55"/>
      <c r="E20" s="52"/>
    </row>
    <row r="21" spans="1:5">
      <c r="A21" s="27"/>
      <c r="B21" s="39" t="s">
        <v>293</v>
      </c>
      <c r="C21" s="76" t="s">
        <v>260</v>
      </c>
      <c r="D21" s="55">
        <v>7818.58</v>
      </c>
      <c r="E21" s="52"/>
    </row>
    <row r="22" spans="1:5">
      <c r="A22" s="27"/>
      <c r="B22" s="41" t="s">
        <v>381</v>
      </c>
      <c r="C22" s="79" t="s">
        <v>151</v>
      </c>
      <c r="D22" s="56"/>
      <c r="E22" s="57">
        <v>7818.58</v>
      </c>
    </row>
    <row r="23" spans="1:5">
      <c r="A23" s="27"/>
      <c r="B23" s="27"/>
      <c r="C23" s="72"/>
      <c r="D23" s="58">
        <f>SUM(D4:D22)</f>
        <v>376468.58</v>
      </c>
      <c r="E23" s="58">
        <f>SUM(E4:E22)</f>
        <v>376468.58</v>
      </c>
    </row>
    <row r="26" spans="1:5">
      <c r="B26" t="s">
        <v>293</v>
      </c>
      <c r="D26" s="336">
        <f>D4+D18+D21+D7+D10+D15</f>
        <v>376468.58</v>
      </c>
    </row>
    <row r="27" spans="1:5">
      <c r="B27" s="170" t="s">
        <v>90</v>
      </c>
      <c r="E27" s="336">
        <f>E5+E19+E16+E13+E8</f>
        <v>357344</v>
      </c>
    </row>
    <row r="28" spans="1:5">
      <c r="B28" s="170" t="s">
        <v>381</v>
      </c>
      <c r="E28" s="336">
        <f>E22</f>
        <v>7818.58</v>
      </c>
    </row>
    <row r="29" spans="1:5">
      <c r="B29" s="170" t="s">
        <v>73</v>
      </c>
      <c r="E29" s="336">
        <f>E11</f>
        <v>0</v>
      </c>
    </row>
    <row r="30" spans="1:5">
      <c r="B30" s="170" t="s">
        <v>6</v>
      </c>
      <c r="E30" s="336">
        <f>E12</f>
        <v>11306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82"/>
  <sheetViews>
    <sheetView topLeftCell="A8" zoomScale="80" zoomScaleNormal="80" workbookViewId="0">
      <selection activeCell="C10" sqref="C10"/>
    </sheetView>
  </sheetViews>
  <sheetFormatPr defaultColWidth="11.42578125" defaultRowHeight="14.25"/>
  <cols>
    <col min="1" max="1" width="11.42578125" style="2" customWidth="1"/>
    <col min="2" max="2" width="69" style="2" customWidth="1"/>
    <col min="3" max="3" width="23" style="72" bestFit="1" customWidth="1"/>
    <col min="4" max="4" width="23.140625" style="72" bestFit="1" customWidth="1"/>
    <col min="5" max="5" width="15.5703125" style="72" bestFit="1" customWidth="1"/>
    <col min="6" max="6" width="21" style="72" bestFit="1" customWidth="1"/>
    <col min="7" max="7" width="17.140625" style="72" customWidth="1"/>
    <col min="8" max="8" width="17.42578125" style="72" customWidth="1"/>
    <col min="9" max="10" width="15.5703125" style="72" customWidth="1"/>
    <col min="11" max="11" width="16.28515625" style="72" bestFit="1" customWidth="1"/>
    <col min="12" max="12" width="15.140625" style="2" bestFit="1" customWidth="1"/>
    <col min="13" max="13" width="16.28515625" style="2" bestFit="1" customWidth="1"/>
    <col min="14" max="14" width="16.42578125" style="2" customWidth="1"/>
    <col min="15" max="15" width="14.85546875" style="2" customWidth="1"/>
    <col min="16" max="16384" width="11.42578125" style="2"/>
  </cols>
  <sheetData>
    <row r="1" spans="1:15" ht="15">
      <c r="A1" s="1" t="s">
        <v>49</v>
      </c>
    </row>
    <row r="2" spans="1:15" ht="15">
      <c r="A2" s="1" t="s">
        <v>37</v>
      </c>
    </row>
    <row r="3" spans="1:15" ht="15">
      <c r="A3" s="1" t="s">
        <v>192</v>
      </c>
    </row>
    <row r="5" spans="1:15" ht="15">
      <c r="A5" s="26" t="s">
        <v>174</v>
      </c>
      <c r="C5" s="2"/>
      <c r="D5" s="2"/>
      <c r="E5" s="2"/>
    </row>
    <row r="6" spans="1:15" ht="15">
      <c r="A6" s="26"/>
      <c r="C6" s="2"/>
      <c r="D6" s="2"/>
      <c r="E6" s="2"/>
    </row>
    <row r="7" spans="1:15" ht="15">
      <c r="A7" s="27" t="s">
        <v>3</v>
      </c>
      <c r="B7" s="27"/>
      <c r="C7" s="81"/>
      <c r="D7" s="81"/>
      <c r="E7" s="81"/>
      <c r="F7" s="81"/>
      <c r="G7" s="81"/>
      <c r="H7" s="81"/>
      <c r="I7" s="81"/>
      <c r="J7" s="81"/>
      <c r="K7" s="51"/>
    </row>
    <row r="8" spans="1:15" ht="15">
      <c r="A8" s="27"/>
      <c r="B8" s="27"/>
      <c r="C8" s="81" t="s">
        <v>182</v>
      </c>
      <c r="D8" s="81" t="s">
        <v>142</v>
      </c>
      <c r="E8" s="81" t="s">
        <v>143</v>
      </c>
      <c r="F8" s="81" t="s">
        <v>144</v>
      </c>
      <c r="G8" s="81" t="s">
        <v>145</v>
      </c>
      <c r="H8" s="81" t="s">
        <v>146</v>
      </c>
      <c r="I8" s="81" t="s">
        <v>105</v>
      </c>
      <c r="J8" s="81" t="s">
        <v>147</v>
      </c>
      <c r="K8" s="81" t="s">
        <v>148</v>
      </c>
      <c r="L8" s="81" t="s">
        <v>15</v>
      </c>
    </row>
    <row r="9" spans="1:15">
      <c r="A9" s="27" t="s">
        <v>32</v>
      </c>
      <c r="B9" s="27"/>
      <c r="C9" s="51">
        <v>3751.2600000000093</v>
      </c>
      <c r="D9" s="51">
        <f>+PNC!F16</f>
        <v>104950</v>
      </c>
      <c r="E9" s="51">
        <v>943459</v>
      </c>
      <c r="F9" s="51">
        <f>147840-49015</f>
        <v>98825</v>
      </c>
      <c r="G9" s="51">
        <f>462500-330450</f>
        <v>132050</v>
      </c>
      <c r="H9" s="51">
        <v>140052</v>
      </c>
      <c r="I9" s="51">
        <f>+PNC!F71</f>
        <v>6000</v>
      </c>
      <c r="J9" s="51">
        <v>1114176</v>
      </c>
      <c r="K9" s="51">
        <f>+PNC!F93</f>
        <v>740</v>
      </c>
      <c r="L9" s="51">
        <f>SUM(C9:K9)</f>
        <v>2544003.2599999998</v>
      </c>
    </row>
    <row r="10" spans="1:15" ht="15" thickBot="1">
      <c r="A10" s="27" t="s">
        <v>170</v>
      </c>
      <c r="B10" s="27"/>
      <c r="C10" s="59">
        <v>437365.73999999801</v>
      </c>
      <c r="D10" s="59">
        <v>1260413</v>
      </c>
      <c r="E10" s="59">
        <v>0</v>
      </c>
      <c r="F10" s="59">
        <v>49015</v>
      </c>
      <c r="G10" s="59">
        <v>330450</v>
      </c>
      <c r="H10" s="59">
        <v>0</v>
      </c>
      <c r="I10" s="59">
        <v>0</v>
      </c>
      <c r="J10" s="59">
        <v>0</v>
      </c>
      <c r="K10" s="59">
        <v>0</v>
      </c>
      <c r="L10" s="59">
        <f>SUM(C10:K10)</f>
        <v>2077243.7399999979</v>
      </c>
    </row>
    <row r="11" spans="1:15" ht="15.75" thickTop="1">
      <c r="A11" s="26" t="s">
        <v>38</v>
      </c>
      <c r="B11" s="27"/>
      <c r="C11" s="58">
        <f t="shared" ref="C11:L11" si="0">SUM(C9:C10)</f>
        <v>441116.99999999802</v>
      </c>
      <c r="D11" s="58">
        <f t="shared" si="0"/>
        <v>1365363</v>
      </c>
      <c r="E11" s="58">
        <f t="shared" si="0"/>
        <v>943459</v>
      </c>
      <c r="F11" s="58">
        <f t="shared" si="0"/>
        <v>147840</v>
      </c>
      <c r="G11" s="58">
        <f t="shared" si="0"/>
        <v>462500</v>
      </c>
      <c r="H11" s="58">
        <f t="shared" si="0"/>
        <v>140052</v>
      </c>
      <c r="I11" s="58">
        <f t="shared" si="0"/>
        <v>6000</v>
      </c>
      <c r="J11" s="58">
        <f t="shared" si="0"/>
        <v>1114176</v>
      </c>
      <c r="K11" s="58">
        <f t="shared" si="0"/>
        <v>740</v>
      </c>
      <c r="L11" s="58">
        <f t="shared" si="0"/>
        <v>4621246.9999999981</v>
      </c>
      <c r="M11" s="72">
        <v>10163519</v>
      </c>
      <c r="N11" s="152">
        <f>M11-L11</f>
        <v>5542272.0000000019</v>
      </c>
      <c r="O11" s="2">
        <v>224942.34</v>
      </c>
    </row>
    <row r="12" spans="1:15" ht="15">
      <c r="A12" s="27"/>
      <c r="B12" s="88" t="s">
        <v>149</v>
      </c>
      <c r="C12" s="51">
        <v>441117</v>
      </c>
      <c r="D12" s="51">
        <v>1365363</v>
      </c>
      <c r="E12" s="51">
        <v>943459</v>
      </c>
      <c r="F12" s="51">
        <v>147840</v>
      </c>
      <c r="G12" s="51">
        <v>462500</v>
      </c>
      <c r="H12" s="51">
        <v>140052</v>
      </c>
      <c r="I12" s="51">
        <v>6000</v>
      </c>
      <c r="J12" s="51">
        <v>1114176</v>
      </c>
      <c r="K12" s="51">
        <v>740</v>
      </c>
      <c r="L12" s="51">
        <f>SUM(C12:K12)</f>
        <v>4621247</v>
      </c>
      <c r="O12" s="152">
        <f>N11-O11+100</f>
        <v>5317429.660000002</v>
      </c>
    </row>
    <row r="13" spans="1:15" ht="15">
      <c r="A13" s="1"/>
      <c r="B13" s="26"/>
      <c r="C13" s="58">
        <f>+C12-C11</f>
        <v>1.9790604710578918E-9</v>
      </c>
      <c r="D13" s="58">
        <f>+D12-D11</f>
        <v>0</v>
      </c>
      <c r="E13" s="58">
        <f t="shared" ref="E13:L13" si="1">+E12-E11</f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si="1"/>
        <v>0</v>
      </c>
      <c r="L13" s="58">
        <f t="shared" si="1"/>
        <v>0</v>
      </c>
    </row>
    <row r="14" spans="1:15" ht="15">
      <c r="A14" s="26"/>
      <c r="C14" s="2"/>
      <c r="D14" s="2"/>
      <c r="E14" s="2"/>
    </row>
    <row r="15" spans="1:15" ht="15">
      <c r="A15" s="26"/>
      <c r="B15" s="20" t="s">
        <v>25</v>
      </c>
      <c r="C15" s="73" t="s">
        <v>45</v>
      </c>
      <c r="D15" s="21" t="s">
        <v>26</v>
      </c>
      <c r="E15" s="22" t="s">
        <v>27</v>
      </c>
      <c r="F15" s="28"/>
    </row>
    <row r="16" spans="1:15" ht="15">
      <c r="A16" s="26"/>
      <c r="B16" s="29" t="s">
        <v>171</v>
      </c>
      <c r="C16" s="76" t="s">
        <v>172</v>
      </c>
      <c r="D16" s="143">
        <f>+L10</f>
        <v>2077243.7399999979</v>
      </c>
      <c r="E16" s="24"/>
      <c r="F16" s="27"/>
    </row>
    <row r="17" spans="1:13" ht="15">
      <c r="A17" s="26"/>
      <c r="B17" s="34" t="s">
        <v>173</v>
      </c>
      <c r="C17" s="79" t="s">
        <v>151</v>
      </c>
      <c r="D17" s="25"/>
      <c r="E17" s="25">
        <f>+D16</f>
        <v>2077243.7399999979</v>
      </c>
      <c r="F17" s="33"/>
    </row>
    <row r="18" spans="1:13" ht="15">
      <c r="A18" s="26"/>
      <c r="B18" s="27"/>
      <c r="D18" s="27"/>
      <c r="E18" s="27"/>
      <c r="F18" s="27"/>
    </row>
    <row r="19" spans="1:13" ht="15">
      <c r="A19" s="26"/>
      <c r="B19" s="27"/>
      <c r="D19" s="35">
        <f>SUM(D16:D18)</f>
        <v>2077243.7399999979</v>
      </c>
      <c r="E19" s="35">
        <f>SUM(E16:E18)</f>
        <v>2077243.7399999979</v>
      </c>
      <c r="F19" s="32">
        <f>+D19-E19</f>
        <v>0</v>
      </c>
      <c r="G19" s="72">
        <f>D16+D25+D62</f>
        <v>38824192</v>
      </c>
    </row>
    <row r="20" spans="1:13">
      <c r="G20" s="72">
        <f>G19-SUM('ESF - ERI'!E49:M49)</f>
        <v>-2.0000003278255463E-2</v>
      </c>
    </row>
    <row r="21" spans="1:13" ht="15">
      <c r="A21" s="26" t="s">
        <v>175</v>
      </c>
      <c r="B21" s="27"/>
      <c r="C21" s="51"/>
      <c r="D21" s="51"/>
      <c r="E21" s="51"/>
      <c r="F21" s="51"/>
      <c r="G21" s="51"/>
      <c r="H21" s="51"/>
      <c r="I21" s="51"/>
      <c r="J21" s="51"/>
      <c r="K21" s="51"/>
      <c r="L21" s="27"/>
      <c r="M21" s="27"/>
    </row>
    <row r="22" spans="1:13">
      <c r="A22" s="27"/>
      <c r="B22" s="27"/>
      <c r="C22" s="51"/>
      <c r="D22" s="51"/>
      <c r="E22" s="51"/>
      <c r="F22" s="51"/>
      <c r="G22" s="51"/>
      <c r="H22" s="51"/>
      <c r="I22" s="51"/>
      <c r="J22" s="51"/>
      <c r="K22" s="51"/>
      <c r="L22" s="27"/>
      <c r="M22" s="27"/>
    </row>
    <row r="23" spans="1:13" ht="15">
      <c r="A23" s="28"/>
      <c r="B23" s="20" t="s">
        <v>25</v>
      </c>
      <c r="C23" s="73" t="s">
        <v>45</v>
      </c>
      <c r="D23" s="74" t="s">
        <v>26</v>
      </c>
      <c r="E23" s="74" t="s">
        <v>27</v>
      </c>
      <c r="F23" s="85"/>
      <c r="G23" s="85"/>
      <c r="H23" s="85"/>
      <c r="I23" s="85"/>
      <c r="J23" s="85"/>
      <c r="K23" s="75"/>
      <c r="L23" s="27"/>
      <c r="M23" s="27"/>
    </row>
    <row r="24" spans="1:13">
      <c r="A24" s="27"/>
      <c r="B24" s="29" t="s">
        <v>44</v>
      </c>
      <c r="C24" s="76" t="s">
        <v>172</v>
      </c>
      <c r="D24" s="77">
        <f>SUM('ESF - ERI'!E48:M48)</f>
        <v>138600</v>
      </c>
      <c r="E24" s="77"/>
      <c r="F24" s="100"/>
      <c r="G24" s="86"/>
      <c r="H24" s="86"/>
      <c r="I24" s="86"/>
      <c r="J24" s="86"/>
      <c r="K24" s="51"/>
      <c r="L24" s="32"/>
      <c r="M24" s="27"/>
    </row>
    <row r="25" spans="1:13">
      <c r="A25" s="27"/>
      <c r="B25" s="30" t="s">
        <v>170</v>
      </c>
      <c r="C25" s="76" t="s">
        <v>172</v>
      </c>
      <c r="D25" s="141">
        <f>+'ESF - ERI'!E49-'Asientos - para Consolidado'!D62-C10</f>
        <v>9477384</v>
      </c>
      <c r="E25" s="78"/>
      <c r="F25" s="100"/>
      <c r="G25" s="86"/>
      <c r="H25" s="86"/>
      <c r="I25" s="86"/>
      <c r="J25" s="86"/>
      <c r="K25" s="51"/>
      <c r="L25" s="32"/>
      <c r="M25" s="27"/>
    </row>
    <row r="26" spans="1:13">
      <c r="A26" s="27"/>
      <c r="B26" s="30" t="s">
        <v>46</v>
      </c>
      <c r="C26" s="76" t="s">
        <v>172</v>
      </c>
      <c r="D26" s="78">
        <f>SUM('ESF - ERI'!E50:M50)</f>
        <v>184560.05</v>
      </c>
      <c r="E26" s="78"/>
      <c r="F26" s="100"/>
      <c r="G26" s="86"/>
      <c r="H26" s="86"/>
      <c r="J26" s="86"/>
      <c r="K26" s="51"/>
      <c r="L26" s="32"/>
      <c r="M26" s="27"/>
    </row>
    <row r="27" spans="1:13">
      <c r="A27" s="27"/>
      <c r="B27" s="30" t="s">
        <v>47</v>
      </c>
      <c r="C27" s="76" t="s">
        <v>172</v>
      </c>
      <c r="D27" s="78">
        <f>SUM('ESF - ERI'!E52:M52)</f>
        <v>1566.29</v>
      </c>
      <c r="E27" s="78"/>
      <c r="F27" s="100"/>
      <c r="G27" s="86"/>
      <c r="H27" s="86"/>
      <c r="I27" s="86"/>
      <c r="J27" s="86"/>
      <c r="K27" s="51"/>
      <c r="L27" s="32"/>
      <c r="M27" s="27"/>
    </row>
    <row r="28" spans="1:13">
      <c r="A28" s="27"/>
      <c r="B28" s="30" t="s">
        <v>20</v>
      </c>
      <c r="C28" s="76" t="s">
        <v>172</v>
      </c>
      <c r="D28" s="78">
        <f>SUM('ESF - ERI'!E53:M53)</f>
        <v>82150.45</v>
      </c>
      <c r="E28" s="78"/>
      <c r="F28" s="100"/>
      <c r="G28" s="86"/>
      <c r="H28" s="86"/>
      <c r="I28" s="86"/>
      <c r="J28" s="86"/>
      <c r="K28" s="51"/>
      <c r="L28" s="32"/>
      <c r="M28" s="27"/>
    </row>
    <row r="29" spans="1:13">
      <c r="A29" s="27"/>
      <c r="B29" s="30" t="s">
        <v>48</v>
      </c>
      <c r="C29" s="76" t="s">
        <v>172</v>
      </c>
      <c r="D29" s="78">
        <f>SUM('ESF - ERI'!E55:M55)</f>
        <v>957283.5199999999</v>
      </c>
      <c r="E29" s="78"/>
      <c r="F29" s="100"/>
      <c r="G29" s="86"/>
      <c r="I29" s="86"/>
      <c r="J29" s="86"/>
      <c r="K29" s="51"/>
      <c r="L29" s="32"/>
      <c r="M29" s="27"/>
    </row>
    <row r="30" spans="1:13" hidden="1">
      <c r="A30" s="27"/>
      <c r="B30" s="30" t="s">
        <v>33</v>
      </c>
      <c r="C30" s="76"/>
      <c r="D30" s="78"/>
      <c r="E30" s="78"/>
      <c r="F30" s="86"/>
      <c r="G30" s="86"/>
      <c r="H30" s="86"/>
      <c r="I30" s="86"/>
      <c r="J30" s="86"/>
      <c r="K30" s="51"/>
      <c r="L30" s="27"/>
      <c r="M30" s="27"/>
    </row>
    <row r="31" spans="1:13">
      <c r="A31" s="27"/>
      <c r="B31" s="148" t="s">
        <v>166</v>
      </c>
      <c r="C31" s="149" t="s">
        <v>158</v>
      </c>
      <c r="D31" s="150">
        <f>+PNC!C103</f>
        <v>394335.36694421433</v>
      </c>
      <c r="E31" s="78"/>
      <c r="F31" s="86"/>
      <c r="G31" s="86"/>
      <c r="H31" s="86"/>
      <c r="I31" s="86"/>
      <c r="J31" s="86"/>
      <c r="K31" s="51"/>
      <c r="L31" s="27"/>
      <c r="M31" s="27"/>
    </row>
    <row r="32" spans="1:13">
      <c r="A32" s="27"/>
      <c r="B32" s="148" t="s">
        <v>209</v>
      </c>
      <c r="C32" s="149" t="s">
        <v>158</v>
      </c>
      <c r="D32" s="150">
        <f>+PNC!C102</f>
        <v>828548.36364874605</v>
      </c>
      <c r="E32" s="78"/>
      <c r="F32" s="86"/>
      <c r="G32" s="86"/>
      <c r="H32" s="86"/>
      <c r="I32" s="86"/>
      <c r="J32" s="86"/>
      <c r="K32" s="51"/>
      <c r="L32" s="27"/>
      <c r="M32" s="27"/>
    </row>
    <row r="33" spans="1:13" s="27" customFormat="1">
      <c r="B33" s="108" t="s">
        <v>210</v>
      </c>
      <c r="C33" s="52" t="s">
        <v>158</v>
      </c>
      <c r="D33" s="78">
        <v>881973.00000000559</v>
      </c>
      <c r="E33" s="78"/>
      <c r="F33" s="86" t="s">
        <v>216</v>
      </c>
      <c r="G33" s="86"/>
      <c r="H33" s="86"/>
      <c r="I33" s="86"/>
      <c r="J33" s="86"/>
      <c r="K33" s="51"/>
    </row>
    <row r="34" spans="1:13">
      <c r="A34" s="27"/>
      <c r="B34" s="151" t="s">
        <v>209</v>
      </c>
      <c r="C34" s="149" t="s">
        <v>172</v>
      </c>
      <c r="D34" s="150"/>
      <c r="E34" s="150">
        <f>-SUM('ESF - ERI'!E56:M56)</f>
        <v>1044878.7099375</v>
      </c>
      <c r="F34" s="86"/>
      <c r="G34" s="86"/>
      <c r="H34" s="86"/>
      <c r="I34" s="86"/>
      <c r="J34" s="86"/>
      <c r="K34" s="51"/>
      <c r="L34" s="60"/>
      <c r="M34" s="27"/>
    </row>
    <row r="35" spans="1:13" ht="15">
      <c r="A35" s="33"/>
      <c r="B35" s="30" t="s">
        <v>173</v>
      </c>
      <c r="C35" s="76" t="s">
        <v>151</v>
      </c>
      <c r="D35" s="78"/>
      <c r="E35" s="78">
        <f>+'Asientos - para Consolidado'!L9</f>
        <v>2544003.2599999998</v>
      </c>
      <c r="F35" s="86"/>
      <c r="G35" s="86"/>
      <c r="H35" s="86"/>
      <c r="I35" s="86"/>
      <c r="J35" s="86"/>
      <c r="K35" s="58"/>
      <c r="L35" s="32"/>
      <c r="M35" s="27"/>
    </row>
    <row r="36" spans="1:13">
      <c r="A36" s="27"/>
      <c r="B36" s="34" t="s">
        <v>28</v>
      </c>
      <c r="C36" s="79" t="s">
        <v>158</v>
      </c>
      <c r="D36" s="80"/>
      <c r="E36" s="80">
        <f>+PNC!C101</f>
        <v>9357519.0706554651</v>
      </c>
      <c r="F36" s="86"/>
      <c r="G36" s="86"/>
      <c r="H36" s="86"/>
      <c r="I36" s="86"/>
      <c r="J36" s="86"/>
      <c r="K36" s="51"/>
      <c r="L36" s="32"/>
      <c r="M36" s="27"/>
    </row>
    <row r="37" spans="1:13" ht="5.25" customHeight="1">
      <c r="A37" s="27"/>
      <c r="B37" s="27"/>
      <c r="D37" s="51"/>
      <c r="E37" s="51"/>
      <c r="F37" s="51"/>
      <c r="G37" s="51"/>
      <c r="H37" s="51"/>
      <c r="I37" s="51"/>
      <c r="J37" s="51"/>
      <c r="K37" s="51"/>
      <c r="L37" s="27"/>
      <c r="M37" s="27"/>
    </row>
    <row r="38" spans="1:13" ht="15">
      <c r="A38" s="27"/>
      <c r="B38" s="27"/>
      <c r="D38" s="58">
        <f>SUM(D24:D37)</f>
        <v>12946401.040592965</v>
      </c>
      <c r="E38" s="58">
        <f>SUM(E24:E37)</f>
        <v>12946401.040592965</v>
      </c>
      <c r="F38" s="58"/>
      <c r="G38" s="58"/>
      <c r="H38" s="58"/>
      <c r="I38" s="58"/>
      <c r="J38" s="58"/>
      <c r="K38" s="51">
        <f>+D38-E38</f>
        <v>0</v>
      </c>
      <c r="L38" s="27"/>
      <c r="M38" s="27"/>
    </row>
    <row r="39" spans="1:13" ht="15">
      <c r="A39" s="27"/>
      <c r="B39" s="27"/>
      <c r="C39" s="58"/>
      <c r="D39" s="58"/>
      <c r="E39" s="51">
        <f>+E38-D38</f>
        <v>0</v>
      </c>
      <c r="F39" s="51"/>
      <c r="G39" s="51"/>
      <c r="H39" s="51"/>
      <c r="I39" s="51"/>
      <c r="J39" s="51"/>
      <c r="K39" s="51"/>
      <c r="L39" s="27"/>
      <c r="M39" s="27"/>
    </row>
    <row r="40" spans="1:13" ht="15">
      <c r="A40" s="26" t="s">
        <v>176</v>
      </c>
      <c r="B40" s="27"/>
      <c r="C40" s="51"/>
      <c r="D40" s="51"/>
      <c r="E40" s="51"/>
      <c r="F40" s="51"/>
      <c r="G40" s="51"/>
      <c r="H40" s="51"/>
      <c r="I40" s="51"/>
      <c r="J40" s="51"/>
      <c r="K40" s="51"/>
      <c r="L40" s="27"/>
      <c r="M40" s="27"/>
    </row>
    <row r="41" spans="1:13">
      <c r="A41" s="27"/>
      <c r="B41" s="27"/>
      <c r="C41" s="51"/>
      <c r="D41" s="51"/>
      <c r="E41" s="51"/>
      <c r="F41" s="51"/>
      <c r="G41" s="51"/>
      <c r="H41" s="51"/>
      <c r="I41" s="51"/>
      <c r="J41" s="51"/>
      <c r="K41" s="51"/>
      <c r="L41" s="27"/>
      <c r="M41" s="27"/>
    </row>
    <row r="42" spans="1:13" ht="24.75" customHeight="1">
      <c r="A42" s="27"/>
      <c r="B42" s="36" t="s">
        <v>0</v>
      </c>
      <c r="C42" s="73" t="s">
        <v>45</v>
      </c>
      <c r="D42" s="82" t="s">
        <v>1</v>
      </c>
      <c r="E42" s="83" t="s">
        <v>2</v>
      </c>
      <c r="F42" s="87"/>
      <c r="G42" s="87"/>
      <c r="H42" s="87"/>
      <c r="I42" s="87"/>
      <c r="J42" s="87"/>
      <c r="K42" s="51"/>
      <c r="L42" s="27"/>
      <c r="M42" s="27"/>
    </row>
    <row r="43" spans="1:13" ht="19.5" customHeight="1">
      <c r="A43" s="27"/>
      <c r="B43" s="38" t="s">
        <v>165</v>
      </c>
      <c r="C43" s="84" t="s">
        <v>151</v>
      </c>
      <c r="D43" s="53">
        <f>444582</f>
        <v>444582</v>
      </c>
      <c r="E43" s="54"/>
      <c r="F43" s="55"/>
      <c r="G43" s="90" t="s">
        <v>161</v>
      </c>
      <c r="H43" s="53"/>
      <c r="I43" s="53"/>
      <c r="J43" s="53"/>
      <c r="K43" s="53"/>
      <c r="L43" s="91"/>
      <c r="M43" s="92"/>
    </row>
    <row r="44" spans="1:13" ht="19.5" customHeight="1">
      <c r="A44" s="27"/>
      <c r="B44" s="40" t="s">
        <v>191</v>
      </c>
      <c r="C44" s="76" t="s">
        <v>151</v>
      </c>
      <c r="D44" s="55"/>
      <c r="E44" s="52">
        <v>444582</v>
      </c>
      <c r="F44" s="55"/>
      <c r="G44" s="93">
        <f>492416-47834.13</f>
        <v>444581.87</v>
      </c>
      <c r="H44" s="56" t="s">
        <v>160</v>
      </c>
      <c r="I44" s="56"/>
      <c r="J44" s="56"/>
      <c r="K44" s="56"/>
      <c r="L44" s="94"/>
      <c r="M44" s="95"/>
    </row>
    <row r="45" spans="1:13" ht="19.5" customHeight="1">
      <c r="A45" s="27"/>
      <c r="B45" s="39"/>
      <c r="C45" s="76"/>
      <c r="D45" s="55"/>
      <c r="E45" s="52"/>
      <c r="F45" s="54" t="s">
        <v>163</v>
      </c>
      <c r="G45" s="90" t="s">
        <v>162</v>
      </c>
      <c r="H45" s="53"/>
      <c r="I45" s="53"/>
      <c r="J45" s="53"/>
      <c r="K45" s="53"/>
      <c r="L45" s="91"/>
      <c r="M45" s="92"/>
    </row>
    <row r="46" spans="1:13" ht="19.5" customHeight="1">
      <c r="A46" s="27"/>
      <c r="B46" s="39" t="s">
        <v>195</v>
      </c>
      <c r="C46" s="76" t="s">
        <v>151</v>
      </c>
      <c r="D46" s="55">
        <v>11030</v>
      </c>
      <c r="E46" s="52"/>
      <c r="F46" s="57" t="s">
        <v>164</v>
      </c>
      <c r="G46" s="93">
        <f>860302.4-11761.2</f>
        <v>848541.20000000007</v>
      </c>
      <c r="H46" s="56" t="s">
        <v>160</v>
      </c>
      <c r="I46" s="56"/>
      <c r="J46" s="56"/>
      <c r="K46" s="56"/>
      <c r="L46" s="94"/>
      <c r="M46" s="95"/>
    </row>
    <row r="47" spans="1:13" ht="19.5" customHeight="1">
      <c r="A47" s="27"/>
      <c r="B47" s="40" t="s">
        <v>194</v>
      </c>
      <c r="C47" s="76" t="s">
        <v>183</v>
      </c>
      <c r="D47" s="55"/>
      <c r="E47" s="52">
        <f>+D46</f>
        <v>11030</v>
      </c>
      <c r="F47" s="55"/>
      <c r="G47" s="55"/>
      <c r="H47" s="55"/>
      <c r="I47" s="55"/>
      <c r="J47" s="55"/>
      <c r="K47" s="51"/>
      <c r="L47" s="27"/>
      <c r="M47" s="27"/>
    </row>
    <row r="48" spans="1:13" ht="19.5" customHeight="1">
      <c r="A48" s="27"/>
      <c r="B48" s="40"/>
      <c r="C48" s="76"/>
      <c r="D48" s="55"/>
      <c r="E48" s="52"/>
      <c r="F48" s="55"/>
      <c r="G48" s="55"/>
      <c r="H48" s="55"/>
      <c r="I48" s="55"/>
      <c r="J48" s="55"/>
      <c r="K48" s="51"/>
      <c r="L48" s="27"/>
      <c r="M48" s="27"/>
    </row>
    <row r="49" spans="1:13" ht="19.5" customHeight="1">
      <c r="A49" s="27"/>
      <c r="B49" s="40"/>
      <c r="C49" s="76"/>
      <c r="D49" s="55"/>
      <c r="E49" s="52"/>
      <c r="F49" s="55"/>
      <c r="G49" s="55"/>
      <c r="H49" s="55"/>
      <c r="I49" s="55">
        <f>963539</f>
        <v>963539</v>
      </c>
      <c r="J49" s="55">
        <f>I49/1.12</f>
        <v>860302.67857142852</v>
      </c>
      <c r="K49" s="51"/>
      <c r="L49" s="27"/>
      <c r="M49" s="27"/>
    </row>
    <row r="50" spans="1:13" ht="19.5" customHeight="1">
      <c r="A50" s="27"/>
      <c r="B50" s="41"/>
      <c r="C50" s="79"/>
      <c r="D50" s="56"/>
      <c r="E50" s="57"/>
      <c r="F50" s="55"/>
      <c r="G50" s="55"/>
      <c r="H50" s="55"/>
      <c r="I50" s="55">
        <v>13173</v>
      </c>
      <c r="J50" s="55">
        <f>I50/1.12</f>
        <v>11761.607142857141</v>
      </c>
      <c r="K50" s="51"/>
      <c r="L50" s="27"/>
      <c r="M50" s="27"/>
    </row>
    <row r="51" spans="1:13" ht="15">
      <c r="A51" s="27"/>
      <c r="B51" s="27"/>
      <c r="D51" s="58">
        <f>SUM(D43:D50)</f>
        <v>455612</v>
      </c>
      <c r="E51" s="58">
        <f>SUM(E43:E50)</f>
        <v>455612</v>
      </c>
      <c r="F51" s="58"/>
      <c r="G51" s="58"/>
      <c r="H51" s="58"/>
      <c r="I51" s="58"/>
      <c r="J51" s="58">
        <f>J49-J50</f>
        <v>848541.07142857136</v>
      </c>
      <c r="K51" s="51"/>
      <c r="L51" s="27"/>
      <c r="M51" s="27"/>
    </row>
    <row r="52" spans="1:13">
      <c r="A52" s="27"/>
      <c r="B52" s="27"/>
      <c r="D52" s="51"/>
      <c r="E52" s="51"/>
      <c r="F52" s="51"/>
      <c r="G52" s="51"/>
      <c r="H52" s="51"/>
      <c r="I52" s="51"/>
      <c r="J52" s="51"/>
      <c r="K52" s="51"/>
      <c r="L52" s="27"/>
      <c r="M52" s="27"/>
    </row>
    <row r="53" spans="1:13" ht="15">
      <c r="A53" s="26" t="s">
        <v>177</v>
      </c>
      <c r="B53" s="27"/>
      <c r="D53" s="51"/>
      <c r="E53" s="51"/>
      <c r="F53" s="51"/>
      <c r="G53" s="51"/>
      <c r="H53" s="51"/>
      <c r="I53" s="51"/>
      <c r="J53" s="51"/>
      <c r="K53" s="51"/>
      <c r="L53" s="27"/>
      <c r="M53" s="27"/>
    </row>
    <row r="54" spans="1:13">
      <c r="A54" s="27"/>
      <c r="B54" s="27"/>
      <c r="D54" s="51"/>
      <c r="E54" s="51"/>
      <c r="F54" s="51"/>
      <c r="G54" s="51"/>
      <c r="H54" s="51"/>
      <c r="I54" s="51"/>
      <c r="J54" s="51"/>
      <c r="K54" s="51"/>
      <c r="L54" s="27"/>
      <c r="M54" s="27"/>
    </row>
    <row r="55" spans="1:13" ht="24.75" customHeight="1">
      <c r="A55" s="27"/>
      <c r="B55" s="37" t="s">
        <v>0</v>
      </c>
      <c r="C55" s="73" t="s">
        <v>45</v>
      </c>
      <c r="D55" s="83" t="s">
        <v>1</v>
      </c>
      <c r="E55" s="83" t="s">
        <v>2</v>
      </c>
      <c r="F55" s="87"/>
      <c r="G55" s="87"/>
      <c r="H55" s="87"/>
      <c r="I55" s="87"/>
      <c r="J55" s="87"/>
      <c r="K55" s="51"/>
    </row>
    <row r="56" spans="1:13" ht="19.5" customHeight="1">
      <c r="A56" s="27"/>
      <c r="B56" s="39" t="s">
        <v>153</v>
      </c>
      <c r="C56" s="76" t="s">
        <v>150</v>
      </c>
      <c r="D56" s="53">
        <v>100000</v>
      </c>
      <c r="E56" s="54"/>
      <c r="F56" s="55"/>
      <c r="G56" s="55"/>
      <c r="H56" s="55"/>
      <c r="I56" s="55"/>
      <c r="J56" s="55"/>
      <c r="K56" s="51"/>
    </row>
    <row r="57" spans="1:13" ht="19.5" customHeight="1">
      <c r="A57" s="27"/>
      <c r="B57" s="39" t="s">
        <v>154</v>
      </c>
      <c r="C57" s="76" t="s">
        <v>150</v>
      </c>
      <c r="D57" s="55">
        <v>2666934.9300000002</v>
      </c>
      <c r="E57" s="52"/>
      <c r="F57" s="55"/>
      <c r="G57" s="55"/>
      <c r="H57" s="55"/>
      <c r="I57" s="55"/>
      <c r="J57" s="55"/>
      <c r="K57" s="51"/>
    </row>
    <row r="58" spans="1:13" ht="19.5" customHeight="1">
      <c r="A58" s="27"/>
      <c r="B58" s="39" t="s">
        <v>153</v>
      </c>
      <c r="C58" s="76" t="s">
        <v>152</v>
      </c>
      <c r="D58" s="55">
        <f>1268003</f>
        <v>1268003</v>
      </c>
      <c r="E58" s="52"/>
      <c r="F58" s="55"/>
      <c r="G58" s="55"/>
      <c r="H58" s="55"/>
      <c r="I58" s="55"/>
      <c r="J58" s="55"/>
      <c r="K58" s="51"/>
    </row>
    <row r="59" spans="1:13" ht="19.5" customHeight="1">
      <c r="A59" s="27"/>
      <c r="B59" s="39" t="s">
        <v>153</v>
      </c>
      <c r="C59" s="76" t="s">
        <v>156</v>
      </c>
      <c r="D59" s="55">
        <f>+E70</f>
        <v>505881.68</v>
      </c>
      <c r="E59" s="52"/>
      <c r="F59" s="55"/>
      <c r="G59" s="55"/>
      <c r="H59" s="55"/>
      <c r="I59" s="55"/>
      <c r="J59" s="55"/>
      <c r="K59" s="51"/>
    </row>
    <row r="60" spans="1:13" ht="19.5" customHeight="1">
      <c r="A60" s="27"/>
      <c r="B60" s="39" t="s">
        <v>153</v>
      </c>
      <c r="C60" s="76" t="s">
        <v>159</v>
      </c>
      <c r="D60" s="55">
        <v>794</v>
      </c>
      <c r="E60" s="52"/>
      <c r="F60" s="55"/>
      <c r="G60" s="55"/>
      <c r="H60" s="55"/>
      <c r="I60" s="55"/>
      <c r="J60" s="55"/>
      <c r="K60" s="51"/>
    </row>
    <row r="61" spans="1:13" ht="19.5" customHeight="1">
      <c r="A61" s="27"/>
      <c r="B61" s="39" t="s">
        <v>153</v>
      </c>
      <c r="C61" s="76" t="s">
        <v>183</v>
      </c>
      <c r="D61" s="55">
        <f>1161180+940330</f>
        <v>2101510</v>
      </c>
      <c r="E61" s="52"/>
      <c r="F61" s="55"/>
      <c r="G61" s="55"/>
      <c r="H61" s="55"/>
      <c r="I61" s="55"/>
      <c r="J61" s="55"/>
      <c r="K61" s="51"/>
    </row>
    <row r="62" spans="1:13" ht="19.5" customHeight="1">
      <c r="A62" s="27"/>
      <c r="B62" s="39" t="s">
        <v>170</v>
      </c>
      <c r="C62" s="76" t="s">
        <v>183</v>
      </c>
      <c r="D62" s="142">
        <f>27706930-C10</f>
        <v>27269564.260000002</v>
      </c>
      <c r="E62" s="52"/>
      <c r="F62" s="55"/>
      <c r="G62" s="55"/>
      <c r="H62" s="55"/>
      <c r="I62" s="55"/>
      <c r="J62" s="55"/>
      <c r="K62" s="51"/>
    </row>
    <row r="63" spans="1:13" ht="19.5" customHeight="1">
      <c r="A63" s="27"/>
      <c r="B63" s="39" t="s">
        <v>153</v>
      </c>
      <c r="C63" s="76" t="s">
        <v>151</v>
      </c>
      <c r="D63" s="55">
        <f>+E66</f>
        <v>656792</v>
      </c>
      <c r="E63" s="52"/>
      <c r="F63" s="55"/>
      <c r="G63" s="55"/>
      <c r="H63" s="55"/>
      <c r="I63" s="55"/>
      <c r="J63" s="55"/>
      <c r="K63" s="51"/>
    </row>
    <row r="64" spans="1:13" ht="19.5" customHeight="1">
      <c r="A64" s="27"/>
      <c r="B64" s="39" t="s">
        <v>153</v>
      </c>
      <c r="C64" s="76" t="s">
        <v>183</v>
      </c>
      <c r="D64" s="55">
        <f>+E67</f>
        <v>11643.210000000001</v>
      </c>
      <c r="E64" s="52"/>
      <c r="F64" s="55"/>
      <c r="G64" s="55"/>
      <c r="H64" s="55"/>
      <c r="I64" s="55"/>
      <c r="J64" s="55"/>
      <c r="K64" s="51"/>
    </row>
    <row r="65" spans="1:11" ht="19.5" customHeight="1">
      <c r="A65" s="27"/>
      <c r="B65" s="39" t="s">
        <v>153</v>
      </c>
      <c r="C65" s="76" t="s">
        <v>150</v>
      </c>
      <c r="D65" s="55">
        <f>+E68</f>
        <v>116867</v>
      </c>
      <c r="E65" s="52"/>
      <c r="F65" s="55"/>
      <c r="G65" s="55"/>
      <c r="H65" s="55"/>
      <c r="I65" s="55"/>
      <c r="J65" s="55"/>
      <c r="K65" s="51"/>
    </row>
    <row r="66" spans="1:11" ht="19.5" customHeight="1">
      <c r="A66" s="27"/>
      <c r="B66" s="39" t="s">
        <v>155</v>
      </c>
      <c r="C66" s="76" t="s">
        <v>152</v>
      </c>
      <c r="D66" s="55"/>
      <c r="E66" s="52">
        <v>656792</v>
      </c>
      <c r="F66" s="55"/>
      <c r="G66" s="55"/>
      <c r="H66" s="55"/>
      <c r="I66" s="55"/>
      <c r="J66" s="55"/>
      <c r="K66" s="51"/>
    </row>
    <row r="67" spans="1:11" ht="19.5" customHeight="1">
      <c r="A67" s="27"/>
      <c r="B67" s="39" t="s">
        <v>155</v>
      </c>
      <c r="C67" s="76" t="s">
        <v>150</v>
      </c>
      <c r="D67" s="55"/>
      <c r="E67" s="52">
        <v>11643.210000000001</v>
      </c>
      <c r="F67" s="55"/>
      <c r="G67" s="55"/>
      <c r="H67" s="55"/>
      <c r="I67" s="55"/>
      <c r="J67" s="55"/>
      <c r="K67" s="51"/>
    </row>
    <row r="68" spans="1:11" ht="19.5" customHeight="1">
      <c r="A68" s="27"/>
      <c r="B68" s="39" t="s">
        <v>155</v>
      </c>
      <c r="C68" s="76" t="s">
        <v>183</v>
      </c>
      <c r="D68" s="55"/>
      <c r="E68" s="52">
        <v>116867</v>
      </c>
      <c r="F68" s="55"/>
      <c r="G68" s="55"/>
      <c r="H68" s="55"/>
      <c r="I68" s="55"/>
      <c r="J68" s="55"/>
      <c r="K68" s="51"/>
    </row>
    <row r="69" spans="1:11" ht="19.5" customHeight="1">
      <c r="A69" s="27"/>
      <c r="B69" s="39" t="s">
        <v>155</v>
      </c>
      <c r="C69" s="76" t="s">
        <v>151</v>
      </c>
      <c r="D69" s="55"/>
      <c r="E69" s="52">
        <f>2766935+1268003+D60+1161180</f>
        <v>5196912</v>
      </c>
      <c r="F69" s="55"/>
      <c r="G69" s="55"/>
      <c r="H69" s="55"/>
      <c r="I69" s="55"/>
      <c r="J69" s="55"/>
      <c r="K69" s="51"/>
    </row>
    <row r="70" spans="1:11" ht="19.5" customHeight="1">
      <c r="A70" s="27"/>
      <c r="B70" s="39" t="s">
        <v>68</v>
      </c>
      <c r="C70" s="76" t="s">
        <v>151</v>
      </c>
      <c r="D70" s="55"/>
      <c r="E70" s="52">
        <v>505881.68</v>
      </c>
      <c r="F70" s="55"/>
      <c r="G70" s="55"/>
      <c r="H70" s="55"/>
      <c r="I70" s="55"/>
      <c r="J70" s="55"/>
      <c r="K70" s="51"/>
    </row>
    <row r="71" spans="1:11" ht="19.5" customHeight="1">
      <c r="A71" s="27"/>
      <c r="B71" s="39" t="s">
        <v>205</v>
      </c>
      <c r="C71" s="76" t="s">
        <v>151</v>
      </c>
      <c r="D71" s="55"/>
      <c r="E71" s="52">
        <v>940330</v>
      </c>
      <c r="F71" s="55"/>
      <c r="G71" s="55"/>
      <c r="H71" s="55"/>
      <c r="I71" s="55"/>
      <c r="J71" s="55"/>
      <c r="K71" s="51"/>
    </row>
    <row r="72" spans="1:11" ht="19.5" customHeight="1">
      <c r="A72" s="27"/>
      <c r="B72" s="42" t="s">
        <v>186</v>
      </c>
      <c r="C72" s="79" t="s">
        <v>151</v>
      </c>
      <c r="D72" s="56"/>
      <c r="E72" s="57">
        <f>+D62</f>
        <v>27269564.260000002</v>
      </c>
      <c r="F72" s="55"/>
      <c r="G72" s="55"/>
      <c r="H72" s="55"/>
      <c r="I72" s="55"/>
      <c r="J72" s="55"/>
      <c r="K72" s="51"/>
    </row>
    <row r="73" spans="1:11" ht="15">
      <c r="A73" s="27"/>
      <c r="B73" s="27"/>
      <c r="D73" s="58">
        <f>SUM(D56:D72)</f>
        <v>34697990.080000006</v>
      </c>
      <c r="E73" s="58">
        <f>SUM(E56:E72)</f>
        <v>34697990.149999999</v>
      </c>
      <c r="F73" s="58"/>
      <c r="G73" s="58"/>
      <c r="H73" s="58"/>
      <c r="I73" s="58"/>
      <c r="J73" s="58"/>
      <c r="K73" s="51"/>
    </row>
    <row r="76" spans="1:11" ht="15">
      <c r="A76" s="26" t="s">
        <v>197</v>
      </c>
      <c r="B76" s="27"/>
      <c r="C76" s="51"/>
      <c r="D76" s="51"/>
      <c r="E76" s="51"/>
    </row>
    <row r="77" spans="1:11">
      <c r="A77" s="27"/>
      <c r="B77" s="27"/>
      <c r="C77" s="51"/>
      <c r="D77" s="51"/>
      <c r="E77" s="51"/>
    </row>
    <row r="78" spans="1:11" ht="15">
      <c r="A78" s="28"/>
      <c r="B78" s="20" t="s">
        <v>25</v>
      </c>
      <c r="C78" s="73" t="s">
        <v>45</v>
      </c>
      <c r="D78" s="74" t="s">
        <v>26</v>
      </c>
      <c r="E78" s="74" t="s">
        <v>27</v>
      </c>
    </row>
    <row r="79" spans="1:11">
      <c r="A79" s="27"/>
      <c r="B79" s="29" t="s">
        <v>92</v>
      </c>
      <c r="C79" s="76" t="s">
        <v>198</v>
      </c>
      <c r="D79" s="77">
        <f>459066*0.49</f>
        <v>224942.34</v>
      </c>
      <c r="E79" s="77"/>
    </row>
    <row r="80" spans="1:11">
      <c r="A80" s="27"/>
      <c r="B80" s="34" t="s">
        <v>199</v>
      </c>
      <c r="C80" s="79" t="s">
        <v>198</v>
      </c>
      <c r="D80" s="80"/>
      <c r="E80" s="80">
        <f>+D79</f>
        <v>224942.34</v>
      </c>
    </row>
    <row r="81" spans="1:5">
      <c r="A81" s="27"/>
      <c r="B81" s="27"/>
      <c r="D81" s="51"/>
      <c r="E81" s="51"/>
    </row>
    <row r="82" spans="1:5" ht="15">
      <c r="A82" s="27"/>
      <c r="B82" s="27"/>
      <c r="D82" s="58">
        <f>SUM(D79:D81)</f>
        <v>224942.34</v>
      </c>
      <c r="E82" s="58">
        <f>SUM(E79:E81)</f>
        <v>224942.34</v>
      </c>
    </row>
  </sheetData>
  <printOptions horizontalCentered="1"/>
  <pageMargins left="0" right="0" top="0.51181102362204722" bottom="0.31496062992125984" header="0.31496062992125984" footer="0.31496062992125984"/>
  <pageSetup paperSize="9" scale="45" orientation="landscape" r:id="rId1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05"/>
  <sheetViews>
    <sheetView zoomScale="80" zoomScaleNormal="80" workbookViewId="0">
      <selection activeCell="C10" sqref="C10"/>
    </sheetView>
  </sheetViews>
  <sheetFormatPr defaultColWidth="11.42578125" defaultRowHeight="14.25"/>
  <cols>
    <col min="1" max="1" width="11.42578125" style="101"/>
    <col min="2" max="2" width="72.28515625" style="126" customWidth="1"/>
    <col min="3" max="3" width="23.42578125" style="127" customWidth="1"/>
    <col min="4" max="4" width="11.42578125" style="101"/>
    <col min="5" max="5" width="13.140625" style="106" customWidth="1"/>
    <col min="6" max="6" width="15.28515625" style="106" customWidth="1"/>
    <col min="7" max="7" width="14.140625" style="106" customWidth="1"/>
    <col min="8" max="8" width="17.5703125" style="106" customWidth="1"/>
    <col min="9" max="9" width="21.28515625" style="106" bestFit="1" customWidth="1"/>
    <col min="10" max="10" width="14.42578125" style="106" bestFit="1" customWidth="1"/>
    <col min="11" max="16384" width="11.42578125" style="106"/>
  </cols>
  <sheetData>
    <row r="1" spans="2:10" ht="15">
      <c r="B1" s="109" t="s">
        <v>185</v>
      </c>
      <c r="C1" s="110"/>
    </row>
    <row r="2" spans="2:10" ht="15">
      <c r="B2" s="111" t="s">
        <v>121</v>
      </c>
      <c r="C2" s="112">
        <f>+'ESF - ERI'!E58</f>
        <v>36760932</v>
      </c>
      <c r="F2" s="113"/>
      <c r="H2" s="101"/>
    </row>
    <row r="3" spans="2:10">
      <c r="B3" s="114"/>
      <c r="C3" s="115"/>
      <c r="I3" s="135"/>
    </row>
    <row r="4" spans="2:10" ht="30">
      <c r="B4" s="116" t="s">
        <v>187</v>
      </c>
      <c r="C4" s="23" t="s">
        <v>29</v>
      </c>
      <c r="E4" s="101"/>
      <c r="F4" s="101"/>
      <c r="G4" s="101"/>
      <c r="H4" s="101"/>
      <c r="I4" s="133"/>
    </row>
    <row r="5" spans="2:10" ht="15">
      <c r="B5" s="102" t="s">
        <v>30</v>
      </c>
      <c r="C5" s="107">
        <f>+'Asientos - para Consolidado'!C9</f>
        <v>3751.2600000000093</v>
      </c>
      <c r="E5" s="117"/>
      <c r="F5" s="104">
        <v>3751</v>
      </c>
      <c r="G5" s="118">
        <f>+F5/$F$7</f>
        <v>0.75019999999999998</v>
      </c>
      <c r="H5" s="101" t="s">
        <v>50</v>
      </c>
      <c r="I5" s="136"/>
    </row>
    <row r="6" spans="2:10" ht="15.75" thickBot="1">
      <c r="B6" s="102" t="s">
        <v>207</v>
      </c>
      <c r="C6" s="119">
        <f>C2*G6</f>
        <v>9182880.8136</v>
      </c>
      <c r="D6" s="120" t="s">
        <v>34</v>
      </c>
      <c r="E6" s="101"/>
      <c r="F6" s="121">
        <v>1249</v>
      </c>
      <c r="G6" s="118">
        <f>+F6/$F$7</f>
        <v>0.24979999999999999</v>
      </c>
      <c r="H6" s="101" t="s">
        <v>52</v>
      </c>
      <c r="I6" s="137">
        <f>C6-'Asientos - para Consolidado'!D25</f>
        <v>-294503.18640000001</v>
      </c>
    </row>
    <row r="7" spans="2:10" ht="15">
      <c r="B7" s="102" t="s">
        <v>31</v>
      </c>
      <c r="C7" s="103">
        <f>+C5+C6</f>
        <v>9186632.0735999998</v>
      </c>
      <c r="E7" s="101"/>
      <c r="F7" s="104">
        <f>SUM(F5:F6)</f>
        <v>5000</v>
      </c>
      <c r="G7" s="105"/>
      <c r="H7" s="101"/>
      <c r="I7" s="133">
        <f>I6-C9</f>
        <v>-427133.25999999605</v>
      </c>
    </row>
    <row r="8" spans="2:10" ht="15" customHeight="1">
      <c r="B8" s="102" t="s">
        <v>188</v>
      </c>
      <c r="C8" s="107">
        <f>+C2-'Asientos - para Consolidado'!C10-'Asientos - para Consolidado'!D62</f>
        <v>9054002.0000000037</v>
      </c>
      <c r="D8" s="982" t="s">
        <v>211</v>
      </c>
      <c r="E8" s="983"/>
      <c r="F8" s="983"/>
      <c r="G8" s="983"/>
      <c r="H8" s="983"/>
      <c r="I8" s="137"/>
    </row>
    <row r="9" spans="2:10" ht="15.75">
      <c r="B9" s="99" t="s">
        <v>166</v>
      </c>
      <c r="C9" s="122">
        <f>+C7-C8</f>
        <v>132630.07359999605</v>
      </c>
      <c r="D9" s="120" t="s">
        <v>35</v>
      </c>
      <c r="E9" s="981" t="s">
        <v>206</v>
      </c>
      <c r="F9" s="981"/>
      <c r="G9" s="105"/>
      <c r="H9" s="101"/>
      <c r="I9" s="133"/>
      <c r="J9" s="137"/>
    </row>
    <row r="10" spans="2:10" ht="15" thickBot="1">
      <c r="B10" s="123"/>
      <c r="C10" s="124"/>
      <c r="G10" s="125"/>
    </row>
    <row r="11" spans="2:10" ht="15" thickBot="1">
      <c r="J11" s="136"/>
    </row>
    <row r="12" spans="2:10" ht="15">
      <c r="B12" s="109" t="s">
        <v>120</v>
      </c>
      <c r="C12" s="110"/>
    </row>
    <row r="13" spans="2:10" ht="15" customHeight="1">
      <c r="B13" s="111" t="s">
        <v>121</v>
      </c>
      <c r="C13" s="112">
        <f>+'ESF - ERI'!F58-'ESF - ERI'!F49</f>
        <v>21123.449999999953</v>
      </c>
      <c r="D13" s="982" t="s">
        <v>211</v>
      </c>
      <c r="E13" s="983"/>
      <c r="F13" s="983"/>
      <c r="G13" s="983"/>
      <c r="H13" s="983"/>
      <c r="I13" s="137"/>
      <c r="J13" s="136"/>
    </row>
    <row r="14" spans="2:10">
      <c r="B14" s="114"/>
      <c r="C14" s="115"/>
      <c r="J14" s="135"/>
    </row>
    <row r="15" spans="2:10" ht="30">
      <c r="B15" s="116" t="s">
        <v>124</v>
      </c>
      <c r="C15" s="23" t="s">
        <v>29</v>
      </c>
      <c r="E15" s="101"/>
      <c r="F15" s="101"/>
      <c r="G15" s="101"/>
      <c r="H15" s="101"/>
    </row>
    <row r="16" spans="2:10" ht="15">
      <c r="B16" s="102" t="s">
        <v>30</v>
      </c>
      <c r="C16" s="107">
        <f>+'Asientos - para Consolidado'!D9</f>
        <v>104950</v>
      </c>
      <c r="E16" s="117"/>
      <c r="F16" s="104">
        <v>104950</v>
      </c>
      <c r="G16" s="118">
        <f>+F16/$F$18</f>
        <v>0.99952380952380948</v>
      </c>
      <c r="H16" s="101" t="s">
        <v>50</v>
      </c>
      <c r="I16" s="113"/>
    </row>
    <row r="17" spans="2:9" ht="15.75" thickBot="1">
      <c r="B17" s="102" t="s">
        <v>167</v>
      </c>
      <c r="C17" s="119">
        <f>C13*G17</f>
        <v>10.058785714285692</v>
      </c>
      <c r="D17" s="120" t="s">
        <v>34</v>
      </c>
      <c r="E17" s="101"/>
      <c r="F17" s="121">
        <v>50</v>
      </c>
      <c r="G17" s="118">
        <f>+F17/$F$18</f>
        <v>4.7619047619047619E-4</v>
      </c>
      <c r="H17" s="101" t="s">
        <v>52</v>
      </c>
      <c r="I17" s="135"/>
    </row>
    <row r="18" spans="2:9" ht="15">
      <c r="B18" s="102" t="s">
        <v>31</v>
      </c>
      <c r="C18" s="103">
        <f>+C16+C17</f>
        <v>104960.05878571428</v>
      </c>
      <c r="E18" s="101"/>
      <c r="F18" s="104">
        <f>SUM(F16:F17)</f>
        <v>105000</v>
      </c>
      <c r="G18" s="105"/>
      <c r="H18" s="101"/>
      <c r="I18" s="137"/>
    </row>
    <row r="19" spans="2:9" ht="15">
      <c r="B19" s="102" t="s">
        <v>123</v>
      </c>
      <c r="C19" s="107">
        <f>+C13</f>
        <v>21123.449999999953</v>
      </c>
      <c r="D19" s="120"/>
      <c r="E19" s="101"/>
      <c r="F19" s="101"/>
      <c r="G19" s="105"/>
      <c r="H19" s="101"/>
      <c r="I19" s="137"/>
    </row>
    <row r="20" spans="2:9" ht="15">
      <c r="B20" s="99" t="s">
        <v>166</v>
      </c>
      <c r="C20" s="122">
        <f>+C18-C19</f>
        <v>83836.608785714328</v>
      </c>
      <c r="D20" s="120" t="s">
        <v>140</v>
      </c>
      <c r="E20" s="101"/>
      <c r="F20" s="101"/>
      <c r="G20" s="105"/>
      <c r="H20" s="101"/>
      <c r="I20" s="137"/>
    </row>
    <row r="21" spans="2:9" ht="9" customHeight="1" thickBot="1">
      <c r="B21" s="123"/>
      <c r="C21" s="124"/>
      <c r="G21" s="125"/>
      <c r="I21" s="135"/>
    </row>
    <row r="22" spans="2:9" ht="15" thickBot="1"/>
    <row r="23" spans="2:9" ht="15">
      <c r="B23" s="109" t="s">
        <v>51</v>
      </c>
      <c r="C23" s="110"/>
    </row>
    <row r="24" spans="2:9" s="101" customFormat="1" ht="15">
      <c r="B24" s="111" t="s">
        <v>121</v>
      </c>
      <c r="C24" s="112">
        <f>+'ESF - ERI'!G58</f>
        <v>909131.94000000006</v>
      </c>
    </row>
    <row r="25" spans="2:9" ht="6.75" customHeight="1">
      <c r="B25" s="114"/>
      <c r="C25" s="115"/>
    </row>
    <row r="26" spans="2:9" s="101" customFormat="1" ht="30">
      <c r="B26" s="116" t="s">
        <v>122</v>
      </c>
      <c r="C26" s="23" t="s">
        <v>29</v>
      </c>
    </row>
    <row r="27" spans="2:9" s="101" customFormat="1" ht="15">
      <c r="B27" s="102" t="s">
        <v>30</v>
      </c>
      <c r="C27" s="107">
        <f>+'Asientos - para Consolidado'!E9</f>
        <v>943459</v>
      </c>
      <c r="E27" s="117"/>
      <c r="F27" s="104">
        <v>6800</v>
      </c>
      <c r="G27" s="118">
        <f>+F27/$F$29</f>
        <v>0.68</v>
      </c>
      <c r="H27" s="101" t="s">
        <v>50</v>
      </c>
    </row>
    <row r="28" spans="2:9" s="101" customFormat="1" ht="15.75" thickBot="1">
      <c r="B28" s="102" t="s">
        <v>125</v>
      </c>
      <c r="C28" s="119">
        <f>C24*G28</f>
        <v>290922.22080000001</v>
      </c>
      <c r="D28" s="120" t="s">
        <v>34</v>
      </c>
      <c r="F28" s="121">
        <v>3200</v>
      </c>
      <c r="G28" s="118">
        <f>+F28/$F$29</f>
        <v>0.32</v>
      </c>
      <c r="H28" s="101" t="s">
        <v>52</v>
      </c>
    </row>
    <row r="29" spans="2:9" s="101" customFormat="1" ht="15">
      <c r="B29" s="102" t="s">
        <v>31</v>
      </c>
      <c r="C29" s="103">
        <f>+C27+C28</f>
        <v>1234381.2208</v>
      </c>
      <c r="F29" s="104">
        <f>SUM(F27:F28)</f>
        <v>10000</v>
      </c>
      <c r="G29" s="105"/>
    </row>
    <row r="30" spans="2:9" s="101" customFormat="1" ht="15">
      <c r="B30" s="102" t="s">
        <v>53</v>
      </c>
      <c r="C30" s="107">
        <f>+C24</f>
        <v>909131.94000000006</v>
      </c>
      <c r="D30" s="120"/>
      <c r="G30" s="105"/>
      <c r="I30" s="139">
        <f>C27</f>
        <v>943459</v>
      </c>
    </row>
    <row r="31" spans="2:9" s="101" customFormat="1" ht="15.75">
      <c r="B31" s="99" t="s">
        <v>166</v>
      </c>
      <c r="C31" s="122">
        <f>+C29-C30</f>
        <v>325249.28079999995</v>
      </c>
      <c r="D31" s="120" t="s">
        <v>35</v>
      </c>
      <c r="E31" s="981" t="s">
        <v>206</v>
      </c>
      <c r="F31" s="981"/>
      <c r="G31" s="105"/>
      <c r="I31" s="140">
        <f>C24*G27</f>
        <v>618209.71920000005</v>
      </c>
    </row>
    <row r="32" spans="2:9" ht="6.75" customHeight="1" thickBot="1">
      <c r="B32" s="123"/>
      <c r="C32" s="124"/>
      <c r="G32" s="125"/>
      <c r="I32" s="138">
        <f>I30-I31</f>
        <v>325249.28079999995</v>
      </c>
    </row>
    <row r="33" spans="2:9" ht="15" thickBot="1">
      <c r="G33" s="125"/>
    </row>
    <row r="34" spans="2:9" ht="15">
      <c r="B34" s="109" t="s">
        <v>54</v>
      </c>
      <c r="C34" s="110"/>
      <c r="G34" s="125"/>
    </row>
    <row r="35" spans="2:9" ht="15" customHeight="1">
      <c r="B35" s="111" t="s">
        <v>121</v>
      </c>
      <c r="C35" s="112">
        <f>+'ESF - ERI'!H58-'ESF - ERI'!H49</f>
        <v>-276937.91993750003</v>
      </c>
      <c r="D35" s="982" t="s">
        <v>211</v>
      </c>
      <c r="E35" s="983"/>
      <c r="F35" s="983"/>
      <c r="G35" s="983"/>
      <c r="H35" s="983"/>
    </row>
    <row r="36" spans="2:9" ht="5.25" customHeight="1">
      <c r="B36" s="114"/>
      <c r="C36" s="115"/>
      <c r="G36" s="125"/>
    </row>
    <row r="37" spans="2:9" ht="30">
      <c r="B37" s="116" t="s">
        <v>126</v>
      </c>
      <c r="C37" s="23" t="s">
        <v>29</v>
      </c>
      <c r="E37" s="101"/>
      <c r="F37" s="101"/>
      <c r="G37" s="105"/>
      <c r="H37" s="101"/>
    </row>
    <row r="38" spans="2:9" ht="15">
      <c r="B38" s="102" t="s">
        <v>30</v>
      </c>
      <c r="C38" s="107">
        <f>+'Asientos - para Consolidado'!F9</f>
        <v>98825</v>
      </c>
      <c r="E38" s="117"/>
      <c r="F38" s="104">
        <v>500</v>
      </c>
      <c r="G38" s="118">
        <f>+F38/$F$40</f>
        <v>0.5</v>
      </c>
      <c r="H38" s="101" t="s">
        <v>50</v>
      </c>
    </row>
    <row r="39" spans="2:9" ht="15.75" thickBot="1">
      <c r="B39" s="102" t="s">
        <v>168</v>
      </c>
      <c r="C39" s="119">
        <f>C35*G39</f>
        <v>-138468.95996875002</v>
      </c>
      <c r="D39" s="120" t="s">
        <v>34</v>
      </c>
      <c r="E39" s="101"/>
      <c r="F39" s="121">
        <v>500</v>
      </c>
      <c r="G39" s="118">
        <f>+F39/$F$40</f>
        <v>0.5</v>
      </c>
      <c r="H39" s="101" t="s">
        <v>52</v>
      </c>
    </row>
    <row r="40" spans="2:9" ht="15">
      <c r="B40" s="102" t="s">
        <v>31</v>
      </c>
      <c r="C40" s="103">
        <f>+C38+C39</f>
        <v>-39643.959968750016</v>
      </c>
      <c r="E40" s="101"/>
      <c r="F40" s="104">
        <f>SUM(F38:F39)</f>
        <v>1000</v>
      </c>
      <c r="G40" s="105"/>
      <c r="H40" s="101"/>
      <c r="I40" s="137">
        <f>C38</f>
        <v>98825</v>
      </c>
    </row>
    <row r="41" spans="2:9" ht="15">
      <c r="B41" s="102" t="s">
        <v>59</v>
      </c>
      <c r="C41" s="107">
        <f>+C35</f>
        <v>-276937.91993750003</v>
      </c>
      <c r="D41" s="120"/>
      <c r="E41" s="101"/>
      <c r="F41" s="101"/>
      <c r="G41" s="105"/>
      <c r="H41" s="101"/>
    </row>
    <row r="42" spans="2:9" ht="15.75">
      <c r="B42" s="99" t="s">
        <v>166</v>
      </c>
      <c r="C42" s="122">
        <f>+C40-C41</f>
        <v>237293.95996875002</v>
      </c>
      <c r="D42" s="120" t="s">
        <v>35</v>
      </c>
      <c r="E42" s="980" t="s">
        <v>206</v>
      </c>
      <c r="F42" s="980"/>
      <c r="G42" s="105"/>
      <c r="H42" s="101"/>
    </row>
    <row r="43" spans="2:9" ht="5.25" customHeight="1" thickBot="1">
      <c r="B43" s="123"/>
      <c r="C43" s="124"/>
      <c r="G43" s="125"/>
    </row>
    <row r="44" spans="2:9" ht="15" thickBot="1">
      <c r="G44" s="125"/>
    </row>
    <row r="45" spans="2:9" ht="15">
      <c r="B45" s="109" t="s">
        <v>55</v>
      </c>
      <c r="C45" s="110"/>
      <c r="G45" s="125"/>
    </row>
    <row r="46" spans="2:9" ht="15" customHeight="1">
      <c r="B46" s="111" t="s">
        <v>121</v>
      </c>
      <c r="C46" s="112">
        <f>+'ESF - ERI'!I58-'ESF - ERI'!I49</f>
        <v>70210.969999999972</v>
      </c>
      <c r="D46" s="982" t="s">
        <v>211</v>
      </c>
      <c r="E46" s="983"/>
      <c r="F46" s="983"/>
      <c r="G46" s="983"/>
      <c r="H46" s="983"/>
    </row>
    <row r="47" spans="2:9" ht="6" customHeight="1">
      <c r="B47" s="114"/>
      <c r="C47" s="115"/>
      <c r="G47" s="125"/>
    </row>
    <row r="48" spans="2:9" ht="30">
      <c r="B48" s="116" t="s">
        <v>127</v>
      </c>
      <c r="C48" s="23" t="s">
        <v>29</v>
      </c>
      <c r="E48" s="101"/>
      <c r="F48" s="101"/>
      <c r="G48" s="105"/>
      <c r="H48" s="101"/>
    </row>
    <row r="49" spans="2:9" ht="15">
      <c r="B49" s="102" t="s">
        <v>30</v>
      </c>
      <c r="C49" s="107">
        <f>+'Asientos - para Consolidado'!G9</f>
        <v>132050</v>
      </c>
      <c r="E49" s="117"/>
      <c r="F49" s="104">
        <v>750</v>
      </c>
      <c r="G49" s="118">
        <f>+F49/$F$51</f>
        <v>0.75</v>
      </c>
      <c r="H49" s="101" t="s">
        <v>50</v>
      </c>
    </row>
    <row r="50" spans="2:9" ht="15.75" thickBot="1">
      <c r="B50" s="102" t="s">
        <v>128</v>
      </c>
      <c r="C50" s="119">
        <f>C46*G50</f>
        <v>17552.742499999993</v>
      </c>
      <c r="D50" s="120" t="s">
        <v>34</v>
      </c>
      <c r="E50" s="101"/>
      <c r="F50" s="121">
        <v>250</v>
      </c>
      <c r="G50" s="118">
        <f>+F50/$F$51</f>
        <v>0.25</v>
      </c>
      <c r="H50" s="101" t="s">
        <v>52</v>
      </c>
    </row>
    <row r="51" spans="2:9" ht="15">
      <c r="B51" s="102" t="s">
        <v>31</v>
      </c>
      <c r="C51" s="103">
        <f>+C49+C50</f>
        <v>149602.74249999999</v>
      </c>
      <c r="E51" s="101"/>
      <c r="F51" s="104">
        <f>SUM(F49:F50)</f>
        <v>1000</v>
      </c>
      <c r="G51" s="105"/>
      <c r="H51" s="101"/>
      <c r="I51" s="113">
        <f>C49</f>
        <v>132050</v>
      </c>
    </row>
    <row r="52" spans="2:9" ht="15">
      <c r="B52" s="102" t="s">
        <v>58</v>
      </c>
      <c r="C52" s="107">
        <f>+C46</f>
        <v>70210.969999999972</v>
      </c>
      <c r="D52" s="120"/>
      <c r="E52" s="101"/>
      <c r="F52" s="101"/>
      <c r="G52" s="105"/>
      <c r="H52" s="101"/>
      <c r="I52" s="113">
        <f>C46*G49</f>
        <v>52658.227499999979</v>
      </c>
    </row>
    <row r="53" spans="2:9" ht="15">
      <c r="B53" s="99" t="s">
        <v>166</v>
      </c>
      <c r="C53" s="122">
        <f>+C51-C52</f>
        <v>79391.772500000021</v>
      </c>
      <c r="D53" s="120" t="s">
        <v>140</v>
      </c>
      <c r="E53" s="101"/>
      <c r="F53" s="101"/>
      <c r="G53" s="105"/>
      <c r="H53" s="101"/>
      <c r="I53" s="113">
        <f>I51-I52</f>
        <v>79391.772500000021</v>
      </c>
    </row>
    <row r="54" spans="2:9" ht="7.5" customHeight="1" thickBot="1">
      <c r="B54" s="123"/>
      <c r="C54" s="124"/>
      <c r="G54" s="125"/>
    </row>
    <row r="55" spans="2:9" ht="15" thickBot="1">
      <c r="G55" s="125"/>
    </row>
    <row r="56" spans="2:9" ht="15">
      <c r="B56" s="109" t="s">
        <v>56</v>
      </c>
      <c r="C56" s="110"/>
      <c r="G56" s="125"/>
    </row>
    <row r="57" spans="2:9" ht="15">
      <c r="B57" s="111" t="s">
        <v>121</v>
      </c>
      <c r="C57" s="112">
        <f>+'ESF - ERI'!J58</f>
        <v>7194.99</v>
      </c>
      <c r="E57" s="101"/>
      <c r="F57" s="101"/>
      <c r="G57" s="105"/>
      <c r="H57" s="101"/>
    </row>
    <row r="58" spans="2:9">
      <c r="B58" s="114"/>
      <c r="C58" s="115"/>
      <c r="G58" s="125"/>
    </row>
    <row r="59" spans="2:9" ht="30">
      <c r="B59" s="116" t="s">
        <v>129</v>
      </c>
      <c r="C59" s="23" t="s">
        <v>29</v>
      </c>
      <c r="E59" s="101"/>
      <c r="F59" s="101"/>
      <c r="G59" s="105"/>
      <c r="H59" s="101"/>
    </row>
    <row r="60" spans="2:9" ht="15">
      <c r="B60" s="102" t="s">
        <v>30</v>
      </c>
      <c r="C60" s="107">
        <f>+'Asientos - para Consolidado'!H9</f>
        <v>140052</v>
      </c>
      <c r="E60" s="117"/>
      <c r="F60" s="104">
        <v>4640</v>
      </c>
      <c r="G60" s="118">
        <f>+F60/$F$62</f>
        <v>0.92800000000000005</v>
      </c>
      <c r="H60" s="101" t="s">
        <v>50</v>
      </c>
    </row>
    <row r="61" spans="2:9" ht="15.75" thickBot="1">
      <c r="B61" s="102" t="s">
        <v>130</v>
      </c>
      <c r="C61" s="119">
        <f>C57*G61</f>
        <v>518.03927999999996</v>
      </c>
      <c r="D61" s="120" t="s">
        <v>34</v>
      </c>
      <c r="E61" s="101"/>
      <c r="F61" s="121">
        <v>360</v>
      </c>
      <c r="G61" s="118">
        <f>+F61/$F$62</f>
        <v>7.1999999999999995E-2</v>
      </c>
      <c r="H61" s="101" t="s">
        <v>52</v>
      </c>
    </row>
    <row r="62" spans="2:9" ht="15">
      <c r="B62" s="102" t="s">
        <v>31</v>
      </c>
      <c r="C62" s="103">
        <f>+C60+C61</f>
        <v>140570.03928</v>
      </c>
      <c r="E62" s="101"/>
      <c r="F62" s="104">
        <f>SUM(F60:F61)</f>
        <v>5000</v>
      </c>
      <c r="G62" s="101"/>
      <c r="H62" s="101"/>
      <c r="I62" s="137">
        <f>C60</f>
        <v>140052</v>
      </c>
    </row>
    <row r="63" spans="2:9" ht="15">
      <c r="B63" s="102" t="s">
        <v>57</v>
      </c>
      <c r="C63" s="107">
        <f>+C57</f>
        <v>7194.99</v>
      </c>
      <c r="D63" s="120"/>
      <c r="E63" s="101"/>
      <c r="F63" s="101"/>
      <c r="G63" s="101"/>
      <c r="H63" s="101"/>
      <c r="I63" s="138">
        <f>C57*G60</f>
        <v>6676.9507199999998</v>
      </c>
    </row>
    <row r="64" spans="2:9" ht="15.75">
      <c r="B64" s="99" t="s">
        <v>166</v>
      </c>
      <c r="C64" s="122">
        <f>+C62-C63</f>
        <v>133375.04928000001</v>
      </c>
      <c r="D64" s="120" t="s">
        <v>35</v>
      </c>
      <c r="E64" s="980" t="s">
        <v>206</v>
      </c>
      <c r="F64" s="980"/>
      <c r="G64" s="101"/>
      <c r="H64" s="101"/>
      <c r="I64" s="138">
        <f>I62-I63</f>
        <v>133375.04928000001</v>
      </c>
    </row>
    <row r="65" spans="2:9" ht="7.5" customHeight="1" thickBot="1">
      <c r="B65" s="123"/>
      <c r="C65" s="124"/>
    </row>
    <row r="66" spans="2:9" ht="15" thickBot="1"/>
    <row r="67" spans="2:9" ht="15">
      <c r="B67" s="109" t="s">
        <v>105</v>
      </c>
      <c r="C67" s="110"/>
      <c r="G67" s="125"/>
    </row>
    <row r="68" spans="2:9" ht="15">
      <c r="B68" s="111" t="s">
        <v>121</v>
      </c>
      <c r="C68" s="112">
        <f>+'ESF - ERI'!K58</f>
        <v>10000</v>
      </c>
      <c r="E68" s="101"/>
      <c r="F68" s="101"/>
      <c r="G68" s="105"/>
      <c r="H68" s="101"/>
    </row>
    <row r="69" spans="2:9">
      <c r="B69" s="114"/>
      <c r="C69" s="115"/>
      <c r="G69" s="125"/>
    </row>
    <row r="70" spans="2:9" ht="30">
      <c r="B70" s="116" t="s">
        <v>132</v>
      </c>
      <c r="C70" s="23" t="s">
        <v>29</v>
      </c>
      <c r="E70" s="101"/>
      <c r="F70" s="101"/>
      <c r="G70" s="105"/>
      <c r="H70" s="101"/>
    </row>
    <row r="71" spans="2:9" ht="15">
      <c r="B71" s="102" t="s">
        <v>30</v>
      </c>
      <c r="C71" s="107">
        <f>+'Asientos - para Consolidado'!I9</f>
        <v>6000</v>
      </c>
      <c r="E71" s="117"/>
      <c r="F71" s="104">
        <v>6000</v>
      </c>
      <c r="G71" s="118">
        <f>+F71/$F$73</f>
        <v>0.6</v>
      </c>
      <c r="H71" s="101" t="s">
        <v>50</v>
      </c>
    </row>
    <row r="72" spans="2:9" ht="15.75" thickBot="1">
      <c r="B72" s="102" t="s">
        <v>131</v>
      </c>
      <c r="C72" s="119">
        <f>C68*G72</f>
        <v>4000</v>
      </c>
      <c r="D72" s="120" t="s">
        <v>34</v>
      </c>
      <c r="E72" s="101"/>
      <c r="F72" s="121">
        <v>4000</v>
      </c>
      <c r="G72" s="118">
        <f>+F72/$F$73</f>
        <v>0.4</v>
      </c>
      <c r="H72" s="101" t="s">
        <v>52</v>
      </c>
    </row>
    <row r="73" spans="2:9" ht="15">
      <c r="B73" s="102" t="s">
        <v>31</v>
      </c>
      <c r="C73" s="103">
        <f>+C71+C72</f>
        <v>10000</v>
      </c>
      <c r="E73" s="101"/>
      <c r="F73" s="104">
        <f>SUM(F71:F72)</f>
        <v>10000</v>
      </c>
      <c r="G73" s="101"/>
      <c r="H73" s="101"/>
      <c r="I73" s="137">
        <f>C71</f>
        <v>6000</v>
      </c>
    </row>
    <row r="74" spans="2:9" ht="15">
      <c r="B74" s="102" t="s">
        <v>133</v>
      </c>
      <c r="C74" s="107">
        <f>+C68</f>
        <v>10000</v>
      </c>
      <c r="D74" s="120"/>
      <c r="E74" s="101"/>
      <c r="F74" s="101"/>
      <c r="G74" s="101"/>
      <c r="H74" s="101"/>
      <c r="I74" s="138">
        <f>C68*G71</f>
        <v>6000</v>
      </c>
    </row>
    <row r="75" spans="2:9" ht="15">
      <c r="B75" s="99" t="s">
        <v>169</v>
      </c>
      <c r="C75" s="122">
        <f>+C73-C74</f>
        <v>0</v>
      </c>
      <c r="D75" s="120"/>
      <c r="E75" s="101"/>
      <c r="F75" s="101"/>
      <c r="G75" s="101"/>
      <c r="H75" s="101"/>
      <c r="I75" s="138">
        <f>I73-I74</f>
        <v>0</v>
      </c>
    </row>
    <row r="76" spans="2:9" ht="6.75" customHeight="1" thickBot="1">
      <c r="B76" s="123"/>
      <c r="C76" s="124"/>
    </row>
    <row r="77" spans="2:9" ht="15" thickBot="1"/>
    <row r="78" spans="2:9" ht="15">
      <c r="B78" s="109" t="s">
        <v>60</v>
      </c>
      <c r="C78" s="110"/>
      <c r="G78" s="125"/>
    </row>
    <row r="79" spans="2:9" ht="15" customHeight="1">
      <c r="B79" s="111" t="s">
        <v>121</v>
      </c>
      <c r="C79" s="112">
        <f>+'ESF - ERI'!L58+881973</f>
        <v>883113.17</v>
      </c>
      <c r="D79" s="982" t="s">
        <v>208</v>
      </c>
      <c r="E79" s="983"/>
      <c r="F79" s="983"/>
      <c r="G79" s="983"/>
      <c r="H79" s="983"/>
    </row>
    <row r="80" spans="2:9">
      <c r="B80" s="114"/>
      <c r="C80" s="115"/>
      <c r="G80" s="125"/>
    </row>
    <row r="81" spans="2:9" ht="30">
      <c r="B81" s="116" t="s">
        <v>135</v>
      </c>
      <c r="C81" s="23" t="s">
        <v>29</v>
      </c>
      <c r="E81" s="101"/>
      <c r="F81" s="101"/>
      <c r="G81" s="105"/>
      <c r="H81" s="101"/>
    </row>
    <row r="82" spans="2:9" ht="15">
      <c r="B82" s="102" t="s">
        <v>30</v>
      </c>
      <c r="C82" s="107">
        <f>+'Asientos - para Consolidado'!J9</f>
        <v>1114176</v>
      </c>
      <c r="E82" s="117"/>
      <c r="F82" s="104">
        <v>799.96</v>
      </c>
      <c r="G82" s="118">
        <f>+F82/$F$84</f>
        <v>0.99995000000000001</v>
      </c>
      <c r="H82" s="101" t="s">
        <v>50</v>
      </c>
    </row>
    <row r="83" spans="2:9" ht="15.75" thickBot="1">
      <c r="B83" s="102" t="s">
        <v>139</v>
      </c>
      <c r="C83" s="119">
        <f>C79*G83</f>
        <v>44.155658500000001</v>
      </c>
      <c r="D83" s="120" t="s">
        <v>34</v>
      </c>
      <c r="E83" s="101"/>
      <c r="F83" s="121">
        <v>0.04</v>
      </c>
      <c r="G83" s="118">
        <f>+F83/$F$84</f>
        <v>5.0000000000000002E-5</v>
      </c>
      <c r="H83" s="101" t="s">
        <v>52</v>
      </c>
    </row>
    <row r="84" spans="2:9" ht="15">
      <c r="B84" s="102" t="s">
        <v>31</v>
      </c>
      <c r="C84" s="103">
        <f>+C82+C83</f>
        <v>1114220.1556585</v>
      </c>
      <c r="E84" s="101"/>
      <c r="F84" s="104">
        <f>SUM(F82:F83)</f>
        <v>800</v>
      </c>
      <c r="G84" s="101"/>
      <c r="H84" s="101"/>
    </row>
    <row r="85" spans="2:9" ht="15">
      <c r="B85" s="102" t="s">
        <v>61</v>
      </c>
      <c r="C85" s="107">
        <f>+C79</f>
        <v>883113.17</v>
      </c>
      <c r="D85" s="120"/>
      <c r="E85" s="101"/>
      <c r="F85" s="101"/>
      <c r="G85" s="101"/>
      <c r="H85" s="101"/>
      <c r="I85" s="113">
        <f>C82</f>
        <v>1114176</v>
      </c>
    </row>
    <row r="86" spans="2:9" ht="15">
      <c r="B86" s="99" t="s">
        <v>166</v>
      </c>
      <c r="C86" s="122">
        <f>+C84-C85</f>
        <v>231106.98565849999</v>
      </c>
      <c r="D86" s="120" t="s">
        <v>140</v>
      </c>
      <c r="E86" s="101"/>
      <c r="F86" s="101"/>
      <c r="G86" s="101"/>
      <c r="H86" s="101"/>
      <c r="I86" s="113">
        <f>C79*G82</f>
        <v>883069.01434150001</v>
      </c>
    </row>
    <row r="87" spans="2:9" ht="15.75" customHeight="1" thickBot="1">
      <c r="B87" s="123"/>
      <c r="C87" s="124"/>
      <c r="I87" s="113">
        <f>I85-I86</f>
        <v>231106.98565849999</v>
      </c>
    </row>
    <row r="88" spans="2:9" ht="15" thickBot="1"/>
    <row r="89" spans="2:9" ht="15">
      <c r="B89" s="109" t="s">
        <v>134</v>
      </c>
      <c r="C89" s="110"/>
      <c r="G89" s="125"/>
    </row>
    <row r="90" spans="2:9" ht="15">
      <c r="B90" s="111" t="s">
        <v>121</v>
      </c>
      <c r="C90" s="112">
        <f>+'ESF - ERI'!M58</f>
        <v>800</v>
      </c>
      <c r="E90" s="101"/>
      <c r="F90" s="101"/>
      <c r="G90" s="105"/>
      <c r="H90" s="101"/>
    </row>
    <row r="91" spans="2:9">
      <c r="B91" s="114"/>
      <c r="C91" s="115"/>
      <c r="G91" s="125"/>
    </row>
    <row r="92" spans="2:9" ht="30">
      <c r="B92" s="116" t="s">
        <v>136</v>
      </c>
      <c r="C92" s="23" t="s">
        <v>29</v>
      </c>
      <c r="E92" s="101"/>
      <c r="F92" s="101"/>
      <c r="G92" s="105"/>
      <c r="H92" s="101"/>
    </row>
    <row r="93" spans="2:9" ht="15">
      <c r="B93" s="102" t="s">
        <v>30</v>
      </c>
      <c r="C93" s="107">
        <f>+'Asientos - para Consolidado'!K9</f>
        <v>740</v>
      </c>
      <c r="E93" s="117"/>
      <c r="F93" s="104">
        <v>740</v>
      </c>
      <c r="G93" s="118">
        <f>+F93/$F$95</f>
        <v>0.92500000000000004</v>
      </c>
      <c r="H93" s="101" t="s">
        <v>50</v>
      </c>
    </row>
    <row r="94" spans="2:9" ht="15.75" thickBot="1">
      <c r="B94" s="102" t="s">
        <v>137</v>
      </c>
      <c r="C94" s="119">
        <f>C90*G94</f>
        <v>60</v>
      </c>
      <c r="D94" s="120" t="s">
        <v>34</v>
      </c>
      <c r="E94" s="101"/>
      <c r="F94" s="121">
        <v>60</v>
      </c>
      <c r="G94" s="118">
        <f>+F94/$F$95</f>
        <v>7.4999999999999997E-2</v>
      </c>
      <c r="H94" s="101" t="s">
        <v>52</v>
      </c>
    </row>
    <row r="95" spans="2:9" ht="15">
      <c r="B95" s="102" t="s">
        <v>31</v>
      </c>
      <c r="C95" s="103">
        <f>+C93+C94</f>
        <v>800</v>
      </c>
      <c r="E95" s="101"/>
      <c r="F95" s="104">
        <f>SUM(F93:F94)</f>
        <v>800</v>
      </c>
      <c r="G95" s="101"/>
      <c r="H95" s="101"/>
      <c r="I95" s="137">
        <f>C93</f>
        <v>740</v>
      </c>
    </row>
    <row r="96" spans="2:9" ht="15">
      <c r="B96" s="102" t="s">
        <v>138</v>
      </c>
      <c r="C96" s="107">
        <f>+C90</f>
        <v>800</v>
      </c>
      <c r="D96" s="120"/>
      <c r="E96" s="101"/>
      <c r="F96" s="101"/>
      <c r="G96" s="101"/>
      <c r="H96" s="101"/>
      <c r="I96" s="138">
        <f>C90*G93</f>
        <v>740</v>
      </c>
    </row>
    <row r="97" spans="2:9" ht="15">
      <c r="B97" s="99" t="s">
        <v>169</v>
      </c>
      <c r="C97" s="122">
        <f>+C95-C96</f>
        <v>0</v>
      </c>
      <c r="D97" s="120"/>
      <c r="E97" s="101"/>
      <c r="F97" s="101"/>
      <c r="G97" s="101"/>
      <c r="H97" s="101"/>
      <c r="I97" s="138">
        <f>I95-I96</f>
        <v>0</v>
      </c>
    </row>
    <row r="98" spans="2:9" ht="6.75" customHeight="1" thickBot="1">
      <c r="B98" s="123"/>
      <c r="C98" s="124"/>
    </row>
    <row r="99" spans="2:9">
      <c r="B99" s="128"/>
      <c r="C99" s="129"/>
    </row>
    <row r="100" spans="2:9">
      <c r="B100" s="128"/>
      <c r="C100" s="129"/>
    </row>
    <row r="101" spans="2:9" ht="15" customHeight="1">
      <c r="B101" s="130" t="s">
        <v>62</v>
      </c>
      <c r="C101" s="131">
        <f>+C17+C28+C39+C50+C61+C72+C83+C94+C6</f>
        <v>9357519.0706554651</v>
      </c>
      <c r="D101" s="979" t="s">
        <v>64</v>
      </c>
      <c r="E101" s="979"/>
      <c r="F101" s="979"/>
      <c r="G101" s="979"/>
      <c r="H101" s="132"/>
    </row>
    <row r="102" spans="2:9" ht="15">
      <c r="B102" s="130" t="s">
        <v>63</v>
      </c>
      <c r="C102" s="131">
        <f>+C9+C31+C64+C42</f>
        <v>828548.36364874605</v>
      </c>
      <c r="D102" s="979" t="s">
        <v>209</v>
      </c>
      <c r="E102" s="979"/>
      <c r="F102" s="979"/>
      <c r="G102" s="979"/>
      <c r="H102" s="979"/>
    </row>
    <row r="103" spans="2:9" ht="15">
      <c r="B103" s="130" t="s">
        <v>141</v>
      </c>
      <c r="C103" s="131">
        <f>+C86+C53+C20</f>
        <v>394335.36694421433</v>
      </c>
      <c r="D103" s="979" t="s">
        <v>166</v>
      </c>
      <c r="E103" s="979"/>
      <c r="F103" s="979"/>
      <c r="G103" s="979"/>
    </row>
    <row r="105" spans="2:9">
      <c r="E105" s="135"/>
    </row>
  </sheetData>
  <mergeCells count="12">
    <mergeCell ref="E31:F31"/>
    <mergeCell ref="E9:F9"/>
    <mergeCell ref="D79:H79"/>
    <mergeCell ref="D8:H8"/>
    <mergeCell ref="D13:H13"/>
    <mergeCell ref="D35:H35"/>
    <mergeCell ref="D46:H46"/>
    <mergeCell ref="D103:G103"/>
    <mergeCell ref="D102:H102"/>
    <mergeCell ref="D101:G101"/>
    <mergeCell ref="E64:F64"/>
    <mergeCell ref="E42:F42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Transacciones 2018</vt:lpstr>
      <vt:lpstr>Saldos interco. 2018</vt:lpstr>
      <vt:lpstr>Participaciones 2018</vt:lpstr>
      <vt:lpstr>Inversiones 2018</vt:lpstr>
      <vt:lpstr>Planilla Final 2018</vt:lpstr>
      <vt:lpstr>ESF 2018-2017</vt:lpstr>
      <vt:lpstr>ERI 2018-2017</vt:lpstr>
      <vt:lpstr>EFE 2018-2017</vt:lpstr>
      <vt:lpstr>ECP 2018-2017</vt:lpstr>
      <vt:lpstr>EFE Subs 2018-2017</vt:lpstr>
      <vt:lpstr>Planilla Final 2017</vt:lpstr>
      <vt:lpstr>Participaciones 2017</vt:lpstr>
      <vt:lpstr>'Asientos - para Consolidado'!Print_Area</vt:lpstr>
      <vt:lpstr>'ESF - ERI'!Print_Area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Rafael Hungría Cortez</dc:creator>
  <cp:lastModifiedBy>Carlos Almeida</cp:lastModifiedBy>
  <cp:lastPrinted>2018-07-18T16:56:18Z</cp:lastPrinted>
  <dcterms:created xsi:type="dcterms:W3CDTF">2015-04-08T16:45:18Z</dcterms:created>
  <dcterms:modified xsi:type="dcterms:W3CDTF">2019-06-07T19:03:43Z</dcterms:modified>
</cp:coreProperties>
</file>